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0"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结果表-商业" sheetId="80" r:id="rId25"/>
    <sheet name="比较法-商业" sheetId="33" r:id="rId26"/>
    <sheet name="收益法-商业" sheetId="79" r:id="rId27"/>
    <sheet name="典型户型修正-商业" sheetId="31" r:id="rId28"/>
    <sheet name="结果表-办公" sheetId="82" r:id="rId29"/>
    <sheet name="比较法-办公" sheetId="34" r:id="rId30"/>
    <sheet name="比较法-工业" sheetId="37" state="hidden" r:id="rId31"/>
    <sheet name="收益法-办公" sheetId="81" r:id="rId32"/>
    <sheet name="典型户型修正-办公" sheetId="83" r:id="rId33"/>
    <sheet name="结果表-车库" sheetId="9" r:id="rId34"/>
    <sheet name="比较法-车位" sheetId="35"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收益法-车库" sheetId="15"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案例" sheetId="77" r:id="rId50"/>
    <sheet name="抵押物清单" sheetId="78" r:id="rId51"/>
    <sheet name="Sheet1" sheetId="84" r:id="rId52"/>
  </sheet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 (元)'!$A$1:$AK$69</definedName>
    <definedName name="_xlnm.Print_Area" localSheetId="31">'收益法-办公'!$A$1:$AK$69</definedName>
    <definedName name="_xlnm.Print_Area" localSheetId="43">'收益法-车库'!$A$1:$AK$69</definedName>
    <definedName name="_xlnm.Print_Area" localSheetId="2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2">'典型户型修正-办公'!$5:$5</definedName>
    <definedName name="一修多修正项2">'典型户型修正-商业'!$5:$5</definedName>
    <definedName name="一修多修正项3" localSheetId="32">'典型户型修正-办公'!$7:$7</definedName>
    <definedName name="一修多修正项3">'典型户型修正-商业'!$7:$7</definedName>
    <definedName name="一修多修正项4" localSheetId="32">'典型户型修正-办公'!$9:$9</definedName>
    <definedName name="一修多修正项4">'典型户型修正-商业'!$9:$9</definedName>
    <definedName name="一修多修正项5" localSheetId="32">'典型户型修正-办公'!$11:$11</definedName>
    <definedName name="一修多修正项5">'典型户型修正-商业'!$11:$11</definedName>
    <definedName name="一修多修正项6" localSheetId="32">'典型户型修正-办公'!$13:$13</definedName>
    <definedName name="一修多修正项6">'典型户型修正-商业'!$13:$13</definedName>
    <definedName name="一修多修正项7" localSheetId="32">'典型户型修正-办公'!$15:$15</definedName>
    <definedName name="一修多修正项7">'典型户型修正-商业'!$15:$15</definedName>
    <definedName name="一修多修正项8" localSheetId="32">'典型户型修正-办公'!$17:$17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6" i="74" l="1"/>
  <c r="B15" i="74"/>
  <c r="C1426" i="84" l="1"/>
  <c r="C182" i="84"/>
  <c r="C99" i="84"/>
  <c r="M17" i="3"/>
  <c r="C1427" i="84" l="1"/>
  <c r="A117" i="83"/>
  <c r="B117" i="83"/>
  <c r="A118" i="83"/>
  <c r="B118" i="83"/>
  <c r="A119" i="83"/>
  <c r="B119" i="83"/>
  <c r="A114" i="83"/>
  <c r="B114" i="83"/>
  <c r="A115" i="83"/>
  <c r="B115" i="83"/>
  <c r="A116" i="83"/>
  <c r="B116" i="83"/>
  <c r="A110" i="83"/>
  <c r="B110" i="83"/>
  <c r="A111" i="83"/>
  <c r="B111" i="83"/>
  <c r="A112" i="83"/>
  <c r="B112" i="83"/>
  <c r="A113" i="83"/>
  <c r="B113" i="83"/>
  <c r="A106" i="83"/>
  <c r="B106" i="83"/>
  <c r="A107" i="83"/>
  <c r="B107" i="83"/>
  <c r="A108" i="83"/>
  <c r="B108" i="83"/>
  <c r="A109" i="83"/>
  <c r="B109" i="83"/>
  <c r="A26" i="83"/>
  <c r="B26" i="83"/>
  <c r="A27" i="83"/>
  <c r="B27" i="83"/>
  <c r="A28" i="83"/>
  <c r="B28" i="83"/>
  <c r="A29" i="83"/>
  <c r="B29" i="83"/>
  <c r="A30" i="83"/>
  <c r="B30" i="83"/>
  <c r="A31" i="83"/>
  <c r="B31" i="83"/>
  <c r="A32" i="83"/>
  <c r="B32" i="83"/>
  <c r="A33" i="83"/>
  <c r="B33" i="83"/>
  <c r="A34" i="83"/>
  <c r="B34" i="83"/>
  <c r="A35" i="83"/>
  <c r="B35" i="83"/>
  <c r="A36" i="83"/>
  <c r="B36" i="83"/>
  <c r="A37" i="83"/>
  <c r="B37" i="83"/>
  <c r="A38" i="83"/>
  <c r="B38" i="83"/>
  <c r="A39" i="83"/>
  <c r="B39" i="83"/>
  <c r="A40" i="83"/>
  <c r="B40" i="83"/>
  <c r="A41" i="83"/>
  <c r="B41" i="83"/>
  <c r="A42" i="83"/>
  <c r="B42" i="83"/>
  <c r="A43" i="83"/>
  <c r="B43" i="83"/>
  <c r="A44" i="83"/>
  <c r="B44" i="83"/>
  <c r="A45" i="83"/>
  <c r="B45" i="83"/>
  <c r="A46" i="83"/>
  <c r="B46" i="83"/>
  <c r="A47" i="83"/>
  <c r="B47" i="83"/>
  <c r="A48" i="83"/>
  <c r="B48" i="83"/>
  <c r="A49" i="83"/>
  <c r="B49" i="83"/>
  <c r="A50" i="83"/>
  <c r="B50" i="83"/>
  <c r="A51" i="83"/>
  <c r="B51" i="83"/>
  <c r="A52" i="83"/>
  <c r="B52" i="83"/>
  <c r="A53" i="83"/>
  <c r="B53" i="83"/>
  <c r="A54" i="83"/>
  <c r="B54" i="83"/>
  <c r="A55" i="83"/>
  <c r="B55" i="83"/>
  <c r="A56" i="83"/>
  <c r="B56" i="83"/>
  <c r="A57" i="83"/>
  <c r="B57" i="83"/>
  <c r="A58" i="83"/>
  <c r="B58" i="83"/>
  <c r="A59" i="83"/>
  <c r="B59" i="83"/>
  <c r="A60" i="83"/>
  <c r="B60" i="83"/>
  <c r="A61" i="83"/>
  <c r="B61" i="83"/>
  <c r="A62" i="83"/>
  <c r="B62" i="83"/>
  <c r="A63" i="83"/>
  <c r="B63" i="83"/>
  <c r="A64" i="83"/>
  <c r="B64" i="83"/>
  <c r="A65" i="83"/>
  <c r="B65" i="83"/>
  <c r="A66" i="83"/>
  <c r="B66" i="83"/>
  <c r="A67" i="83"/>
  <c r="B67" i="83"/>
  <c r="A68" i="83"/>
  <c r="B68" i="83"/>
  <c r="A69" i="83"/>
  <c r="B69" i="83"/>
  <c r="A70" i="83"/>
  <c r="B70" i="83"/>
  <c r="A71" i="83"/>
  <c r="B71" i="83"/>
  <c r="A72" i="83"/>
  <c r="B72" i="83"/>
  <c r="A73" i="83"/>
  <c r="B73" i="83"/>
  <c r="A74" i="83"/>
  <c r="B74" i="83"/>
  <c r="A75" i="83"/>
  <c r="B75" i="83"/>
  <c r="A76" i="83"/>
  <c r="B76" i="83"/>
  <c r="A77" i="83"/>
  <c r="B77" i="83"/>
  <c r="A78" i="83"/>
  <c r="B78" i="83"/>
  <c r="A79" i="83"/>
  <c r="B79" i="83"/>
  <c r="A80" i="83"/>
  <c r="B80" i="83"/>
  <c r="A81" i="83"/>
  <c r="B81" i="83"/>
  <c r="A82" i="83"/>
  <c r="B82" i="83"/>
  <c r="A83" i="83"/>
  <c r="B83" i="83"/>
  <c r="A84" i="83"/>
  <c r="B84" i="83"/>
  <c r="A85" i="83"/>
  <c r="B85" i="83"/>
  <c r="A86" i="83"/>
  <c r="B86" i="83"/>
  <c r="A87" i="83"/>
  <c r="B87" i="83"/>
  <c r="A88" i="83"/>
  <c r="B88" i="83"/>
  <c r="A89" i="83"/>
  <c r="B89" i="83"/>
  <c r="A90" i="83"/>
  <c r="B90" i="83"/>
  <c r="A91" i="83"/>
  <c r="B91" i="83"/>
  <c r="A92" i="83"/>
  <c r="B92" i="83"/>
  <c r="A93" i="83"/>
  <c r="B93" i="83"/>
  <c r="A94" i="83"/>
  <c r="B94" i="83"/>
  <c r="A95" i="83"/>
  <c r="B95" i="83"/>
  <c r="A96" i="83"/>
  <c r="B96" i="83"/>
  <c r="A97" i="83"/>
  <c r="B97" i="83"/>
  <c r="A98" i="83"/>
  <c r="B98" i="83"/>
  <c r="A99" i="83"/>
  <c r="B99" i="83"/>
  <c r="A100" i="83"/>
  <c r="B100" i="83"/>
  <c r="A101" i="83"/>
  <c r="B101" i="83"/>
  <c r="A102" i="83"/>
  <c r="B102" i="83"/>
  <c r="A103" i="83"/>
  <c r="B103" i="83"/>
  <c r="A104" i="83"/>
  <c r="B104" i="83"/>
  <c r="A105" i="83"/>
  <c r="B105" i="83"/>
  <c r="A25" i="83"/>
  <c r="B25" i="83"/>
  <c r="B24" i="83"/>
  <c r="A24" i="83"/>
  <c r="R524" i="83"/>
  <c r="S524" i="83" s="1"/>
  <c r="Q524" i="83"/>
  <c r="O524" i="83"/>
  <c r="M524" i="83"/>
  <c r="K524" i="83"/>
  <c r="I524" i="83"/>
  <c r="C524" i="83"/>
  <c r="R523" i="83"/>
  <c r="S523" i="83" s="1"/>
  <c r="Q523" i="83"/>
  <c r="O523" i="83"/>
  <c r="M523" i="83"/>
  <c r="K523" i="83"/>
  <c r="I523" i="83"/>
  <c r="C523" i="83"/>
  <c r="R522" i="83"/>
  <c r="S522" i="83" s="1"/>
  <c r="Q522" i="83"/>
  <c r="O522" i="83"/>
  <c r="M522" i="83"/>
  <c r="K522" i="83"/>
  <c r="I522" i="83"/>
  <c r="C522" i="83"/>
  <c r="R521" i="83"/>
  <c r="S521" i="83" s="1"/>
  <c r="Q521" i="83"/>
  <c r="O521" i="83"/>
  <c r="M521" i="83"/>
  <c r="K521" i="83"/>
  <c r="I521" i="83"/>
  <c r="C521" i="83"/>
  <c r="R520" i="83"/>
  <c r="S520" i="83" s="1"/>
  <c r="Q520" i="83"/>
  <c r="O520" i="83"/>
  <c r="M520" i="83"/>
  <c r="K520" i="83"/>
  <c r="I520" i="83"/>
  <c r="C520" i="83"/>
  <c r="R519" i="83"/>
  <c r="S519" i="83" s="1"/>
  <c r="Q519" i="83"/>
  <c r="O519" i="83"/>
  <c r="M519" i="83"/>
  <c r="K519" i="83"/>
  <c r="I519" i="83"/>
  <c r="C519" i="83"/>
  <c r="R518" i="83"/>
  <c r="S518" i="83" s="1"/>
  <c r="Q518" i="83"/>
  <c r="O518" i="83"/>
  <c r="M518" i="83"/>
  <c r="K518" i="83"/>
  <c r="I518" i="83"/>
  <c r="C518" i="83"/>
  <c r="R517" i="83"/>
  <c r="S517" i="83" s="1"/>
  <c r="Q517" i="83"/>
  <c r="O517" i="83"/>
  <c r="M517" i="83"/>
  <c r="K517" i="83"/>
  <c r="I517" i="83"/>
  <c r="C517" i="83"/>
  <c r="R516" i="83"/>
  <c r="S516" i="83" s="1"/>
  <c r="Q516" i="83"/>
  <c r="O516" i="83"/>
  <c r="M516" i="83"/>
  <c r="K516" i="83"/>
  <c r="I516" i="83"/>
  <c r="C516" i="83"/>
  <c r="R515" i="83"/>
  <c r="S515" i="83" s="1"/>
  <c r="Q515" i="83"/>
  <c r="O515" i="83"/>
  <c r="M515" i="83"/>
  <c r="K515" i="83"/>
  <c r="I515" i="83"/>
  <c r="C515" i="83"/>
  <c r="R514" i="83"/>
  <c r="S514" i="83" s="1"/>
  <c r="Q514" i="83"/>
  <c r="O514" i="83"/>
  <c r="M514" i="83"/>
  <c r="K514" i="83"/>
  <c r="I514" i="83"/>
  <c r="C514" i="83"/>
  <c r="R513" i="83"/>
  <c r="S513" i="83" s="1"/>
  <c r="Q513" i="83"/>
  <c r="O513" i="83"/>
  <c r="M513" i="83"/>
  <c r="K513" i="83"/>
  <c r="I513" i="83"/>
  <c r="C513" i="83"/>
  <c r="R512" i="83"/>
  <c r="S512" i="83" s="1"/>
  <c r="Q512" i="83"/>
  <c r="O512" i="83"/>
  <c r="M512" i="83"/>
  <c r="K512" i="83"/>
  <c r="I512" i="83"/>
  <c r="C512" i="83"/>
  <c r="R511" i="83"/>
  <c r="S511" i="83" s="1"/>
  <c r="Q511" i="83"/>
  <c r="O511" i="83"/>
  <c r="M511" i="83"/>
  <c r="K511" i="83"/>
  <c r="I511" i="83"/>
  <c r="C511" i="83"/>
  <c r="R510" i="83"/>
  <c r="S510" i="83" s="1"/>
  <c r="Q510" i="83"/>
  <c r="O510" i="83"/>
  <c r="M510" i="83"/>
  <c r="K510" i="83"/>
  <c r="I510" i="83"/>
  <c r="C510" i="83"/>
  <c r="R509" i="83"/>
  <c r="S509" i="83" s="1"/>
  <c r="Q509" i="83"/>
  <c r="O509" i="83"/>
  <c r="M509" i="83"/>
  <c r="K509" i="83"/>
  <c r="I509" i="83"/>
  <c r="C509" i="83"/>
  <c r="R508" i="83"/>
  <c r="S508" i="83" s="1"/>
  <c r="Q508" i="83"/>
  <c r="O508" i="83"/>
  <c r="M508" i="83"/>
  <c r="K508" i="83"/>
  <c r="I508" i="83"/>
  <c r="C508" i="83"/>
  <c r="R507" i="83"/>
  <c r="S507" i="83" s="1"/>
  <c r="Q507" i="83"/>
  <c r="O507" i="83"/>
  <c r="M507" i="83"/>
  <c r="K507" i="83"/>
  <c r="I507" i="83"/>
  <c r="C507" i="83"/>
  <c r="R506" i="83"/>
  <c r="S506" i="83" s="1"/>
  <c r="Q506" i="83"/>
  <c r="O506" i="83"/>
  <c r="M506" i="83"/>
  <c r="K506" i="83"/>
  <c r="I506" i="83"/>
  <c r="C506" i="83"/>
  <c r="R505" i="83"/>
  <c r="S505" i="83" s="1"/>
  <c r="Q505" i="83"/>
  <c r="O505" i="83"/>
  <c r="M505" i="83"/>
  <c r="K505" i="83"/>
  <c r="I505" i="83"/>
  <c r="C505" i="83"/>
  <c r="R504" i="83"/>
  <c r="S504" i="83" s="1"/>
  <c r="Q504" i="83"/>
  <c r="O504" i="83"/>
  <c r="M504" i="83"/>
  <c r="K504" i="83"/>
  <c r="I504" i="83"/>
  <c r="C504" i="83"/>
  <c r="R503" i="83"/>
  <c r="S503" i="83" s="1"/>
  <c r="Q503" i="83"/>
  <c r="O503" i="83"/>
  <c r="M503" i="83"/>
  <c r="K503" i="83"/>
  <c r="I503" i="83"/>
  <c r="C503" i="83"/>
  <c r="R502" i="83"/>
  <c r="S502" i="83" s="1"/>
  <c r="Q502" i="83"/>
  <c r="O502" i="83"/>
  <c r="M502" i="83"/>
  <c r="K502" i="83"/>
  <c r="I502" i="83"/>
  <c r="C502" i="83"/>
  <c r="R501" i="83"/>
  <c r="S501" i="83" s="1"/>
  <c r="Q501" i="83"/>
  <c r="O501" i="83"/>
  <c r="M501" i="83"/>
  <c r="K501" i="83"/>
  <c r="I501" i="83"/>
  <c r="C501" i="83"/>
  <c r="R500" i="83"/>
  <c r="S500" i="83" s="1"/>
  <c r="Q500" i="83"/>
  <c r="O500" i="83"/>
  <c r="M500" i="83"/>
  <c r="K500" i="83"/>
  <c r="I500" i="83"/>
  <c r="C500" i="83"/>
  <c r="R499" i="83"/>
  <c r="S499" i="83" s="1"/>
  <c r="Q499" i="83"/>
  <c r="O499" i="83"/>
  <c r="M499" i="83"/>
  <c r="K499" i="83"/>
  <c r="I499" i="83"/>
  <c r="C499" i="83"/>
  <c r="R498" i="83"/>
  <c r="S498" i="83" s="1"/>
  <c r="Q498" i="83"/>
  <c r="O498" i="83"/>
  <c r="M498" i="83"/>
  <c r="K498" i="83"/>
  <c r="I498" i="83"/>
  <c r="C498" i="83"/>
  <c r="R497" i="83"/>
  <c r="S497" i="83" s="1"/>
  <c r="Q497" i="83"/>
  <c r="O497" i="83"/>
  <c r="M497" i="83"/>
  <c r="K497" i="83"/>
  <c r="I497" i="83"/>
  <c r="C497" i="83"/>
  <c r="R496" i="83"/>
  <c r="S496" i="83" s="1"/>
  <c r="Q496" i="83"/>
  <c r="O496" i="83"/>
  <c r="M496" i="83"/>
  <c r="K496" i="83"/>
  <c r="I496" i="83"/>
  <c r="C496" i="83"/>
  <c r="R495" i="83"/>
  <c r="S495" i="83" s="1"/>
  <c r="Q495" i="83"/>
  <c r="O495" i="83"/>
  <c r="M495" i="83"/>
  <c r="K495" i="83"/>
  <c r="I495" i="83"/>
  <c r="C495" i="83"/>
  <c r="R494" i="83"/>
  <c r="S494" i="83" s="1"/>
  <c r="Q494" i="83"/>
  <c r="O494" i="83"/>
  <c r="M494" i="83"/>
  <c r="K494" i="83"/>
  <c r="I494" i="83"/>
  <c r="C494" i="83"/>
  <c r="R493" i="83"/>
  <c r="S493" i="83" s="1"/>
  <c r="Q493" i="83"/>
  <c r="O493" i="83"/>
  <c r="M493" i="83"/>
  <c r="K493" i="83"/>
  <c r="I493" i="83"/>
  <c r="C493" i="83"/>
  <c r="R492" i="83"/>
  <c r="S492" i="83" s="1"/>
  <c r="Q492" i="83"/>
  <c r="O492" i="83"/>
  <c r="M492" i="83"/>
  <c r="K492" i="83"/>
  <c r="I492" i="83"/>
  <c r="C492" i="83"/>
  <c r="R491" i="83"/>
  <c r="S491" i="83" s="1"/>
  <c r="Q491" i="83"/>
  <c r="O491" i="83"/>
  <c r="M491" i="83"/>
  <c r="K491" i="83"/>
  <c r="I491" i="83"/>
  <c r="C491" i="83"/>
  <c r="R490" i="83"/>
  <c r="S490" i="83" s="1"/>
  <c r="Q490" i="83"/>
  <c r="O490" i="83"/>
  <c r="M490" i="83"/>
  <c r="K490" i="83"/>
  <c r="I490" i="83"/>
  <c r="C490" i="83"/>
  <c r="R489" i="83"/>
  <c r="S489" i="83" s="1"/>
  <c r="Q489" i="83"/>
  <c r="O489" i="83"/>
  <c r="M489" i="83"/>
  <c r="K489" i="83"/>
  <c r="I489" i="83"/>
  <c r="C489" i="83"/>
  <c r="R488" i="83"/>
  <c r="S488" i="83" s="1"/>
  <c r="Q488" i="83"/>
  <c r="O488" i="83"/>
  <c r="M488" i="83"/>
  <c r="K488" i="83"/>
  <c r="I488" i="83"/>
  <c r="C488" i="83"/>
  <c r="R487" i="83"/>
  <c r="S487" i="83" s="1"/>
  <c r="Q487" i="83"/>
  <c r="O487" i="83"/>
  <c r="M487" i="83"/>
  <c r="K487" i="83"/>
  <c r="I487" i="83"/>
  <c r="C487" i="83"/>
  <c r="R486" i="83"/>
  <c r="S486" i="83" s="1"/>
  <c r="Q486" i="83"/>
  <c r="O486" i="83"/>
  <c r="M486" i="83"/>
  <c r="K486" i="83"/>
  <c r="I486" i="83"/>
  <c r="C486" i="83"/>
  <c r="R485" i="83"/>
  <c r="S485" i="83" s="1"/>
  <c r="Q485" i="83"/>
  <c r="O485" i="83"/>
  <c r="M485" i="83"/>
  <c r="K485" i="83"/>
  <c r="I485" i="83"/>
  <c r="C485" i="83"/>
  <c r="R484" i="83"/>
  <c r="S484" i="83" s="1"/>
  <c r="Q484" i="83"/>
  <c r="O484" i="83"/>
  <c r="M484" i="83"/>
  <c r="K484" i="83"/>
  <c r="I484" i="83"/>
  <c r="C484" i="83"/>
  <c r="R483" i="83"/>
  <c r="S483" i="83" s="1"/>
  <c r="Q483" i="83"/>
  <c r="O483" i="83"/>
  <c r="M483" i="83"/>
  <c r="K483" i="83"/>
  <c r="I483" i="83"/>
  <c r="C483" i="83"/>
  <c r="R482" i="83"/>
  <c r="S482" i="83" s="1"/>
  <c r="Q482" i="83"/>
  <c r="O482" i="83"/>
  <c r="M482" i="83"/>
  <c r="K482" i="83"/>
  <c r="I482" i="83"/>
  <c r="C482" i="83"/>
  <c r="R481" i="83"/>
  <c r="S481" i="83" s="1"/>
  <c r="Q481" i="83"/>
  <c r="O481" i="83"/>
  <c r="M481" i="83"/>
  <c r="K481" i="83"/>
  <c r="I481" i="83"/>
  <c r="C481" i="83"/>
  <c r="R480" i="83"/>
  <c r="S480" i="83" s="1"/>
  <c r="Q480" i="83"/>
  <c r="O480" i="83"/>
  <c r="M480" i="83"/>
  <c r="K480" i="83"/>
  <c r="I480" i="83"/>
  <c r="C480" i="83"/>
  <c r="R479" i="83"/>
  <c r="S479" i="83" s="1"/>
  <c r="Q479" i="83"/>
  <c r="O479" i="83"/>
  <c r="M479" i="83"/>
  <c r="K479" i="83"/>
  <c r="I479" i="83"/>
  <c r="C479" i="83"/>
  <c r="R478" i="83"/>
  <c r="S478" i="83" s="1"/>
  <c r="Q478" i="83"/>
  <c r="O478" i="83"/>
  <c r="M478" i="83"/>
  <c r="K478" i="83"/>
  <c r="I478" i="83"/>
  <c r="C478" i="83"/>
  <c r="R477" i="83"/>
  <c r="S477" i="83" s="1"/>
  <c r="Q477" i="83"/>
  <c r="O477" i="83"/>
  <c r="M477" i="83"/>
  <c r="K477" i="83"/>
  <c r="I477" i="83"/>
  <c r="C477" i="83"/>
  <c r="R476" i="83"/>
  <c r="S476" i="83" s="1"/>
  <c r="Q476" i="83"/>
  <c r="O476" i="83"/>
  <c r="M476" i="83"/>
  <c r="K476" i="83"/>
  <c r="I476" i="83"/>
  <c r="C476" i="83"/>
  <c r="R475" i="83"/>
  <c r="S475" i="83" s="1"/>
  <c r="Q475" i="83"/>
  <c r="O475" i="83"/>
  <c r="M475" i="83"/>
  <c r="K475" i="83"/>
  <c r="I475" i="83"/>
  <c r="C475" i="83"/>
  <c r="R474" i="83"/>
  <c r="S474" i="83" s="1"/>
  <c r="Q474" i="83"/>
  <c r="O474" i="83"/>
  <c r="M474" i="83"/>
  <c r="K474" i="83"/>
  <c r="I474" i="83"/>
  <c r="C474" i="83"/>
  <c r="R473" i="83"/>
  <c r="S473" i="83" s="1"/>
  <c r="Q473" i="83"/>
  <c r="O473" i="83"/>
  <c r="M473" i="83"/>
  <c r="K473" i="83"/>
  <c r="I473" i="83"/>
  <c r="C473" i="83"/>
  <c r="R472" i="83"/>
  <c r="S472" i="83" s="1"/>
  <c r="Q472" i="83"/>
  <c r="O472" i="83"/>
  <c r="M472" i="83"/>
  <c r="K472" i="83"/>
  <c r="I472" i="83"/>
  <c r="C472" i="83"/>
  <c r="R471" i="83"/>
  <c r="S471" i="83" s="1"/>
  <c r="Q471" i="83"/>
  <c r="O471" i="83"/>
  <c r="M471" i="83"/>
  <c r="K471" i="83"/>
  <c r="I471" i="83"/>
  <c r="C471" i="83"/>
  <c r="R470" i="83"/>
  <c r="S470" i="83" s="1"/>
  <c r="Q470" i="83"/>
  <c r="O470" i="83"/>
  <c r="M470" i="83"/>
  <c r="K470" i="83"/>
  <c r="I470" i="83"/>
  <c r="C470" i="83"/>
  <c r="R469" i="83"/>
  <c r="S469" i="83" s="1"/>
  <c r="Q469" i="83"/>
  <c r="O469" i="83"/>
  <c r="M469" i="83"/>
  <c r="K469" i="83"/>
  <c r="I469" i="83"/>
  <c r="C469" i="83"/>
  <c r="R468" i="83"/>
  <c r="S468" i="83" s="1"/>
  <c r="Q468" i="83"/>
  <c r="O468" i="83"/>
  <c r="M468" i="83"/>
  <c r="K468" i="83"/>
  <c r="I468" i="83"/>
  <c r="C468" i="83"/>
  <c r="R467" i="83"/>
  <c r="S467" i="83" s="1"/>
  <c r="Q467" i="83"/>
  <c r="O467" i="83"/>
  <c r="M467" i="83"/>
  <c r="K467" i="83"/>
  <c r="I467" i="83"/>
  <c r="C467" i="83"/>
  <c r="R466" i="83"/>
  <c r="S466" i="83" s="1"/>
  <c r="Q466" i="83"/>
  <c r="O466" i="83"/>
  <c r="M466" i="83"/>
  <c r="K466" i="83"/>
  <c r="I466" i="83"/>
  <c r="C466" i="83"/>
  <c r="R465" i="83"/>
  <c r="S465" i="83" s="1"/>
  <c r="Q465" i="83"/>
  <c r="O465" i="83"/>
  <c r="M465" i="83"/>
  <c r="K465" i="83"/>
  <c r="I465" i="83"/>
  <c r="C465" i="83"/>
  <c r="R464" i="83"/>
  <c r="S464" i="83" s="1"/>
  <c r="Q464" i="83"/>
  <c r="O464" i="83"/>
  <c r="M464" i="83"/>
  <c r="K464" i="83"/>
  <c r="I464" i="83"/>
  <c r="C464" i="83"/>
  <c r="R463" i="83"/>
  <c r="S463" i="83" s="1"/>
  <c r="Q463" i="83"/>
  <c r="O463" i="83"/>
  <c r="M463" i="83"/>
  <c r="K463" i="83"/>
  <c r="I463" i="83"/>
  <c r="C463" i="83"/>
  <c r="R462" i="83"/>
  <c r="S462" i="83" s="1"/>
  <c r="Q462" i="83"/>
  <c r="O462" i="83"/>
  <c r="M462" i="83"/>
  <c r="K462" i="83"/>
  <c r="I462" i="83"/>
  <c r="C462" i="83"/>
  <c r="R461" i="83"/>
  <c r="S461" i="83" s="1"/>
  <c r="Q461" i="83"/>
  <c r="O461" i="83"/>
  <c r="M461" i="83"/>
  <c r="K461" i="83"/>
  <c r="I461" i="83"/>
  <c r="C461" i="83"/>
  <c r="R460" i="83"/>
  <c r="S460" i="83" s="1"/>
  <c r="Q460" i="83"/>
  <c r="O460" i="83"/>
  <c r="M460" i="83"/>
  <c r="K460" i="83"/>
  <c r="I460" i="83"/>
  <c r="C460" i="83"/>
  <c r="R459" i="83"/>
  <c r="S459" i="83" s="1"/>
  <c r="Q459" i="83"/>
  <c r="O459" i="83"/>
  <c r="M459" i="83"/>
  <c r="K459" i="83"/>
  <c r="I459" i="83"/>
  <c r="C459" i="83"/>
  <c r="R458" i="83"/>
  <c r="S458" i="83" s="1"/>
  <c r="Q458" i="83"/>
  <c r="O458" i="83"/>
  <c r="M458" i="83"/>
  <c r="K458" i="83"/>
  <c r="I458" i="83"/>
  <c r="C458" i="83"/>
  <c r="R457" i="83"/>
  <c r="S457" i="83" s="1"/>
  <c r="Q457" i="83"/>
  <c r="O457" i="83"/>
  <c r="M457" i="83"/>
  <c r="K457" i="83"/>
  <c r="I457" i="83"/>
  <c r="C457" i="83"/>
  <c r="R456" i="83"/>
  <c r="S456" i="83" s="1"/>
  <c r="Q456" i="83"/>
  <c r="O456" i="83"/>
  <c r="M456" i="83"/>
  <c r="K456" i="83"/>
  <c r="I456" i="83"/>
  <c r="C456" i="83"/>
  <c r="R455" i="83"/>
  <c r="S455" i="83" s="1"/>
  <c r="Q455" i="83"/>
  <c r="O455" i="83"/>
  <c r="M455" i="83"/>
  <c r="K455" i="83"/>
  <c r="I455" i="83"/>
  <c r="C455" i="83"/>
  <c r="R454" i="83"/>
  <c r="S454" i="83" s="1"/>
  <c r="Q454" i="83"/>
  <c r="O454" i="83"/>
  <c r="M454" i="83"/>
  <c r="K454" i="83"/>
  <c r="I454" i="83"/>
  <c r="C454" i="83"/>
  <c r="R453" i="83"/>
  <c r="S453" i="83" s="1"/>
  <c r="Q453" i="83"/>
  <c r="O453" i="83"/>
  <c r="M453" i="83"/>
  <c r="K453" i="83"/>
  <c r="I453" i="83"/>
  <c r="C453" i="83"/>
  <c r="R452" i="83"/>
  <c r="S452" i="83" s="1"/>
  <c r="Q452" i="83"/>
  <c r="O452" i="83"/>
  <c r="M452" i="83"/>
  <c r="K452" i="83"/>
  <c r="I452" i="83"/>
  <c r="C452" i="83"/>
  <c r="R451" i="83"/>
  <c r="S451" i="83" s="1"/>
  <c r="Q451" i="83"/>
  <c r="O451" i="83"/>
  <c r="M451" i="83"/>
  <c r="K451" i="83"/>
  <c r="I451" i="83"/>
  <c r="C451" i="83"/>
  <c r="R450" i="83"/>
  <c r="S450" i="83" s="1"/>
  <c r="Q450" i="83"/>
  <c r="O450" i="83"/>
  <c r="M450" i="83"/>
  <c r="K450" i="83"/>
  <c r="I450" i="83"/>
  <c r="C450" i="83"/>
  <c r="R449" i="83"/>
  <c r="S449" i="83" s="1"/>
  <c r="Q449" i="83"/>
  <c r="O449" i="83"/>
  <c r="M449" i="83"/>
  <c r="K449" i="83"/>
  <c r="I449" i="83"/>
  <c r="C449" i="83"/>
  <c r="R448" i="83"/>
  <c r="S448" i="83" s="1"/>
  <c r="Q448" i="83"/>
  <c r="O448" i="83"/>
  <c r="M448" i="83"/>
  <c r="K448" i="83"/>
  <c r="I448" i="83"/>
  <c r="C448" i="83"/>
  <c r="R447" i="83"/>
  <c r="S447" i="83" s="1"/>
  <c r="Q447" i="83"/>
  <c r="O447" i="83"/>
  <c r="M447" i="83"/>
  <c r="K447" i="83"/>
  <c r="I447" i="83"/>
  <c r="C447" i="83"/>
  <c r="R446" i="83"/>
  <c r="S446" i="83" s="1"/>
  <c r="Q446" i="83"/>
  <c r="O446" i="83"/>
  <c r="M446" i="83"/>
  <c r="K446" i="83"/>
  <c r="I446" i="83"/>
  <c r="C446" i="83"/>
  <c r="R445" i="83"/>
  <c r="S445" i="83" s="1"/>
  <c r="Q445" i="83"/>
  <c r="O445" i="83"/>
  <c r="M445" i="83"/>
  <c r="K445" i="83"/>
  <c r="I445" i="83"/>
  <c r="C445" i="83"/>
  <c r="R444" i="83"/>
  <c r="S444" i="83" s="1"/>
  <c r="Q444" i="83"/>
  <c r="O444" i="83"/>
  <c r="M444" i="83"/>
  <c r="K444" i="83"/>
  <c r="I444" i="83"/>
  <c r="C444" i="83"/>
  <c r="R443" i="83"/>
  <c r="S443" i="83" s="1"/>
  <c r="Q443" i="83"/>
  <c r="O443" i="83"/>
  <c r="M443" i="83"/>
  <c r="K443" i="83"/>
  <c r="I443" i="83"/>
  <c r="C443" i="83"/>
  <c r="R442" i="83"/>
  <c r="S442" i="83" s="1"/>
  <c r="Q442" i="83"/>
  <c r="O442" i="83"/>
  <c r="M442" i="83"/>
  <c r="K442" i="83"/>
  <c r="I442" i="83"/>
  <c r="C442" i="83"/>
  <c r="R441" i="83"/>
  <c r="S441" i="83" s="1"/>
  <c r="Q441" i="83"/>
  <c r="O441" i="83"/>
  <c r="M441" i="83"/>
  <c r="K441" i="83"/>
  <c r="I441" i="83"/>
  <c r="C441" i="83"/>
  <c r="R440" i="83"/>
  <c r="S440" i="83" s="1"/>
  <c r="Q440" i="83"/>
  <c r="O440" i="83"/>
  <c r="M440" i="83"/>
  <c r="K440" i="83"/>
  <c r="I440" i="83"/>
  <c r="C440" i="83"/>
  <c r="R439" i="83"/>
  <c r="S439" i="83" s="1"/>
  <c r="Q439" i="83"/>
  <c r="O439" i="83"/>
  <c r="M439" i="83"/>
  <c r="K439" i="83"/>
  <c r="I439" i="83"/>
  <c r="C439" i="83"/>
  <c r="R438" i="83"/>
  <c r="S438" i="83" s="1"/>
  <c r="Q438" i="83"/>
  <c r="O438" i="83"/>
  <c r="M438" i="83"/>
  <c r="K438" i="83"/>
  <c r="I438" i="83"/>
  <c r="C438" i="83"/>
  <c r="R437" i="83"/>
  <c r="S437" i="83" s="1"/>
  <c r="Q437" i="83"/>
  <c r="O437" i="83"/>
  <c r="M437" i="83"/>
  <c r="K437" i="83"/>
  <c r="I437" i="83"/>
  <c r="C437" i="83"/>
  <c r="R436" i="83"/>
  <c r="S436" i="83" s="1"/>
  <c r="Q436" i="83"/>
  <c r="O436" i="83"/>
  <c r="M436" i="83"/>
  <c r="K436" i="83"/>
  <c r="I436" i="83"/>
  <c r="C436" i="83"/>
  <c r="R435" i="83"/>
  <c r="S435" i="83" s="1"/>
  <c r="Q435" i="83"/>
  <c r="O435" i="83"/>
  <c r="M435" i="83"/>
  <c r="K435" i="83"/>
  <c r="I435" i="83"/>
  <c r="C435" i="83"/>
  <c r="R434" i="83"/>
  <c r="S434" i="83" s="1"/>
  <c r="Q434" i="83"/>
  <c r="O434" i="83"/>
  <c r="M434" i="83"/>
  <c r="K434" i="83"/>
  <c r="I434" i="83"/>
  <c r="C434" i="83"/>
  <c r="R433" i="83"/>
  <c r="S433" i="83" s="1"/>
  <c r="Q433" i="83"/>
  <c r="O433" i="83"/>
  <c r="M433" i="83"/>
  <c r="K433" i="83"/>
  <c r="I433" i="83"/>
  <c r="C433" i="83"/>
  <c r="R432" i="83"/>
  <c r="S432" i="83" s="1"/>
  <c r="Q432" i="83"/>
  <c r="O432" i="83"/>
  <c r="M432" i="83"/>
  <c r="K432" i="83"/>
  <c r="I432" i="83"/>
  <c r="C432" i="83"/>
  <c r="R431" i="83"/>
  <c r="S431" i="83" s="1"/>
  <c r="Q431" i="83"/>
  <c r="O431" i="83"/>
  <c r="M431" i="83"/>
  <c r="K431" i="83"/>
  <c r="I431" i="83"/>
  <c r="C431" i="83"/>
  <c r="R430" i="83"/>
  <c r="S430" i="83" s="1"/>
  <c r="Q430" i="83"/>
  <c r="O430" i="83"/>
  <c r="M430" i="83"/>
  <c r="K430" i="83"/>
  <c r="I430" i="83"/>
  <c r="C430" i="83"/>
  <c r="R429" i="83"/>
  <c r="S429" i="83" s="1"/>
  <c r="Q429" i="83"/>
  <c r="O429" i="83"/>
  <c r="M429" i="83"/>
  <c r="K429" i="83"/>
  <c r="I429" i="83"/>
  <c r="C429" i="83"/>
  <c r="R428" i="83"/>
  <c r="S428" i="83" s="1"/>
  <c r="Q428" i="83"/>
  <c r="O428" i="83"/>
  <c r="M428" i="83"/>
  <c r="K428" i="83"/>
  <c r="I428" i="83"/>
  <c r="C428" i="83"/>
  <c r="R427" i="83"/>
  <c r="S427" i="83" s="1"/>
  <c r="Q427" i="83"/>
  <c r="O427" i="83"/>
  <c r="M427" i="83"/>
  <c r="K427" i="83"/>
  <c r="I427" i="83"/>
  <c r="C427" i="83"/>
  <c r="R426" i="83"/>
  <c r="S426" i="83" s="1"/>
  <c r="Q426" i="83"/>
  <c r="O426" i="83"/>
  <c r="M426" i="83"/>
  <c r="K426" i="83"/>
  <c r="I426" i="83"/>
  <c r="C426" i="83"/>
  <c r="R425" i="83"/>
  <c r="S425" i="83" s="1"/>
  <c r="Q425" i="83"/>
  <c r="O425" i="83"/>
  <c r="M425" i="83"/>
  <c r="K425" i="83"/>
  <c r="I425" i="83"/>
  <c r="C425" i="83"/>
  <c r="R424" i="83"/>
  <c r="S424" i="83" s="1"/>
  <c r="Q424" i="83"/>
  <c r="O424" i="83"/>
  <c r="M424" i="83"/>
  <c r="K424" i="83"/>
  <c r="I424" i="83"/>
  <c r="C424" i="83"/>
  <c r="R423" i="83"/>
  <c r="S423" i="83" s="1"/>
  <c r="Q423" i="83"/>
  <c r="O423" i="83"/>
  <c r="M423" i="83"/>
  <c r="K423" i="83"/>
  <c r="I423" i="83"/>
  <c r="C423" i="83"/>
  <c r="R422" i="83"/>
  <c r="S422" i="83" s="1"/>
  <c r="Q422" i="83"/>
  <c r="O422" i="83"/>
  <c r="M422" i="83"/>
  <c r="K422" i="83"/>
  <c r="I422" i="83"/>
  <c r="C422" i="83"/>
  <c r="R421" i="83"/>
  <c r="S421" i="83" s="1"/>
  <c r="Q421" i="83"/>
  <c r="O421" i="83"/>
  <c r="M421" i="83"/>
  <c r="K421" i="83"/>
  <c r="I421" i="83"/>
  <c r="C421" i="83"/>
  <c r="R420" i="83"/>
  <c r="S420" i="83" s="1"/>
  <c r="Q420" i="83"/>
  <c r="O420" i="83"/>
  <c r="M420" i="83"/>
  <c r="K420" i="83"/>
  <c r="I420" i="83"/>
  <c r="C420" i="83"/>
  <c r="R419" i="83"/>
  <c r="S419" i="83" s="1"/>
  <c r="Q419" i="83"/>
  <c r="O419" i="83"/>
  <c r="M419" i="83"/>
  <c r="K419" i="83"/>
  <c r="I419" i="83"/>
  <c r="C419" i="83"/>
  <c r="R418" i="83"/>
  <c r="S418" i="83" s="1"/>
  <c r="Q418" i="83"/>
  <c r="O418" i="83"/>
  <c r="M418" i="83"/>
  <c r="K418" i="83"/>
  <c r="I418" i="83"/>
  <c r="C418" i="83"/>
  <c r="R417" i="83"/>
  <c r="S417" i="83" s="1"/>
  <c r="Q417" i="83"/>
  <c r="O417" i="83"/>
  <c r="M417" i="83"/>
  <c r="K417" i="83"/>
  <c r="I417" i="83"/>
  <c r="C417" i="83"/>
  <c r="R416" i="83"/>
  <c r="S416" i="83" s="1"/>
  <c r="Q416" i="83"/>
  <c r="O416" i="83"/>
  <c r="M416" i="83"/>
  <c r="K416" i="83"/>
  <c r="I416" i="83"/>
  <c r="C416" i="83"/>
  <c r="R415" i="83"/>
  <c r="S415" i="83" s="1"/>
  <c r="Q415" i="83"/>
  <c r="O415" i="83"/>
  <c r="M415" i="83"/>
  <c r="K415" i="83"/>
  <c r="I415" i="83"/>
  <c r="C415" i="83"/>
  <c r="R414" i="83"/>
  <c r="S414" i="83" s="1"/>
  <c r="Q414" i="83"/>
  <c r="O414" i="83"/>
  <c r="M414" i="83"/>
  <c r="K414" i="83"/>
  <c r="I414" i="83"/>
  <c r="C414" i="83"/>
  <c r="R413" i="83"/>
  <c r="S413" i="83" s="1"/>
  <c r="Q413" i="83"/>
  <c r="O413" i="83"/>
  <c r="M413" i="83"/>
  <c r="K413" i="83"/>
  <c r="I413" i="83"/>
  <c r="C413" i="83"/>
  <c r="R412" i="83"/>
  <c r="S412" i="83" s="1"/>
  <c r="Q412" i="83"/>
  <c r="O412" i="83"/>
  <c r="M412" i="83"/>
  <c r="K412" i="83"/>
  <c r="I412" i="83"/>
  <c r="C412" i="83"/>
  <c r="R411" i="83"/>
  <c r="S411" i="83" s="1"/>
  <c r="Q411" i="83"/>
  <c r="O411" i="83"/>
  <c r="M411" i="83"/>
  <c r="K411" i="83"/>
  <c r="I411" i="83"/>
  <c r="C411" i="83"/>
  <c r="R410" i="83"/>
  <c r="S410" i="83" s="1"/>
  <c r="Q410" i="83"/>
  <c r="O410" i="83"/>
  <c r="M410" i="83"/>
  <c r="K410" i="83"/>
  <c r="I410" i="83"/>
  <c r="C410" i="83"/>
  <c r="R409" i="83"/>
  <c r="S409" i="83" s="1"/>
  <c r="Q409" i="83"/>
  <c r="O409" i="83"/>
  <c r="M409" i="83"/>
  <c r="K409" i="83"/>
  <c r="I409" i="83"/>
  <c r="C409" i="83"/>
  <c r="R408" i="83"/>
  <c r="S408" i="83" s="1"/>
  <c r="Q408" i="83"/>
  <c r="O408" i="83"/>
  <c r="M408" i="83"/>
  <c r="K408" i="83"/>
  <c r="I408" i="83"/>
  <c r="C408" i="83"/>
  <c r="R407" i="83"/>
  <c r="S407" i="83" s="1"/>
  <c r="Q407" i="83"/>
  <c r="O407" i="83"/>
  <c r="M407" i="83"/>
  <c r="K407" i="83"/>
  <c r="I407" i="83"/>
  <c r="C407" i="83"/>
  <c r="R406" i="83"/>
  <c r="S406" i="83" s="1"/>
  <c r="Q406" i="83"/>
  <c r="O406" i="83"/>
  <c r="M406" i="83"/>
  <c r="K406" i="83"/>
  <c r="I406" i="83"/>
  <c r="C406" i="83"/>
  <c r="R405" i="83"/>
  <c r="S405" i="83" s="1"/>
  <c r="Q405" i="83"/>
  <c r="O405" i="83"/>
  <c r="M405" i="83"/>
  <c r="K405" i="83"/>
  <c r="I405" i="83"/>
  <c r="C405" i="83"/>
  <c r="R404" i="83"/>
  <c r="S404" i="83" s="1"/>
  <c r="Q404" i="83"/>
  <c r="O404" i="83"/>
  <c r="M404" i="83"/>
  <c r="K404" i="83"/>
  <c r="I404" i="83"/>
  <c r="C404" i="83"/>
  <c r="R403" i="83"/>
  <c r="S403" i="83" s="1"/>
  <c r="Q403" i="83"/>
  <c r="O403" i="83"/>
  <c r="M403" i="83"/>
  <c r="K403" i="83"/>
  <c r="I403" i="83"/>
  <c r="C403" i="83"/>
  <c r="R402" i="83"/>
  <c r="S402" i="83" s="1"/>
  <c r="Q402" i="83"/>
  <c r="O402" i="83"/>
  <c r="M402" i="83"/>
  <c r="K402" i="83"/>
  <c r="I402" i="83"/>
  <c r="C402" i="83"/>
  <c r="R401" i="83"/>
  <c r="S401" i="83" s="1"/>
  <c r="Q401" i="83"/>
  <c r="O401" i="83"/>
  <c r="M401" i="83"/>
  <c r="K401" i="83"/>
  <c r="I401" i="83"/>
  <c r="C401" i="83"/>
  <c r="R400" i="83"/>
  <c r="S400" i="83" s="1"/>
  <c r="Q400" i="83"/>
  <c r="O400" i="83"/>
  <c r="M400" i="83"/>
  <c r="K400" i="83"/>
  <c r="I400" i="83"/>
  <c r="C400" i="83"/>
  <c r="R399" i="83"/>
  <c r="S399" i="83" s="1"/>
  <c r="Q399" i="83"/>
  <c r="O399" i="83"/>
  <c r="M399" i="83"/>
  <c r="K399" i="83"/>
  <c r="I399" i="83"/>
  <c r="C399" i="83"/>
  <c r="R398" i="83"/>
  <c r="S398" i="83" s="1"/>
  <c r="Q398" i="83"/>
  <c r="O398" i="83"/>
  <c r="M398" i="83"/>
  <c r="K398" i="83"/>
  <c r="I398" i="83"/>
  <c r="C398" i="83"/>
  <c r="R397" i="83"/>
  <c r="S397" i="83" s="1"/>
  <c r="Q397" i="83"/>
  <c r="O397" i="83"/>
  <c r="M397" i="83"/>
  <c r="K397" i="83"/>
  <c r="I397" i="83"/>
  <c r="C397" i="83"/>
  <c r="R396" i="83"/>
  <c r="S396" i="83" s="1"/>
  <c r="Q396" i="83"/>
  <c r="O396" i="83"/>
  <c r="M396" i="83"/>
  <c r="K396" i="83"/>
  <c r="I396" i="83"/>
  <c r="C396" i="83"/>
  <c r="R395" i="83"/>
  <c r="S395" i="83" s="1"/>
  <c r="Q395" i="83"/>
  <c r="O395" i="83"/>
  <c r="M395" i="83"/>
  <c r="K395" i="83"/>
  <c r="I395" i="83"/>
  <c r="C395" i="83"/>
  <c r="R394" i="83"/>
  <c r="S394" i="83" s="1"/>
  <c r="Q394" i="83"/>
  <c r="O394" i="83"/>
  <c r="M394" i="83"/>
  <c r="K394" i="83"/>
  <c r="I394" i="83"/>
  <c r="C394" i="83"/>
  <c r="R393" i="83"/>
  <c r="S393" i="83" s="1"/>
  <c r="Q393" i="83"/>
  <c r="O393" i="83"/>
  <c r="M393" i="83"/>
  <c r="K393" i="83"/>
  <c r="I393" i="83"/>
  <c r="C393" i="83"/>
  <c r="R392" i="83"/>
  <c r="S392" i="83" s="1"/>
  <c r="Q392" i="83"/>
  <c r="O392" i="83"/>
  <c r="M392" i="83"/>
  <c r="K392" i="83"/>
  <c r="I392" i="83"/>
  <c r="C392" i="83"/>
  <c r="R391" i="83"/>
  <c r="S391" i="83" s="1"/>
  <c r="Q391" i="83"/>
  <c r="O391" i="83"/>
  <c r="M391" i="83"/>
  <c r="K391" i="83"/>
  <c r="I391" i="83"/>
  <c r="C391" i="83"/>
  <c r="R390" i="83"/>
  <c r="S390" i="83" s="1"/>
  <c r="Q390" i="83"/>
  <c r="O390" i="83"/>
  <c r="M390" i="83"/>
  <c r="K390" i="83"/>
  <c r="I390" i="83"/>
  <c r="C390" i="83"/>
  <c r="R389" i="83"/>
  <c r="S389" i="83" s="1"/>
  <c r="Q389" i="83"/>
  <c r="O389" i="83"/>
  <c r="M389" i="83"/>
  <c r="K389" i="83"/>
  <c r="I389" i="83"/>
  <c r="C389" i="83"/>
  <c r="R388" i="83"/>
  <c r="S388" i="83" s="1"/>
  <c r="Q388" i="83"/>
  <c r="O388" i="83"/>
  <c r="M388" i="83"/>
  <c r="K388" i="83"/>
  <c r="I388" i="83"/>
  <c r="C388" i="83"/>
  <c r="R387" i="83"/>
  <c r="S387" i="83" s="1"/>
  <c r="Q387" i="83"/>
  <c r="O387" i="83"/>
  <c r="M387" i="83"/>
  <c r="K387" i="83"/>
  <c r="I387" i="83"/>
  <c r="C387" i="83"/>
  <c r="R386" i="83"/>
  <c r="S386" i="83" s="1"/>
  <c r="Q386" i="83"/>
  <c r="O386" i="83"/>
  <c r="M386" i="83"/>
  <c r="K386" i="83"/>
  <c r="I386" i="83"/>
  <c r="C386" i="83"/>
  <c r="R385" i="83"/>
  <c r="S385" i="83" s="1"/>
  <c r="Q385" i="83"/>
  <c r="O385" i="83"/>
  <c r="M385" i="83"/>
  <c r="K385" i="83"/>
  <c r="I385" i="83"/>
  <c r="C385" i="83"/>
  <c r="R384" i="83"/>
  <c r="S384" i="83" s="1"/>
  <c r="Q384" i="83"/>
  <c r="O384" i="83"/>
  <c r="M384" i="83"/>
  <c r="K384" i="83"/>
  <c r="I384" i="83"/>
  <c r="C384" i="83"/>
  <c r="R383" i="83"/>
  <c r="S383" i="83" s="1"/>
  <c r="Q383" i="83"/>
  <c r="O383" i="83"/>
  <c r="M383" i="83"/>
  <c r="K383" i="83"/>
  <c r="I383" i="83"/>
  <c r="C383" i="83"/>
  <c r="R382" i="83"/>
  <c r="S382" i="83" s="1"/>
  <c r="Q382" i="83"/>
  <c r="O382" i="83"/>
  <c r="M382" i="83"/>
  <c r="K382" i="83"/>
  <c r="I382" i="83"/>
  <c r="C382" i="83"/>
  <c r="R381" i="83"/>
  <c r="S381" i="83" s="1"/>
  <c r="Q381" i="83"/>
  <c r="O381" i="83"/>
  <c r="M381" i="83"/>
  <c r="K381" i="83"/>
  <c r="I381" i="83"/>
  <c r="C381" i="83"/>
  <c r="R380" i="83"/>
  <c r="S380" i="83" s="1"/>
  <c r="Q380" i="83"/>
  <c r="O380" i="83"/>
  <c r="M380" i="83"/>
  <c r="K380" i="83"/>
  <c r="I380" i="83"/>
  <c r="C380" i="83"/>
  <c r="R379" i="83"/>
  <c r="S379" i="83" s="1"/>
  <c r="Q379" i="83"/>
  <c r="O379" i="83"/>
  <c r="M379" i="83"/>
  <c r="K379" i="83"/>
  <c r="I379" i="83"/>
  <c r="C379" i="83"/>
  <c r="R378" i="83"/>
  <c r="S378" i="83" s="1"/>
  <c r="Q378" i="83"/>
  <c r="O378" i="83"/>
  <c r="M378" i="83"/>
  <c r="K378" i="83"/>
  <c r="I378" i="83"/>
  <c r="C378" i="83"/>
  <c r="R377" i="83"/>
  <c r="S377" i="83" s="1"/>
  <c r="Q377" i="83"/>
  <c r="O377" i="83"/>
  <c r="M377" i="83"/>
  <c r="K377" i="83"/>
  <c r="I377" i="83"/>
  <c r="C377" i="83"/>
  <c r="R376" i="83"/>
  <c r="S376" i="83" s="1"/>
  <c r="Q376" i="83"/>
  <c r="O376" i="83"/>
  <c r="M376" i="83"/>
  <c r="K376" i="83"/>
  <c r="I376" i="83"/>
  <c r="C376" i="83"/>
  <c r="R375" i="83"/>
  <c r="S375" i="83" s="1"/>
  <c r="Q375" i="83"/>
  <c r="O375" i="83"/>
  <c r="M375" i="83"/>
  <c r="K375" i="83"/>
  <c r="I375" i="83"/>
  <c r="C375" i="83"/>
  <c r="R374" i="83"/>
  <c r="S374" i="83" s="1"/>
  <c r="Q374" i="83"/>
  <c r="O374" i="83"/>
  <c r="M374" i="83"/>
  <c r="K374" i="83"/>
  <c r="I374" i="83"/>
  <c r="C374" i="83"/>
  <c r="R373" i="83"/>
  <c r="S373" i="83" s="1"/>
  <c r="Q373" i="83"/>
  <c r="O373" i="83"/>
  <c r="M373" i="83"/>
  <c r="K373" i="83"/>
  <c r="I373" i="83"/>
  <c r="C373" i="83"/>
  <c r="R372" i="83"/>
  <c r="S372" i="83" s="1"/>
  <c r="Q372" i="83"/>
  <c r="O372" i="83"/>
  <c r="M372" i="83"/>
  <c r="K372" i="83"/>
  <c r="I372" i="83"/>
  <c r="C372" i="83"/>
  <c r="R371" i="83"/>
  <c r="S371" i="83" s="1"/>
  <c r="Q371" i="83"/>
  <c r="O371" i="83"/>
  <c r="M371" i="83"/>
  <c r="K371" i="83"/>
  <c r="I371" i="83"/>
  <c r="C371" i="83"/>
  <c r="R370" i="83"/>
  <c r="S370" i="83" s="1"/>
  <c r="Q370" i="83"/>
  <c r="O370" i="83"/>
  <c r="M370" i="83"/>
  <c r="K370" i="83"/>
  <c r="I370" i="83"/>
  <c r="C370" i="83"/>
  <c r="R369" i="83"/>
  <c r="S369" i="83" s="1"/>
  <c r="Q369" i="83"/>
  <c r="O369" i="83"/>
  <c r="M369" i="83"/>
  <c r="K369" i="83"/>
  <c r="I369" i="83"/>
  <c r="C369" i="83"/>
  <c r="R368" i="83"/>
  <c r="S368" i="83" s="1"/>
  <c r="Q368" i="83"/>
  <c r="O368" i="83"/>
  <c r="M368" i="83"/>
  <c r="K368" i="83"/>
  <c r="I368" i="83"/>
  <c r="C368" i="83"/>
  <c r="R367" i="83"/>
  <c r="S367" i="83" s="1"/>
  <c r="Q367" i="83"/>
  <c r="O367" i="83"/>
  <c r="M367" i="83"/>
  <c r="K367" i="83"/>
  <c r="I367" i="83"/>
  <c r="C367" i="83"/>
  <c r="R366" i="83"/>
  <c r="S366" i="83" s="1"/>
  <c r="Q366" i="83"/>
  <c r="O366" i="83"/>
  <c r="M366" i="83"/>
  <c r="K366" i="83"/>
  <c r="I366" i="83"/>
  <c r="C366" i="83"/>
  <c r="R365" i="83"/>
  <c r="S365" i="83" s="1"/>
  <c r="Q365" i="83"/>
  <c r="O365" i="83"/>
  <c r="M365" i="83"/>
  <c r="K365" i="83"/>
  <c r="I365" i="83"/>
  <c r="C365" i="83"/>
  <c r="R364" i="83"/>
  <c r="S364" i="83" s="1"/>
  <c r="Q364" i="83"/>
  <c r="O364" i="83"/>
  <c r="M364" i="83"/>
  <c r="K364" i="83"/>
  <c r="I364" i="83"/>
  <c r="C364" i="83"/>
  <c r="R363" i="83"/>
  <c r="S363" i="83" s="1"/>
  <c r="Q363" i="83"/>
  <c r="O363" i="83"/>
  <c r="M363" i="83"/>
  <c r="K363" i="83"/>
  <c r="I363" i="83"/>
  <c r="C363" i="83"/>
  <c r="R362" i="83"/>
  <c r="S362" i="83" s="1"/>
  <c r="Q362" i="83"/>
  <c r="O362" i="83"/>
  <c r="M362" i="83"/>
  <c r="K362" i="83"/>
  <c r="I362" i="83"/>
  <c r="C362" i="83"/>
  <c r="R361" i="83"/>
  <c r="S361" i="83" s="1"/>
  <c r="Q361" i="83"/>
  <c r="O361" i="83"/>
  <c r="M361" i="83"/>
  <c r="K361" i="83"/>
  <c r="I361" i="83"/>
  <c r="C361" i="83"/>
  <c r="R360" i="83"/>
  <c r="S360" i="83" s="1"/>
  <c r="Q360" i="83"/>
  <c r="O360" i="83"/>
  <c r="M360" i="83"/>
  <c r="K360" i="83"/>
  <c r="I360" i="83"/>
  <c r="C360" i="83"/>
  <c r="R359" i="83"/>
  <c r="S359" i="83" s="1"/>
  <c r="Q359" i="83"/>
  <c r="O359" i="83"/>
  <c r="M359" i="83"/>
  <c r="K359" i="83"/>
  <c r="I359" i="83"/>
  <c r="C359" i="83"/>
  <c r="R358" i="83"/>
  <c r="S358" i="83" s="1"/>
  <c r="Q358" i="83"/>
  <c r="O358" i="83"/>
  <c r="M358" i="83"/>
  <c r="K358" i="83"/>
  <c r="I358" i="83"/>
  <c r="C358" i="83"/>
  <c r="R357" i="83"/>
  <c r="S357" i="83" s="1"/>
  <c r="Q357" i="83"/>
  <c r="O357" i="83"/>
  <c r="M357" i="83"/>
  <c r="K357" i="83"/>
  <c r="I357" i="83"/>
  <c r="C357" i="83"/>
  <c r="R356" i="83"/>
  <c r="S356" i="83" s="1"/>
  <c r="Q356" i="83"/>
  <c r="O356" i="83"/>
  <c r="M356" i="83"/>
  <c r="K356" i="83"/>
  <c r="I356" i="83"/>
  <c r="C356" i="83"/>
  <c r="R355" i="83"/>
  <c r="S355" i="83" s="1"/>
  <c r="Q355" i="83"/>
  <c r="O355" i="83"/>
  <c r="M355" i="83"/>
  <c r="K355" i="83"/>
  <c r="I355" i="83"/>
  <c r="C355" i="83"/>
  <c r="R354" i="83"/>
  <c r="S354" i="83" s="1"/>
  <c r="Q354" i="83"/>
  <c r="O354" i="83"/>
  <c r="M354" i="83"/>
  <c r="K354" i="83"/>
  <c r="I354" i="83"/>
  <c r="C354" i="83"/>
  <c r="R353" i="83"/>
  <c r="S353" i="83" s="1"/>
  <c r="Q353" i="83"/>
  <c r="O353" i="83"/>
  <c r="M353" i="83"/>
  <c r="K353" i="83"/>
  <c r="I353" i="83"/>
  <c r="C353" i="83"/>
  <c r="R352" i="83"/>
  <c r="S352" i="83" s="1"/>
  <c r="Q352" i="83"/>
  <c r="O352" i="83"/>
  <c r="M352" i="83"/>
  <c r="K352" i="83"/>
  <c r="I352" i="83"/>
  <c r="C352" i="83"/>
  <c r="R351" i="83"/>
  <c r="S351" i="83" s="1"/>
  <c r="Q351" i="83"/>
  <c r="O351" i="83"/>
  <c r="M351" i="83"/>
  <c r="K351" i="83"/>
  <c r="I351" i="83"/>
  <c r="C351" i="83"/>
  <c r="R350" i="83"/>
  <c r="S350" i="83" s="1"/>
  <c r="Q350" i="83"/>
  <c r="O350" i="83"/>
  <c r="M350" i="83"/>
  <c r="K350" i="83"/>
  <c r="I350" i="83"/>
  <c r="C350" i="83"/>
  <c r="R349" i="83"/>
  <c r="S349" i="83" s="1"/>
  <c r="Q349" i="83"/>
  <c r="O349" i="83"/>
  <c r="M349" i="83"/>
  <c r="K349" i="83"/>
  <c r="I349" i="83"/>
  <c r="C349" i="83"/>
  <c r="R348" i="83"/>
  <c r="S348" i="83" s="1"/>
  <c r="Q348" i="83"/>
  <c r="O348" i="83"/>
  <c r="M348" i="83"/>
  <c r="K348" i="83"/>
  <c r="I348" i="83"/>
  <c r="C348" i="83"/>
  <c r="R347" i="83"/>
  <c r="S347" i="83" s="1"/>
  <c r="Q347" i="83"/>
  <c r="O347" i="83"/>
  <c r="M347" i="83"/>
  <c r="K347" i="83"/>
  <c r="I347" i="83"/>
  <c r="C347" i="83"/>
  <c r="R346" i="83"/>
  <c r="S346" i="83" s="1"/>
  <c r="Q346" i="83"/>
  <c r="O346" i="83"/>
  <c r="M346" i="83"/>
  <c r="K346" i="83"/>
  <c r="I346" i="83"/>
  <c r="C346" i="83"/>
  <c r="R345" i="83"/>
  <c r="S345" i="83" s="1"/>
  <c r="Q345" i="83"/>
  <c r="O345" i="83"/>
  <c r="M345" i="83"/>
  <c r="K345" i="83"/>
  <c r="I345" i="83"/>
  <c r="C345" i="83"/>
  <c r="R344" i="83"/>
  <c r="S344" i="83" s="1"/>
  <c r="Q344" i="83"/>
  <c r="O344" i="83"/>
  <c r="M344" i="83"/>
  <c r="K344" i="83"/>
  <c r="I344" i="83"/>
  <c r="C344" i="83"/>
  <c r="R343" i="83"/>
  <c r="S343" i="83" s="1"/>
  <c r="Q343" i="83"/>
  <c r="O343" i="83"/>
  <c r="M343" i="83"/>
  <c r="K343" i="83"/>
  <c r="I343" i="83"/>
  <c r="C343" i="83"/>
  <c r="R342" i="83"/>
  <c r="S342" i="83" s="1"/>
  <c r="Q342" i="83"/>
  <c r="O342" i="83"/>
  <c r="M342" i="83"/>
  <c r="K342" i="83"/>
  <c r="I342" i="83"/>
  <c r="C342" i="83"/>
  <c r="R341" i="83"/>
  <c r="S341" i="83" s="1"/>
  <c r="Q341" i="83"/>
  <c r="O341" i="83"/>
  <c r="M341" i="83"/>
  <c r="K341" i="83"/>
  <c r="I341" i="83"/>
  <c r="C341" i="83"/>
  <c r="R340" i="83"/>
  <c r="S340" i="83" s="1"/>
  <c r="Q340" i="83"/>
  <c r="O340" i="83"/>
  <c r="M340" i="83"/>
  <c r="K340" i="83"/>
  <c r="I340" i="83"/>
  <c r="C340" i="83"/>
  <c r="R339" i="83"/>
  <c r="S339" i="83" s="1"/>
  <c r="Q339" i="83"/>
  <c r="O339" i="83"/>
  <c r="M339" i="83"/>
  <c r="K339" i="83"/>
  <c r="I339" i="83"/>
  <c r="C339" i="83"/>
  <c r="R338" i="83"/>
  <c r="S338" i="83" s="1"/>
  <c r="Q338" i="83"/>
  <c r="O338" i="83"/>
  <c r="M338" i="83"/>
  <c r="K338" i="83"/>
  <c r="I338" i="83"/>
  <c r="C338" i="83"/>
  <c r="R337" i="83"/>
  <c r="S337" i="83" s="1"/>
  <c r="Q337" i="83"/>
  <c r="O337" i="83"/>
  <c r="M337" i="83"/>
  <c r="K337" i="83"/>
  <c r="I337" i="83"/>
  <c r="C337" i="83"/>
  <c r="R336" i="83"/>
  <c r="S336" i="83" s="1"/>
  <c r="Q336" i="83"/>
  <c r="O336" i="83"/>
  <c r="M336" i="83"/>
  <c r="K336" i="83"/>
  <c r="I336" i="83"/>
  <c r="C336" i="83"/>
  <c r="R335" i="83"/>
  <c r="S335" i="83" s="1"/>
  <c r="Q335" i="83"/>
  <c r="O335" i="83"/>
  <c r="M335" i="83"/>
  <c r="K335" i="83"/>
  <c r="I335" i="83"/>
  <c r="C335" i="83"/>
  <c r="R334" i="83"/>
  <c r="S334" i="83" s="1"/>
  <c r="Q334" i="83"/>
  <c r="O334" i="83"/>
  <c r="M334" i="83"/>
  <c r="K334" i="83"/>
  <c r="I334" i="83"/>
  <c r="C334" i="83"/>
  <c r="R333" i="83"/>
  <c r="S333" i="83" s="1"/>
  <c r="Q333" i="83"/>
  <c r="O333" i="83"/>
  <c r="M333" i="83"/>
  <c r="K333" i="83"/>
  <c r="I333" i="83"/>
  <c r="C333" i="83"/>
  <c r="R332" i="83"/>
  <c r="S332" i="83" s="1"/>
  <c r="Q332" i="83"/>
  <c r="O332" i="83"/>
  <c r="M332" i="83"/>
  <c r="K332" i="83"/>
  <c r="I332" i="83"/>
  <c r="C332" i="83"/>
  <c r="R331" i="83"/>
  <c r="S331" i="83" s="1"/>
  <c r="Q331" i="83"/>
  <c r="O331" i="83"/>
  <c r="M331" i="83"/>
  <c r="K331" i="83"/>
  <c r="I331" i="83"/>
  <c r="C331" i="83"/>
  <c r="R330" i="83"/>
  <c r="S330" i="83" s="1"/>
  <c r="Q330" i="83"/>
  <c r="O330" i="83"/>
  <c r="M330" i="83"/>
  <c r="K330" i="83"/>
  <c r="I330" i="83"/>
  <c r="C330" i="83"/>
  <c r="R329" i="83"/>
  <c r="S329" i="83" s="1"/>
  <c r="Q329" i="83"/>
  <c r="O329" i="83"/>
  <c r="M329" i="83"/>
  <c r="K329" i="83"/>
  <c r="I329" i="83"/>
  <c r="C329" i="83"/>
  <c r="R328" i="83"/>
  <c r="S328" i="83" s="1"/>
  <c r="Q328" i="83"/>
  <c r="O328" i="83"/>
  <c r="M328" i="83"/>
  <c r="K328" i="83"/>
  <c r="I328" i="83"/>
  <c r="C328" i="83"/>
  <c r="R327" i="83"/>
  <c r="S327" i="83" s="1"/>
  <c r="Q327" i="83"/>
  <c r="O327" i="83"/>
  <c r="M327" i="83"/>
  <c r="K327" i="83"/>
  <c r="I327" i="83"/>
  <c r="C327" i="83"/>
  <c r="R326" i="83"/>
  <c r="S326" i="83" s="1"/>
  <c r="Q326" i="83"/>
  <c r="O326" i="83"/>
  <c r="M326" i="83"/>
  <c r="K326" i="83"/>
  <c r="I326" i="83"/>
  <c r="C326" i="83"/>
  <c r="R325" i="83"/>
  <c r="S325" i="83" s="1"/>
  <c r="Q325" i="83"/>
  <c r="O325" i="83"/>
  <c r="M325" i="83"/>
  <c r="K325" i="83"/>
  <c r="I325" i="83"/>
  <c r="C325" i="83"/>
  <c r="R324" i="83"/>
  <c r="S324" i="83" s="1"/>
  <c r="Q324" i="83"/>
  <c r="O324" i="83"/>
  <c r="M324" i="83"/>
  <c r="K324" i="83"/>
  <c r="I324" i="83"/>
  <c r="C324" i="83"/>
  <c r="R323" i="83"/>
  <c r="S323" i="83" s="1"/>
  <c r="Q323" i="83"/>
  <c r="O323" i="83"/>
  <c r="M323" i="83"/>
  <c r="K323" i="83"/>
  <c r="I323" i="83"/>
  <c r="C323" i="83"/>
  <c r="R322" i="83"/>
  <c r="S322" i="83" s="1"/>
  <c r="Q322" i="83"/>
  <c r="O322" i="83"/>
  <c r="M322" i="83"/>
  <c r="K322" i="83"/>
  <c r="I322" i="83"/>
  <c r="C322" i="83"/>
  <c r="R321" i="83"/>
  <c r="S321" i="83" s="1"/>
  <c r="Q321" i="83"/>
  <c r="O321" i="83"/>
  <c r="M321" i="83"/>
  <c r="K321" i="83"/>
  <c r="I321" i="83"/>
  <c r="C321" i="83"/>
  <c r="R320" i="83"/>
  <c r="S320" i="83" s="1"/>
  <c r="Q320" i="83"/>
  <c r="O320" i="83"/>
  <c r="M320" i="83"/>
  <c r="K320" i="83"/>
  <c r="I320" i="83"/>
  <c r="C320" i="83"/>
  <c r="R319" i="83"/>
  <c r="S319" i="83" s="1"/>
  <c r="Q319" i="83"/>
  <c r="O319" i="83"/>
  <c r="M319" i="83"/>
  <c r="K319" i="83"/>
  <c r="I319" i="83"/>
  <c r="C319" i="83"/>
  <c r="R318" i="83"/>
  <c r="S318" i="83" s="1"/>
  <c r="Q318" i="83"/>
  <c r="O318" i="83"/>
  <c r="M318" i="83"/>
  <c r="K318" i="83"/>
  <c r="I318" i="83"/>
  <c r="C318" i="83"/>
  <c r="R317" i="83"/>
  <c r="S317" i="83" s="1"/>
  <c r="Q317" i="83"/>
  <c r="O317" i="83"/>
  <c r="M317" i="83"/>
  <c r="K317" i="83"/>
  <c r="I317" i="83"/>
  <c r="C317" i="83"/>
  <c r="R316" i="83"/>
  <c r="S316" i="83" s="1"/>
  <c r="Q316" i="83"/>
  <c r="O316" i="83"/>
  <c r="M316" i="83"/>
  <c r="K316" i="83"/>
  <c r="I316" i="83"/>
  <c r="C316" i="83"/>
  <c r="R315" i="83"/>
  <c r="S315" i="83" s="1"/>
  <c r="Q315" i="83"/>
  <c r="O315" i="83"/>
  <c r="M315" i="83"/>
  <c r="K315" i="83"/>
  <c r="I315" i="83"/>
  <c r="C315" i="83"/>
  <c r="R314" i="83"/>
  <c r="S314" i="83" s="1"/>
  <c r="Q314" i="83"/>
  <c r="O314" i="83"/>
  <c r="M314" i="83"/>
  <c r="K314" i="83"/>
  <c r="I314" i="83"/>
  <c r="C314" i="83"/>
  <c r="R313" i="83"/>
  <c r="S313" i="83" s="1"/>
  <c r="Q313" i="83"/>
  <c r="O313" i="83"/>
  <c r="M313" i="83"/>
  <c r="K313" i="83"/>
  <c r="I313" i="83"/>
  <c r="C313" i="83"/>
  <c r="R312" i="83"/>
  <c r="S312" i="83" s="1"/>
  <c r="Q312" i="83"/>
  <c r="O312" i="83"/>
  <c r="M312" i="83"/>
  <c r="K312" i="83"/>
  <c r="I312" i="83"/>
  <c r="C312" i="83"/>
  <c r="R311" i="83"/>
  <c r="S311" i="83" s="1"/>
  <c r="Q311" i="83"/>
  <c r="O311" i="83"/>
  <c r="M311" i="83"/>
  <c r="K311" i="83"/>
  <c r="I311" i="83"/>
  <c r="C311" i="83"/>
  <c r="R310" i="83"/>
  <c r="S310" i="83" s="1"/>
  <c r="Q310" i="83"/>
  <c r="O310" i="83"/>
  <c r="M310" i="83"/>
  <c r="K310" i="83"/>
  <c r="I310" i="83"/>
  <c r="C310" i="83"/>
  <c r="R309" i="83"/>
  <c r="S309" i="83" s="1"/>
  <c r="Q309" i="83"/>
  <c r="O309" i="83"/>
  <c r="M309" i="83"/>
  <c r="K309" i="83"/>
  <c r="I309" i="83"/>
  <c r="C309" i="83"/>
  <c r="R308" i="83"/>
  <c r="S308" i="83" s="1"/>
  <c r="Q308" i="83"/>
  <c r="O308" i="83"/>
  <c r="M308" i="83"/>
  <c r="K308" i="83"/>
  <c r="I308" i="83"/>
  <c r="C308" i="83"/>
  <c r="R307" i="83"/>
  <c r="S307" i="83" s="1"/>
  <c r="Q307" i="83"/>
  <c r="O307" i="83"/>
  <c r="M307" i="83"/>
  <c r="K307" i="83"/>
  <c r="I307" i="83"/>
  <c r="C307" i="83"/>
  <c r="R306" i="83"/>
  <c r="S306" i="83" s="1"/>
  <c r="Q306" i="83"/>
  <c r="O306" i="83"/>
  <c r="M306" i="83"/>
  <c r="K306" i="83"/>
  <c r="I306" i="83"/>
  <c r="C306" i="83"/>
  <c r="R305" i="83"/>
  <c r="S305" i="83" s="1"/>
  <c r="Q305" i="83"/>
  <c r="O305" i="83"/>
  <c r="M305" i="83"/>
  <c r="K305" i="83"/>
  <c r="I305" i="83"/>
  <c r="C305" i="83"/>
  <c r="R304" i="83"/>
  <c r="S304" i="83" s="1"/>
  <c r="Q304" i="83"/>
  <c r="O304" i="83"/>
  <c r="M304" i="83"/>
  <c r="K304" i="83"/>
  <c r="I304" i="83"/>
  <c r="C304" i="83"/>
  <c r="R303" i="83"/>
  <c r="S303" i="83" s="1"/>
  <c r="Q303" i="83"/>
  <c r="O303" i="83"/>
  <c r="M303" i="83"/>
  <c r="K303" i="83"/>
  <c r="I303" i="83"/>
  <c r="C303" i="83"/>
  <c r="R302" i="83"/>
  <c r="S302" i="83" s="1"/>
  <c r="Q302" i="83"/>
  <c r="O302" i="83"/>
  <c r="M302" i="83"/>
  <c r="K302" i="83"/>
  <c r="I302" i="83"/>
  <c r="C302" i="83"/>
  <c r="R301" i="83"/>
  <c r="S301" i="83" s="1"/>
  <c r="Q301" i="83"/>
  <c r="O301" i="83"/>
  <c r="M301" i="83"/>
  <c r="K301" i="83"/>
  <c r="I301" i="83"/>
  <c r="C301" i="83"/>
  <c r="R300" i="83"/>
  <c r="S300" i="83" s="1"/>
  <c r="Q300" i="83"/>
  <c r="O300" i="83"/>
  <c r="M300" i="83"/>
  <c r="K300" i="83"/>
  <c r="I300" i="83"/>
  <c r="C300" i="83"/>
  <c r="R299" i="83"/>
  <c r="S299" i="83" s="1"/>
  <c r="Q299" i="83"/>
  <c r="O299" i="83"/>
  <c r="M299" i="83"/>
  <c r="K299" i="83"/>
  <c r="I299" i="83"/>
  <c r="C299" i="83"/>
  <c r="R298" i="83"/>
  <c r="S298" i="83" s="1"/>
  <c r="Q298" i="83"/>
  <c r="O298" i="83"/>
  <c r="M298" i="83"/>
  <c r="K298" i="83"/>
  <c r="I298" i="83"/>
  <c r="C298" i="83"/>
  <c r="R297" i="83"/>
  <c r="S297" i="83" s="1"/>
  <c r="Q297" i="83"/>
  <c r="O297" i="83"/>
  <c r="M297" i="83"/>
  <c r="K297" i="83"/>
  <c r="I297" i="83"/>
  <c r="C297" i="83"/>
  <c r="R296" i="83"/>
  <c r="S296" i="83" s="1"/>
  <c r="Q296" i="83"/>
  <c r="O296" i="83"/>
  <c r="M296" i="83"/>
  <c r="K296" i="83"/>
  <c r="I296" i="83"/>
  <c r="C296" i="83"/>
  <c r="R295" i="83"/>
  <c r="S295" i="83" s="1"/>
  <c r="Q295" i="83"/>
  <c r="O295" i="83"/>
  <c r="M295" i="83"/>
  <c r="K295" i="83"/>
  <c r="I295" i="83"/>
  <c r="C295" i="83"/>
  <c r="R294" i="83"/>
  <c r="S294" i="83" s="1"/>
  <c r="Q294" i="83"/>
  <c r="O294" i="83"/>
  <c r="M294" i="83"/>
  <c r="K294" i="83"/>
  <c r="I294" i="83"/>
  <c r="C294" i="83"/>
  <c r="R293" i="83"/>
  <c r="S293" i="83" s="1"/>
  <c r="Q293" i="83"/>
  <c r="O293" i="83"/>
  <c r="M293" i="83"/>
  <c r="K293" i="83"/>
  <c r="I293" i="83"/>
  <c r="C293" i="83"/>
  <c r="R292" i="83"/>
  <c r="S292" i="83" s="1"/>
  <c r="Q292" i="83"/>
  <c r="O292" i="83"/>
  <c r="M292" i="83"/>
  <c r="K292" i="83"/>
  <c r="I292" i="83"/>
  <c r="C292" i="83"/>
  <c r="R291" i="83"/>
  <c r="S291" i="83" s="1"/>
  <c r="Q291" i="83"/>
  <c r="O291" i="83"/>
  <c r="M291" i="83"/>
  <c r="K291" i="83"/>
  <c r="I291" i="83"/>
  <c r="C291" i="83"/>
  <c r="R290" i="83"/>
  <c r="S290" i="83" s="1"/>
  <c r="Q290" i="83"/>
  <c r="O290" i="83"/>
  <c r="M290" i="83"/>
  <c r="K290" i="83"/>
  <c r="I290" i="83"/>
  <c r="C290" i="83"/>
  <c r="R289" i="83"/>
  <c r="S289" i="83" s="1"/>
  <c r="Q289" i="83"/>
  <c r="O289" i="83"/>
  <c r="M289" i="83"/>
  <c r="K289" i="83"/>
  <c r="I289" i="83"/>
  <c r="C289" i="83"/>
  <c r="R288" i="83"/>
  <c r="S288" i="83" s="1"/>
  <c r="Q288" i="83"/>
  <c r="O288" i="83"/>
  <c r="M288" i="83"/>
  <c r="K288" i="83"/>
  <c r="I288" i="83"/>
  <c r="C288" i="83"/>
  <c r="R287" i="83"/>
  <c r="S287" i="83" s="1"/>
  <c r="Q287" i="83"/>
  <c r="O287" i="83"/>
  <c r="M287" i="83"/>
  <c r="K287" i="83"/>
  <c r="I287" i="83"/>
  <c r="C287" i="83"/>
  <c r="R286" i="83"/>
  <c r="S286" i="83" s="1"/>
  <c r="Q286" i="83"/>
  <c r="O286" i="83"/>
  <c r="M286" i="83"/>
  <c r="K286" i="83"/>
  <c r="I286" i="83"/>
  <c r="C286" i="83"/>
  <c r="R285" i="83"/>
  <c r="S285" i="83" s="1"/>
  <c r="Q285" i="83"/>
  <c r="O285" i="83"/>
  <c r="M285" i="83"/>
  <c r="K285" i="83"/>
  <c r="I285" i="83"/>
  <c r="C285" i="83"/>
  <c r="R284" i="83"/>
  <c r="S284" i="83" s="1"/>
  <c r="Q284" i="83"/>
  <c r="O284" i="83"/>
  <c r="M284" i="83"/>
  <c r="K284" i="83"/>
  <c r="I284" i="83"/>
  <c r="C284" i="83"/>
  <c r="R283" i="83"/>
  <c r="S283" i="83" s="1"/>
  <c r="Q283" i="83"/>
  <c r="O283" i="83"/>
  <c r="M283" i="83"/>
  <c r="K283" i="83"/>
  <c r="I283" i="83"/>
  <c r="C283" i="83"/>
  <c r="R282" i="83"/>
  <c r="S282" i="83" s="1"/>
  <c r="Q282" i="83"/>
  <c r="O282" i="83"/>
  <c r="M282" i="83"/>
  <c r="K282" i="83"/>
  <c r="I282" i="83"/>
  <c r="C282" i="83"/>
  <c r="R281" i="83"/>
  <c r="S281" i="83" s="1"/>
  <c r="Q281" i="83"/>
  <c r="O281" i="83"/>
  <c r="M281" i="83"/>
  <c r="K281" i="83"/>
  <c r="I281" i="83"/>
  <c r="C281" i="83"/>
  <c r="R280" i="83"/>
  <c r="S280" i="83" s="1"/>
  <c r="Q280" i="83"/>
  <c r="O280" i="83"/>
  <c r="M280" i="83"/>
  <c r="K280" i="83"/>
  <c r="I280" i="83"/>
  <c r="C280" i="83"/>
  <c r="R279" i="83"/>
  <c r="S279" i="83" s="1"/>
  <c r="Q279" i="83"/>
  <c r="O279" i="83"/>
  <c r="M279" i="83"/>
  <c r="K279" i="83"/>
  <c r="I279" i="83"/>
  <c r="C279" i="83"/>
  <c r="R278" i="83"/>
  <c r="S278" i="83" s="1"/>
  <c r="Q278" i="83"/>
  <c r="O278" i="83"/>
  <c r="M278" i="83"/>
  <c r="K278" i="83"/>
  <c r="I278" i="83"/>
  <c r="C278" i="83"/>
  <c r="R277" i="83"/>
  <c r="S277" i="83" s="1"/>
  <c r="Q277" i="83"/>
  <c r="O277" i="83"/>
  <c r="M277" i="83"/>
  <c r="K277" i="83"/>
  <c r="I277" i="83"/>
  <c r="C277" i="83"/>
  <c r="R276" i="83"/>
  <c r="S276" i="83" s="1"/>
  <c r="Q276" i="83"/>
  <c r="O276" i="83"/>
  <c r="M276" i="83"/>
  <c r="K276" i="83"/>
  <c r="I276" i="83"/>
  <c r="C276" i="83"/>
  <c r="R275" i="83"/>
  <c r="S275" i="83" s="1"/>
  <c r="Q275" i="83"/>
  <c r="O275" i="83"/>
  <c r="M275" i="83"/>
  <c r="K275" i="83"/>
  <c r="I275" i="83"/>
  <c r="C275" i="83"/>
  <c r="R274" i="83"/>
  <c r="S274" i="83" s="1"/>
  <c r="Q274" i="83"/>
  <c r="O274" i="83"/>
  <c r="M274" i="83"/>
  <c r="K274" i="83"/>
  <c r="I274" i="83"/>
  <c r="C274" i="83"/>
  <c r="R273" i="83"/>
  <c r="S273" i="83" s="1"/>
  <c r="Q273" i="83"/>
  <c r="O273" i="83"/>
  <c r="M273" i="83"/>
  <c r="K273" i="83"/>
  <c r="I273" i="83"/>
  <c r="C273" i="83"/>
  <c r="R272" i="83"/>
  <c r="S272" i="83" s="1"/>
  <c r="Q272" i="83"/>
  <c r="O272" i="83"/>
  <c r="M272" i="83"/>
  <c r="K272" i="83"/>
  <c r="I272" i="83"/>
  <c r="C272" i="83"/>
  <c r="R271" i="83"/>
  <c r="S271" i="83" s="1"/>
  <c r="Q271" i="83"/>
  <c r="O271" i="83"/>
  <c r="M271" i="83"/>
  <c r="K271" i="83"/>
  <c r="I271" i="83"/>
  <c r="C271" i="83"/>
  <c r="R270" i="83"/>
  <c r="S270" i="83" s="1"/>
  <c r="Q270" i="83"/>
  <c r="O270" i="83"/>
  <c r="M270" i="83"/>
  <c r="K270" i="83"/>
  <c r="I270" i="83"/>
  <c r="C270" i="83"/>
  <c r="R269" i="83"/>
  <c r="S269" i="83" s="1"/>
  <c r="Q269" i="83"/>
  <c r="O269" i="83"/>
  <c r="M269" i="83"/>
  <c r="K269" i="83"/>
  <c r="I269" i="83"/>
  <c r="C269" i="83"/>
  <c r="R268" i="83"/>
  <c r="S268" i="83" s="1"/>
  <c r="Q268" i="83"/>
  <c r="O268" i="83"/>
  <c r="M268" i="83"/>
  <c r="K268" i="83"/>
  <c r="I268" i="83"/>
  <c r="C268" i="83"/>
  <c r="R267" i="83"/>
  <c r="S267" i="83" s="1"/>
  <c r="Q267" i="83"/>
  <c r="O267" i="83"/>
  <c r="M267" i="83"/>
  <c r="K267" i="83"/>
  <c r="I267" i="83"/>
  <c r="C267" i="83"/>
  <c r="R266" i="83"/>
  <c r="S266" i="83" s="1"/>
  <c r="Q266" i="83"/>
  <c r="O266" i="83"/>
  <c r="M266" i="83"/>
  <c r="K266" i="83"/>
  <c r="I266" i="83"/>
  <c r="C266" i="83"/>
  <c r="R265" i="83"/>
  <c r="S265" i="83" s="1"/>
  <c r="Q265" i="83"/>
  <c r="O265" i="83"/>
  <c r="M265" i="83"/>
  <c r="K265" i="83"/>
  <c r="I265" i="83"/>
  <c r="C265" i="83"/>
  <c r="R264" i="83"/>
  <c r="S264" i="83" s="1"/>
  <c r="Q264" i="83"/>
  <c r="O264" i="83"/>
  <c r="M264" i="83"/>
  <c r="K264" i="83"/>
  <c r="I264" i="83"/>
  <c r="C264" i="83"/>
  <c r="R263" i="83"/>
  <c r="S263" i="83" s="1"/>
  <c r="Q263" i="83"/>
  <c r="O263" i="83"/>
  <c r="M263" i="83"/>
  <c r="K263" i="83"/>
  <c r="I263" i="83"/>
  <c r="C263" i="83"/>
  <c r="R262" i="83"/>
  <c r="S262" i="83" s="1"/>
  <c r="Q262" i="83"/>
  <c r="O262" i="83"/>
  <c r="M262" i="83"/>
  <c r="K262" i="83"/>
  <c r="I262" i="83"/>
  <c r="C262" i="83"/>
  <c r="R261" i="83"/>
  <c r="S261" i="83" s="1"/>
  <c r="Q261" i="83"/>
  <c r="O261" i="83"/>
  <c r="M261" i="83"/>
  <c r="K261" i="83"/>
  <c r="I261" i="83"/>
  <c r="C261" i="83"/>
  <c r="R260" i="83"/>
  <c r="S260" i="83" s="1"/>
  <c r="Q260" i="83"/>
  <c r="O260" i="83"/>
  <c r="M260" i="83"/>
  <c r="K260" i="83"/>
  <c r="I260" i="83"/>
  <c r="C260" i="83"/>
  <c r="R259" i="83"/>
  <c r="S259" i="83" s="1"/>
  <c r="Q259" i="83"/>
  <c r="O259" i="83"/>
  <c r="M259" i="83"/>
  <c r="K259" i="83"/>
  <c r="I259" i="83"/>
  <c r="C259" i="83"/>
  <c r="R258" i="83"/>
  <c r="S258" i="83" s="1"/>
  <c r="Q258" i="83"/>
  <c r="O258" i="83"/>
  <c r="M258" i="83"/>
  <c r="K258" i="83"/>
  <c r="I258" i="83"/>
  <c r="C258" i="83"/>
  <c r="R257" i="83"/>
  <c r="S257" i="83" s="1"/>
  <c r="Q257" i="83"/>
  <c r="O257" i="83"/>
  <c r="M257" i="83"/>
  <c r="K257" i="83"/>
  <c r="I257" i="83"/>
  <c r="C257" i="83"/>
  <c r="R256" i="83"/>
  <c r="S256" i="83" s="1"/>
  <c r="Q256" i="83"/>
  <c r="O256" i="83"/>
  <c r="M256" i="83"/>
  <c r="K256" i="83"/>
  <c r="I256" i="83"/>
  <c r="C256" i="83"/>
  <c r="R255" i="83"/>
  <c r="S255" i="83" s="1"/>
  <c r="Q255" i="83"/>
  <c r="O255" i="83"/>
  <c r="M255" i="83"/>
  <c r="K255" i="83"/>
  <c r="I255" i="83"/>
  <c r="C255" i="83"/>
  <c r="R254" i="83"/>
  <c r="S254" i="83" s="1"/>
  <c r="Q254" i="83"/>
  <c r="O254" i="83"/>
  <c r="M254" i="83"/>
  <c r="K254" i="83"/>
  <c r="I254" i="83"/>
  <c r="C254" i="83"/>
  <c r="R253" i="83"/>
  <c r="S253" i="83" s="1"/>
  <c r="Q253" i="83"/>
  <c r="O253" i="83"/>
  <c r="M253" i="83"/>
  <c r="K253" i="83"/>
  <c r="I253" i="83"/>
  <c r="C253" i="83"/>
  <c r="R252" i="83"/>
  <c r="S252" i="83" s="1"/>
  <c r="Q252" i="83"/>
  <c r="O252" i="83"/>
  <c r="M252" i="83"/>
  <c r="K252" i="83"/>
  <c r="I252" i="83"/>
  <c r="C252" i="83"/>
  <c r="R251" i="83"/>
  <c r="S251" i="83" s="1"/>
  <c r="Q251" i="83"/>
  <c r="O251" i="83"/>
  <c r="M251" i="83"/>
  <c r="K251" i="83"/>
  <c r="I251" i="83"/>
  <c r="C251" i="83"/>
  <c r="R250" i="83"/>
  <c r="S250" i="83" s="1"/>
  <c r="Q250" i="83"/>
  <c r="O250" i="83"/>
  <c r="M250" i="83"/>
  <c r="K250" i="83"/>
  <c r="I250" i="83"/>
  <c r="C250" i="83"/>
  <c r="R249" i="83"/>
  <c r="S249" i="83" s="1"/>
  <c r="Q249" i="83"/>
  <c r="O249" i="83"/>
  <c r="M249" i="83"/>
  <c r="K249" i="83"/>
  <c r="I249" i="83"/>
  <c r="C249" i="83"/>
  <c r="R248" i="83"/>
  <c r="S248" i="83" s="1"/>
  <c r="Q248" i="83"/>
  <c r="O248" i="83"/>
  <c r="M248" i="83"/>
  <c r="K248" i="83"/>
  <c r="I248" i="83"/>
  <c r="C248" i="83"/>
  <c r="R247" i="83"/>
  <c r="S247" i="83" s="1"/>
  <c r="Q247" i="83"/>
  <c r="O247" i="83"/>
  <c r="M247" i="83"/>
  <c r="K247" i="83"/>
  <c r="I247" i="83"/>
  <c r="C247" i="83"/>
  <c r="R246" i="83"/>
  <c r="S246" i="83" s="1"/>
  <c r="Q246" i="83"/>
  <c r="O246" i="83"/>
  <c r="M246" i="83"/>
  <c r="K246" i="83"/>
  <c r="I246" i="83"/>
  <c r="C246" i="83"/>
  <c r="R245" i="83"/>
  <c r="S245" i="83" s="1"/>
  <c r="Q245" i="83"/>
  <c r="O245" i="83"/>
  <c r="M245" i="83"/>
  <c r="K245" i="83"/>
  <c r="I245" i="83"/>
  <c r="C245" i="83"/>
  <c r="R244" i="83"/>
  <c r="S244" i="83" s="1"/>
  <c r="Q244" i="83"/>
  <c r="O244" i="83"/>
  <c r="M244" i="83"/>
  <c r="K244" i="83"/>
  <c r="I244" i="83"/>
  <c r="C244" i="83"/>
  <c r="R243" i="83"/>
  <c r="S243" i="83" s="1"/>
  <c r="Q243" i="83"/>
  <c r="O243" i="83"/>
  <c r="M243" i="83"/>
  <c r="K243" i="83"/>
  <c r="I243" i="83"/>
  <c r="C243" i="83"/>
  <c r="R242" i="83"/>
  <c r="S242" i="83" s="1"/>
  <c r="Q242" i="83"/>
  <c r="O242" i="83"/>
  <c r="M242" i="83"/>
  <c r="K242" i="83"/>
  <c r="I242" i="83"/>
  <c r="C242" i="83"/>
  <c r="R241" i="83"/>
  <c r="S241" i="83" s="1"/>
  <c r="Q241" i="83"/>
  <c r="O241" i="83"/>
  <c r="M241" i="83"/>
  <c r="K241" i="83"/>
  <c r="I241" i="83"/>
  <c r="C241" i="83"/>
  <c r="R240" i="83"/>
  <c r="S240" i="83" s="1"/>
  <c r="Q240" i="83"/>
  <c r="O240" i="83"/>
  <c r="M240" i="83"/>
  <c r="K240" i="83"/>
  <c r="I240" i="83"/>
  <c r="C240" i="83"/>
  <c r="R239" i="83"/>
  <c r="S239" i="83" s="1"/>
  <c r="Q239" i="83"/>
  <c r="O239" i="83"/>
  <c r="M239" i="83"/>
  <c r="K239" i="83"/>
  <c r="I239" i="83"/>
  <c r="C239" i="83"/>
  <c r="R238" i="83"/>
  <c r="S238" i="83" s="1"/>
  <c r="Q238" i="83"/>
  <c r="O238" i="83"/>
  <c r="M238" i="83"/>
  <c r="K238" i="83"/>
  <c r="I238" i="83"/>
  <c r="C238" i="83"/>
  <c r="R237" i="83"/>
  <c r="S237" i="83" s="1"/>
  <c r="Q237" i="83"/>
  <c r="O237" i="83"/>
  <c r="M237" i="83"/>
  <c r="K237" i="83"/>
  <c r="I237" i="83"/>
  <c r="C237" i="83"/>
  <c r="R236" i="83"/>
  <c r="S236" i="83" s="1"/>
  <c r="Q236" i="83"/>
  <c r="O236" i="83"/>
  <c r="M236" i="83"/>
  <c r="K236" i="83"/>
  <c r="I236" i="83"/>
  <c r="C236" i="83"/>
  <c r="R235" i="83"/>
  <c r="S235" i="83" s="1"/>
  <c r="Q235" i="83"/>
  <c r="O235" i="83"/>
  <c r="M235" i="83"/>
  <c r="K235" i="83"/>
  <c r="I235" i="83"/>
  <c r="C235" i="83"/>
  <c r="R234" i="83"/>
  <c r="S234" i="83" s="1"/>
  <c r="Q234" i="83"/>
  <c r="O234" i="83"/>
  <c r="M234" i="83"/>
  <c r="K234" i="83"/>
  <c r="I234" i="83"/>
  <c r="C234" i="83"/>
  <c r="R233" i="83"/>
  <c r="S233" i="83" s="1"/>
  <c r="Q233" i="83"/>
  <c r="O233" i="83"/>
  <c r="M233" i="83"/>
  <c r="K233" i="83"/>
  <c r="I233" i="83"/>
  <c r="C233" i="83"/>
  <c r="R232" i="83"/>
  <c r="S232" i="83" s="1"/>
  <c r="Q232" i="83"/>
  <c r="O232" i="83"/>
  <c r="M232" i="83"/>
  <c r="K232" i="83"/>
  <c r="I232" i="83"/>
  <c r="C232" i="83"/>
  <c r="R231" i="83"/>
  <c r="S231" i="83" s="1"/>
  <c r="Q231" i="83"/>
  <c r="O231" i="83"/>
  <c r="M231" i="83"/>
  <c r="K231" i="83"/>
  <c r="I231" i="83"/>
  <c r="C231" i="83"/>
  <c r="R230" i="83"/>
  <c r="S230" i="83" s="1"/>
  <c r="Q230" i="83"/>
  <c r="O230" i="83"/>
  <c r="M230" i="83"/>
  <c r="K230" i="83"/>
  <c r="I230" i="83"/>
  <c r="C230" i="83"/>
  <c r="R229" i="83"/>
  <c r="S229" i="83" s="1"/>
  <c r="Q229" i="83"/>
  <c r="O229" i="83"/>
  <c r="M229" i="83"/>
  <c r="K229" i="83"/>
  <c r="I229" i="83"/>
  <c r="C229" i="83"/>
  <c r="R228" i="83"/>
  <c r="S228" i="83" s="1"/>
  <c r="Q228" i="83"/>
  <c r="O228" i="83"/>
  <c r="M228" i="83"/>
  <c r="K228" i="83"/>
  <c r="I228" i="83"/>
  <c r="C228" i="83"/>
  <c r="R227" i="83"/>
  <c r="S227" i="83" s="1"/>
  <c r="Q227" i="83"/>
  <c r="O227" i="83"/>
  <c r="M227" i="83"/>
  <c r="K227" i="83"/>
  <c r="I227" i="83"/>
  <c r="C227" i="83"/>
  <c r="R226" i="83"/>
  <c r="S226" i="83" s="1"/>
  <c r="Q226" i="83"/>
  <c r="O226" i="83"/>
  <c r="M226" i="83"/>
  <c r="K226" i="83"/>
  <c r="I226" i="83"/>
  <c r="C226" i="83"/>
  <c r="R225" i="83"/>
  <c r="S225" i="83" s="1"/>
  <c r="Q225" i="83"/>
  <c r="O225" i="83"/>
  <c r="M225" i="83"/>
  <c r="K225" i="83"/>
  <c r="I225" i="83"/>
  <c r="C225" i="83"/>
  <c r="R224" i="83"/>
  <c r="S224" i="83" s="1"/>
  <c r="Q224" i="83"/>
  <c r="O224" i="83"/>
  <c r="M224" i="83"/>
  <c r="K224" i="83"/>
  <c r="I224" i="83"/>
  <c r="C224" i="83"/>
  <c r="R223" i="83"/>
  <c r="S223" i="83" s="1"/>
  <c r="Q223" i="83"/>
  <c r="O223" i="83"/>
  <c r="M223" i="83"/>
  <c r="K223" i="83"/>
  <c r="I223" i="83"/>
  <c r="C223" i="83"/>
  <c r="R222" i="83"/>
  <c r="S222" i="83" s="1"/>
  <c r="Q222" i="83"/>
  <c r="O222" i="83"/>
  <c r="M222" i="83"/>
  <c r="K222" i="83"/>
  <c r="I222" i="83"/>
  <c r="C222" i="83"/>
  <c r="R221" i="83"/>
  <c r="S221" i="83" s="1"/>
  <c r="Q221" i="83"/>
  <c r="O221" i="83"/>
  <c r="M221" i="83"/>
  <c r="K221" i="83"/>
  <c r="I221" i="83"/>
  <c r="C221" i="83"/>
  <c r="R220" i="83"/>
  <c r="S220" i="83" s="1"/>
  <c r="Q220" i="83"/>
  <c r="O220" i="83"/>
  <c r="M220" i="83"/>
  <c r="K220" i="83"/>
  <c r="I220" i="83"/>
  <c r="C220" i="83"/>
  <c r="R219" i="83"/>
  <c r="S219" i="83" s="1"/>
  <c r="Q219" i="83"/>
  <c r="O219" i="83"/>
  <c r="M219" i="83"/>
  <c r="K219" i="83"/>
  <c r="I219" i="83"/>
  <c r="C219" i="83"/>
  <c r="R218" i="83"/>
  <c r="S218" i="83" s="1"/>
  <c r="Q218" i="83"/>
  <c r="O218" i="83"/>
  <c r="M218" i="83"/>
  <c r="K218" i="83"/>
  <c r="I218" i="83"/>
  <c r="C218" i="83"/>
  <c r="R217" i="83"/>
  <c r="S217" i="83" s="1"/>
  <c r="Q217" i="83"/>
  <c r="O217" i="83"/>
  <c r="M217" i="83"/>
  <c r="K217" i="83"/>
  <c r="I217" i="83"/>
  <c r="C217" i="83"/>
  <c r="R216" i="83"/>
  <c r="S216" i="83" s="1"/>
  <c r="Q216" i="83"/>
  <c r="O216" i="83"/>
  <c r="M216" i="83"/>
  <c r="K216" i="83"/>
  <c r="I216" i="83"/>
  <c r="C216" i="83"/>
  <c r="R215" i="83"/>
  <c r="S215" i="83" s="1"/>
  <c r="Q215" i="83"/>
  <c r="O215" i="83"/>
  <c r="M215" i="83"/>
  <c r="K215" i="83"/>
  <c r="I215" i="83"/>
  <c r="C215" i="83"/>
  <c r="R214" i="83"/>
  <c r="S214" i="83" s="1"/>
  <c r="Q214" i="83"/>
  <c r="O214" i="83"/>
  <c r="M214" i="83"/>
  <c r="K214" i="83"/>
  <c r="I214" i="83"/>
  <c r="C214" i="83"/>
  <c r="R213" i="83"/>
  <c r="S213" i="83" s="1"/>
  <c r="Q213" i="83"/>
  <c r="O213" i="83"/>
  <c r="M213" i="83"/>
  <c r="K213" i="83"/>
  <c r="I213" i="83"/>
  <c r="C213" i="83"/>
  <c r="R212" i="83"/>
  <c r="S212" i="83" s="1"/>
  <c r="Q212" i="83"/>
  <c r="O212" i="83"/>
  <c r="M212" i="83"/>
  <c r="K212" i="83"/>
  <c r="I212" i="83"/>
  <c r="C212" i="83"/>
  <c r="R211" i="83"/>
  <c r="S211" i="83" s="1"/>
  <c r="Q211" i="83"/>
  <c r="O211" i="83"/>
  <c r="M211" i="83"/>
  <c r="K211" i="83"/>
  <c r="I211" i="83"/>
  <c r="C211" i="83"/>
  <c r="R210" i="83"/>
  <c r="S210" i="83" s="1"/>
  <c r="Q210" i="83"/>
  <c r="O210" i="83"/>
  <c r="M210" i="83"/>
  <c r="K210" i="83"/>
  <c r="I210" i="83"/>
  <c r="C210" i="83"/>
  <c r="R209" i="83"/>
  <c r="S209" i="83" s="1"/>
  <c r="Q209" i="83"/>
  <c r="O209" i="83"/>
  <c r="M209" i="83"/>
  <c r="K209" i="83"/>
  <c r="I209" i="83"/>
  <c r="C209" i="83"/>
  <c r="R208" i="83"/>
  <c r="S208" i="83" s="1"/>
  <c r="Q208" i="83"/>
  <c r="O208" i="83"/>
  <c r="M208" i="83"/>
  <c r="K208" i="83"/>
  <c r="I208" i="83"/>
  <c r="C208" i="83"/>
  <c r="R207" i="83"/>
  <c r="S207" i="83" s="1"/>
  <c r="Q207" i="83"/>
  <c r="O207" i="83"/>
  <c r="M207" i="83"/>
  <c r="K207" i="83"/>
  <c r="I207" i="83"/>
  <c r="C207" i="83"/>
  <c r="R206" i="83"/>
  <c r="S206" i="83" s="1"/>
  <c r="Q206" i="83"/>
  <c r="O206" i="83"/>
  <c r="M206" i="83"/>
  <c r="K206" i="83"/>
  <c r="I206" i="83"/>
  <c r="C206" i="83"/>
  <c r="R205" i="83"/>
  <c r="S205" i="83" s="1"/>
  <c r="Q205" i="83"/>
  <c r="O205" i="83"/>
  <c r="M205" i="83"/>
  <c r="K205" i="83"/>
  <c r="I205" i="83"/>
  <c r="C205" i="83"/>
  <c r="R204" i="83"/>
  <c r="S204" i="83" s="1"/>
  <c r="Q204" i="83"/>
  <c r="O204" i="83"/>
  <c r="M204" i="83"/>
  <c r="K204" i="83"/>
  <c r="I204" i="83"/>
  <c r="C204" i="83"/>
  <c r="R203" i="83"/>
  <c r="S203" i="83" s="1"/>
  <c r="Q203" i="83"/>
  <c r="O203" i="83"/>
  <c r="M203" i="83"/>
  <c r="K203" i="83"/>
  <c r="I203" i="83"/>
  <c r="C203" i="83"/>
  <c r="R202" i="83"/>
  <c r="S202" i="83" s="1"/>
  <c r="Q202" i="83"/>
  <c r="O202" i="83"/>
  <c r="M202" i="83"/>
  <c r="K202" i="83"/>
  <c r="I202" i="83"/>
  <c r="C202" i="83"/>
  <c r="R201" i="83"/>
  <c r="S201" i="83" s="1"/>
  <c r="Q201" i="83"/>
  <c r="O201" i="83"/>
  <c r="M201" i="83"/>
  <c r="K201" i="83"/>
  <c r="I201" i="83"/>
  <c r="C201" i="83"/>
  <c r="R200" i="83"/>
  <c r="S200" i="83" s="1"/>
  <c r="Q200" i="83"/>
  <c r="O200" i="83"/>
  <c r="M200" i="83"/>
  <c r="K200" i="83"/>
  <c r="I200" i="83"/>
  <c r="C200" i="83"/>
  <c r="R199" i="83"/>
  <c r="S199" i="83" s="1"/>
  <c r="Q199" i="83"/>
  <c r="O199" i="83"/>
  <c r="M199" i="83"/>
  <c r="K199" i="83"/>
  <c r="I199" i="83"/>
  <c r="C199" i="83"/>
  <c r="R198" i="83"/>
  <c r="S198" i="83" s="1"/>
  <c r="Q198" i="83"/>
  <c r="O198" i="83"/>
  <c r="M198" i="83"/>
  <c r="K198" i="83"/>
  <c r="I198" i="83"/>
  <c r="C198" i="83"/>
  <c r="R197" i="83"/>
  <c r="S197" i="83" s="1"/>
  <c r="Q197" i="83"/>
  <c r="O197" i="83"/>
  <c r="M197" i="83"/>
  <c r="K197" i="83"/>
  <c r="I197" i="83"/>
  <c r="C197" i="83"/>
  <c r="R196" i="83"/>
  <c r="S196" i="83" s="1"/>
  <c r="Q196" i="83"/>
  <c r="O196" i="83"/>
  <c r="M196" i="83"/>
  <c r="K196" i="83"/>
  <c r="I196" i="83"/>
  <c r="C196" i="83"/>
  <c r="R195" i="83"/>
  <c r="S195" i="83" s="1"/>
  <c r="Q195" i="83"/>
  <c r="O195" i="83"/>
  <c r="M195" i="83"/>
  <c r="K195" i="83"/>
  <c r="I195" i="83"/>
  <c r="C195" i="83"/>
  <c r="R194" i="83"/>
  <c r="S194" i="83" s="1"/>
  <c r="Q194" i="83"/>
  <c r="O194" i="83"/>
  <c r="M194" i="83"/>
  <c r="K194" i="83"/>
  <c r="I194" i="83"/>
  <c r="C194" i="83"/>
  <c r="R193" i="83"/>
  <c r="S193" i="83" s="1"/>
  <c r="Q193" i="83"/>
  <c r="O193" i="83"/>
  <c r="M193" i="83"/>
  <c r="K193" i="83"/>
  <c r="I193" i="83"/>
  <c r="C193" i="83"/>
  <c r="R192" i="83"/>
  <c r="S192" i="83" s="1"/>
  <c r="Q192" i="83"/>
  <c r="O192" i="83"/>
  <c r="M192" i="83"/>
  <c r="K192" i="83"/>
  <c r="I192" i="83"/>
  <c r="C192" i="83"/>
  <c r="R191" i="83"/>
  <c r="S191" i="83" s="1"/>
  <c r="Q191" i="83"/>
  <c r="O191" i="83"/>
  <c r="M191" i="83"/>
  <c r="K191" i="83"/>
  <c r="I191" i="83"/>
  <c r="C191" i="83"/>
  <c r="R190" i="83"/>
  <c r="S190" i="83" s="1"/>
  <c r="Q190" i="83"/>
  <c r="O190" i="83"/>
  <c r="M190" i="83"/>
  <c r="K190" i="83"/>
  <c r="I190" i="83"/>
  <c r="C190" i="83"/>
  <c r="R189" i="83"/>
  <c r="S189" i="83" s="1"/>
  <c r="Q189" i="83"/>
  <c r="O189" i="83"/>
  <c r="M189" i="83"/>
  <c r="K189" i="83"/>
  <c r="I189" i="83"/>
  <c r="C189" i="83"/>
  <c r="R188" i="83"/>
  <c r="S188" i="83" s="1"/>
  <c r="Q188" i="83"/>
  <c r="O188" i="83"/>
  <c r="M188" i="83"/>
  <c r="K188" i="83"/>
  <c r="I188" i="83"/>
  <c r="C188" i="83"/>
  <c r="R187" i="83"/>
  <c r="S187" i="83" s="1"/>
  <c r="Q187" i="83"/>
  <c r="O187" i="83"/>
  <c r="M187" i="83"/>
  <c r="K187" i="83"/>
  <c r="I187" i="83"/>
  <c r="C187" i="83"/>
  <c r="R186" i="83"/>
  <c r="S186" i="83" s="1"/>
  <c r="Q186" i="83"/>
  <c r="O186" i="83"/>
  <c r="M186" i="83"/>
  <c r="K186" i="83"/>
  <c r="I186" i="83"/>
  <c r="C186" i="83"/>
  <c r="R185" i="83"/>
  <c r="S185" i="83" s="1"/>
  <c r="Q185" i="83"/>
  <c r="O185" i="83"/>
  <c r="M185" i="83"/>
  <c r="K185" i="83"/>
  <c r="I185" i="83"/>
  <c r="C185" i="83"/>
  <c r="R184" i="83"/>
  <c r="S184" i="83" s="1"/>
  <c r="Q184" i="83"/>
  <c r="O184" i="83"/>
  <c r="M184" i="83"/>
  <c r="K184" i="83"/>
  <c r="I184" i="83"/>
  <c r="C184" i="83"/>
  <c r="R183" i="83"/>
  <c r="S183" i="83" s="1"/>
  <c r="Q183" i="83"/>
  <c r="O183" i="83"/>
  <c r="M183" i="83"/>
  <c r="K183" i="83"/>
  <c r="I183" i="83"/>
  <c r="C183" i="83"/>
  <c r="R182" i="83"/>
  <c r="S182" i="83" s="1"/>
  <c r="Q182" i="83"/>
  <c r="O182" i="83"/>
  <c r="M182" i="83"/>
  <c r="K182" i="83"/>
  <c r="I182" i="83"/>
  <c r="C182" i="83"/>
  <c r="R181" i="83"/>
  <c r="S181" i="83" s="1"/>
  <c r="Q181" i="83"/>
  <c r="O181" i="83"/>
  <c r="M181" i="83"/>
  <c r="K181" i="83"/>
  <c r="I181" i="83"/>
  <c r="C181" i="83"/>
  <c r="R180" i="83"/>
  <c r="S180" i="83" s="1"/>
  <c r="Q180" i="83"/>
  <c r="O180" i="83"/>
  <c r="M180" i="83"/>
  <c r="K180" i="83"/>
  <c r="I180" i="83"/>
  <c r="C180" i="83"/>
  <c r="R179" i="83"/>
  <c r="S179" i="83" s="1"/>
  <c r="Q179" i="83"/>
  <c r="O179" i="83"/>
  <c r="M179" i="83"/>
  <c r="K179" i="83"/>
  <c r="I179" i="83"/>
  <c r="C179" i="83"/>
  <c r="R178" i="83"/>
  <c r="S178" i="83" s="1"/>
  <c r="Q178" i="83"/>
  <c r="O178" i="83"/>
  <c r="M178" i="83"/>
  <c r="K178" i="83"/>
  <c r="I178" i="83"/>
  <c r="C178" i="83"/>
  <c r="R177" i="83"/>
  <c r="S177" i="83" s="1"/>
  <c r="Q177" i="83"/>
  <c r="O177" i="83"/>
  <c r="M177" i="83"/>
  <c r="K177" i="83"/>
  <c r="I177" i="83"/>
  <c r="C177" i="83"/>
  <c r="R176" i="83"/>
  <c r="S176" i="83" s="1"/>
  <c r="Q176" i="83"/>
  <c r="O176" i="83"/>
  <c r="M176" i="83"/>
  <c r="K176" i="83"/>
  <c r="I176" i="83"/>
  <c r="C176" i="83"/>
  <c r="R175" i="83"/>
  <c r="S175" i="83" s="1"/>
  <c r="Q175" i="83"/>
  <c r="O175" i="83"/>
  <c r="M175" i="83"/>
  <c r="K175" i="83"/>
  <c r="I175" i="83"/>
  <c r="C175" i="83"/>
  <c r="R174" i="83"/>
  <c r="S174" i="83" s="1"/>
  <c r="Q174" i="83"/>
  <c r="O174" i="83"/>
  <c r="M174" i="83"/>
  <c r="K174" i="83"/>
  <c r="I174" i="83"/>
  <c r="C174" i="83"/>
  <c r="R173" i="83"/>
  <c r="S173" i="83" s="1"/>
  <c r="Q173" i="83"/>
  <c r="O173" i="83"/>
  <c r="M173" i="83"/>
  <c r="K173" i="83"/>
  <c r="I173" i="83"/>
  <c r="C173" i="83"/>
  <c r="R172" i="83"/>
  <c r="S172" i="83" s="1"/>
  <c r="Q172" i="83"/>
  <c r="O172" i="83"/>
  <c r="M172" i="83"/>
  <c r="K172" i="83"/>
  <c r="I172" i="83"/>
  <c r="C172" i="83"/>
  <c r="R171" i="83"/>
  <c r="S171" i="83" s="1"/>
  <c r="Q171" i="83"/>
  <c r="O171" i="83"/>
  <c r="M171" i="83"/>
  <c r="K171" i="83"/>
  <c r="I171" i="83"/>
  <c r="C171" i="83"/>
  <c r="R170" i="83"/>
  <c r="S170" i="83" s="1"/>
  <c r="Q170" i="83"/>
  <c r="O170" i="83"/>
  <c r="M170" i="83"/>
  <c r="K170" i="83"/>
  <c r="I170" i="83"/>
  <c r="C170" i="83"/>
  <c r="R169" i="83"/>
  <c r="S169" i="83" s="1"/>
  <c r="Q169" i="83"/>
  <c r="O169" i="83"/>
  <c r="M169" i="83"/>
  <c r="K169" i="83"/>
  <c r="I169" i="83"/>
  <c r="C169" i="83"/>
  <c r="R168" i="83"/>
  <c r="S168" i="83" s="1"/>
  <c r="Q168" i="83"/>
  <c r="O168" i="83"/>
  <c r="M168" i="83"/>
  <c r="K168" i="83"/>
  <c r="I168" i="83"/>
  <c r="C168" i="83"/>
  <c r="R167" i="83"/>
  <c r="S167" i="83" s="1"/>
  <c r="Q167" i="83"/>
  <c r="O167" i="83"/>
  <c r="M167" i="83"/>
  <c r="K167" i="83"/>
  <c r="I167" i="83"/>
  <c r="C167" i="83"/>
  <c r="R166" i="83"/>
  <c r="S166" i="83" s="1"/>
  <c r="Q166" i="83"/>
  <c r="O166" i="83"/>
  <c r="M166" i="83"/>
  <c r="K166" i="83"/>
  <c r="I166" i="83"/>
  <c r="C166" i="83"/>
  <c r="R165" i="83"/>
  <c r="S165" i="83" s="1"/>
  <c r="Q165" i="83"/>
  <c r="O165" i="83"/>
  <c r="M165" i="83"/>
  <c r="K165" i="83"/>
  <c r="I165" i="83"/>
  <c r="C165" i="83"/>
  <c r="R164" i="83"/>
  <c r="S164" i="83" s="1"/>
  <c r="Q164" i="83"/>
  <c r="O164" i="83"/>
  <c r="M164" i="83"/>
  <c r="K164" i="83"/>
  <c r="I164" i="83"/>
  <c r="C164" i="83"/>
  <c r="R163" i="83"/>
  <c r="S163" i="83" s="1"/>
  <c r="Q163" i="83"/>
  <c r="O163" i="83"/>
  <c r="M163" i="83"/>
  <c r="K163" i="83"/>
  <c r="I163" i="83"/>
  <c r="C163" i="83"/>
  <c r="R162" i="83"/>
  <c r="S162" i="83" s="1"/>
  <c r="Q162" i="83"/>
  <c r="O162" i="83"/>
  <c r="M162" i="83"/>
  <c r="K162" i="83"/>
  <c r="I162" i="83"/>
  <c r="C162" i="83"/>
  <c r="R161" i="83"/>
  <c r="S161" i="83" s="1"/>
  <c r="Q161" i="83"/>
  <c r="O161" i="83"/>
  <c r="M161" i="83"/>
  <c r="K161" i="83"/>
  <c r="I161" i="83"/>
  <c r="C161" i="83"/>
  <c r="R160" i="83"/>
  <c r="S160" i="83" s="1"/>
  <c r="Q160" i="83"/>
  <c r="O160" i="83"/>
  <c r="M160" i="83"/>
  <c r="K160" i="83"/>
  <c r="I160" i="83"/>
  <c r="C160" i="83"/>
  <c r="R159" i="83"/>
  <c r="S159" i="83" s="1"/>
  <c r="Q159" i="83"/>
  <c r="O159" i="83"/>
  <c r="M159" i="83"/>
  <c r="K159" i="83"/>
  <c r="I159" i="83"/>
  <c r="C159" i="83"/>
  <c r="R158" i="83"/>
  <c r="S158" i="83" s="1"/>
  <c r="Q158" i="83"/>
  <c r="O158" i="83"/>
  <c r="M158" i="83"/>
  <c r="K158" i="83"/>
  <c r="I158" i="83"/>
  <c r="C158" i="83"/>
  <c r="R157" i="83"/>
  <c r="S157" i="83" s="1"/>
  <c r="Q157" i="83"/>
  <c r="O157" i="83"/>
  <c r="M157" i="83"/>
  <c r="K157" i="83"/>
  <c r="I157" i="83"/>
  <c r="C157" i="83"/>
  <c r="R156" i="83"/>
  <c r="S156" i="83" s="1"/>
  <c r="Q156" i="83"/>
  <c r="O156" i="83"/>
  <c r="M156" i="83"/>
  <c r="K156" i="83"/>
  <c r="I156" i="83"/>
  <c r="C156" i="83"/>
  <c r="R155" i="83"/>
  <c r="S155" i="83" s="1"/>
  <c r="Q155" i="83"/>
  <c r="O155" i="83"/>
  <c r="M155" i="83"/>
  <c r="K155" i="83"/>
  <c r="I155" i="83"/>
  <c r="C155" i="83"/>
  <c r="R154" i="83"/>
  <c r="S154" i="83" s="1"/>
  <c r="Q154" i="83"/>
  <c r="O154" i="83"/>
  <c r="M154" i="83"/>
  <c r="K154" i="83"/>
  <c r="I154" i="83"/>
  <c r="C154" i="83"/>
  <c r="R153" i="83"/>
  <c r="S153" i="83" s="1"/>
  <c r="Q153" i="83"/>
  <c r="O153" i="83"/>
  <c r="M153" i="83"/>
  <c r="K153" i="83"/>
  <c r="I153" i="83"/>
  <c r="C153" i="83"/>
  <c r="R152" i="83"/>
  <c r="S152" i="83" s="1"/>
  <c r="Q152" i="83"/>
  <c r="O152" i="83"/>
  <c r="M152" i="83"/>
  <c r="K152" i="83"/>
  <c r="I152" i="83"/>
  <c r="C152" i="83"/>
  <c r="R151" i="83"/>
  <c r="S151" i="83" s="1"/>
  <c r="Q151" i="83"/>
  <c r="O151" i="83"/>
  <c r="M151" i="83"/>
  <c r="K151" i="83"/>
  <c r="I151" i="83"/>
  <c r="C151" i="83"/>
  <c r="R150" i="83"/>
  <c r="S150" i="83" s="1"/>
  <c r="Q150" i="83"/>
  <c r="O150" i="83"/>
  <c r="M150" i="83"/>
  <c r="K150" i="83"/>
  <c r="I150" i="83"/>
  <c r="C150" i="83"/>
  <c r="R149" i="83"/>
  <c r="S149" i="83" s="1"/>
  <c r="Q149" i="83"/>
  <c r="O149" i="83"/>
  <c r="M149" i="83"/>
  <c r="K149" i="83"/>
  <c r="I149" i="83"/>
  <c r="C149" i="83"/>
  <c r="R148" i="83"/>
  <c r="S148" i="83" s="1"/>
  <c r="Q148" i="83"/>
  <c r="O148" i="83"/>
  <c r="M148" i="83"/>
  <c r="K148" i="83"/>
  <c r="I148" i="83"/>
  <c r="C148" i="83"/>
  <c r="R147" i="83"/>
  <c r="S147" i="83" s="1"/>
  <c r="Q147" i="83"/>
  <c r="O147" i="83"/>
  <c r="M147" i="83"/>
  <c r="K147" i="83"/>
  <c r="I147" i="83"/>
  <c r="C147" i="83"/>
  <c r="R146" i="83"/>
  <c r="S146" i="83" s="1"/>
  <c r="Q146" i="83"/>
  <c r="O146" i="83"/>
  <c r="M146" i="83"/>
  <c r="K146" i="83"/>
  <c r="I146" i="83"/>
  <c r="C146" i="83"/>
  <c r="R145" i="83"/>
  <c r="S145" i="83" s="1"/>
  <c r="Q145" i="83"/>
  <c r="O145" i="83"/>
  <c r="M145" i="83"/>
  <c r="K145" i="83"/>
  <c r="I145" i="83"/>
  <c r="C145" i="83"/>
  <c r="R144" i="83"/>
  <c r="S144" i="83" s="1"/>
  <c r="Q144" i="83"/>
  <c r="O144" i="83"/>
  <c r="M144" i="83"/>
  <c r="K144" i="83"/>
  <c r="I144" i="83"/>
  <c r="C144" i="83"/>
  <c r="R143" i="83"/>
  <c r="S143" i="83" s="1"/>
  <c r="Q143" i="83"/>
  <c r="O143" i="83"/>
  <c r="M143" i="83"/>
  <c r="K143" i="83"/>
  <c r="I143" i="83"/>
  <c r="C143" i="83"/>
  <c r="R142" i="83"/>
  <c r="S142" i="83" s="1"/>
  <c r="Q142" i="83"/>
  <c r="O142" i="83"/>
  <c r="M142" i="83"/>
  <c r="K142" i="83"/>
  <c r="I142" i="83"/>
  <c r="C142" i="83"/>
  <c r="R141" i="83"/>
  <c r="S141" i="83" s="1"/>
  <c r="Q141" i="83"/>
  <c r="O141" i="83"/>
  <c r="M141" i="83"/>
  <c r="K141" i="83"/>
  <c r="I141" i="83"/>
  <c r="C141" i="83"/>
  <c r="R140" i="83"/>
  <c r="S140" i="83" s="1"/>
  <c r="Q140" i="83"/>
  <c r="O140" i="83"/>
  <c r="M140" i="83"/>
  <c r="K140" i="83"/>
  <c r="I140" i="83"/>
  <c r="C140" i="83"/>
  <c r="R139" i="83"/>
  <c r="S139" i="83" s="1"/>
  <c r="Q139" i="83"/>
  <c r="O139" i="83"/>
  <c r="M139" i="83"/>
  <c r="K139" i="83"/>
  <c r="I139" i="83"/>
  <c r="C139" i="83"/>
  <c r="R138" i="83"/>
  <c r="S138" i="83" s="1"/>
  <c r="Q138" i="83"/>
  <c r="O138" i="83"/>
  <c r="M138" i="83"/>
  <c r="K138" i="83"/>
  <c r="I138" i="83"/>
  <c r="C138" i="83"/>
  <c r="R137" i="83"/>
  <c r="S137" i="83" s="1"/>
  <c r="Q137" i="83"/>
  <c r="O137" i="83"/>
  <c r="M137" i="83"/>
  <c r="K137" i="83"/>
  <c r="I137" i="83"/>
  <c r="C137" i="83"/>
  <c r="R136" i="83"/>
  <c r="S136" i="83" s="1"/>
  <c r="Q136" i="83"/>
  <c r="O136" i="83"/>
  <c r="M136" i="83"/>
  <c r="K136" i="83"/>
  <c r="I136" i="83"/>
  <c r="C136" i="83"/>
  <c r="R135" i="83"/>
  <c r="S135" i="83" s="1"/>
  <c r="Q135" i="83"/>
  <c r="O135" i="83"/>
  <c r="M135" i="83"/>
  <c r="K135" i="83"/>
  <c r="I135" i="83"/>
  <c r="C135" i="83"/>
  <c r="R134" i="83"/>
  <c r="S134" i="83" s="1"/>
  <c r="Q134" i="83"/>
  <c r="O134" i="83"/>
  <c r="M134" i="83"/>
  <c r="K134" i="83"/>
  <c r="I134" i="83"/>
  <c r="C134" i="83"/>
  <c r="R133" i="83"/>
  <c r="S133" i="83" s="1"/>
  <c r="Q133" i="83"/>
  <c r="O133" i="83"/>
  <c r="M133" i="83"/>
  <c r="K133" i="83"/>
  <c r="I133" i="83"/>
  <c r="C133" i="83"/>
  <c r="R132" i="83"/>
  <c r="S132" i="83" s="1"/>
  <c r="Q132" i="83"/>
  <c r="O132" i="83"/>
  <c r="M132" i="83"/>
  <c r="K132" i="83"/>
  <c r="I132" i="83"/>
  <c r="C132" i="83"/>
  <c r="R131" i="83"/>
  <c r="S131" i="83" s="1"/>
  <c r="Q131" i="83"/>
  <c r="O131" i="83"/>
  <c r="M131" i="83"/>
  <c r="K131" i="83"/>
  <c r="I131" i="83"/>
  <c r="C131" i="83"/>
  <c r="R130" i="83"/>
  <c r="S130" i="83" s="1"/>
  <c r="Q130" i="83"/>
  <c r="O130" i="83"/>
  <c r="M130" i="83"/>
  <c r="K130" i="83"/>
  <c r="I130" i="83"/>
  <c r="C130" i="83"/>
  <c r="R129" i="83"/>
  <c r="S129" i="83" s="1"/>
  <c r="Q129" i="83"/>
  <c r="O129" i="83"/>
  <c r="M129" i="83"/>
  <c r="K129" i="83"/>
  <c r="I129" i="83"/>
  <c r="C129" i="83"/>
  <c r="R128" i="83"/>
  <c r="S128" i="83" s="1"/>
  <c r="Q128" i="83"/>
  <c r="O128" i="83"/>
  <c r="M128" i="83"/>
  <c r="K128" i="83"/>
  <c r="I128" i="83"/>
  <c r="C128" i="83"/>
  <c r="R127" i="83"/>
  <c r="S127" i="83" s="1"/>
  <c r="Q127" i="83"/>
  <c r="O127" i="83"/>
  <c r="M127" i="83"/>
  <c r="K127" i="83"/>
  <c r="I127" i="83"/>
  <c r="C127" i="83"/>
  <c r="R126" i="83"/>
  <c r="S126" i="83" s="1"/>
  <c r="Q126" i="83"/>
  <c r="O126" i="83"/>
  <c r="M126" i="83"/>
  <c r="K126" i="83"/>
  <c r="I126" i="83"/>
  <c r="C126" i="83"/>
  <c r="R125" i="83"/>
  <c r="S125" i="83" s="1"/>
  <c r="Q125" i="83"/>
  <c r="O125" i="83"/>
  <c r="M125" i="83"/>
  <c r="K125" i="83"/>
  <c r="I125" i="83"/>
  <c r="C125" i="83"/>
  <c r="R124" i="83"/>
  <c r="S124" i="83" s="1"/>
  <c r="Q124" i="83"/>
  <c r="O124" i="83"/>
  <c r="M124" i="83"/>
  <c r="K124" i="83"/>
  <c r="I124" i="83"/>
  <c r="C124" i="83"/>
  <c r="R123" i="83"/>
  <c r="S123" i="83" s="1"/>
  <c r="Q123" i="83"/>
  <c r="O123" i="83"/>
  <c r="M123" i="83"/>
  <c r="K123" i="83"/>
  <c r="I123" i="83"/>
  <c r="C123" i="83"/>
  <c r="R122" i="83"/>
  <c r="S122" i="83" s="1"/>
  <c r="Q122" i="83"/>
  <c r="O122" i="83"/>
  <c r="M122" i="83"/>
  <c r="K122" i="83"/>
  <c r="I122" i="83"/>
  <c r="C122" i="83"/>
  <c r="R121" i="83"/>
  <c r="S121" i="83" s="1"/>
  <c r="Q121" i="83"/>
  <c r="O121" i="83"/>
  <c r="M121" i="83"/>
  <c r="K121" i="83"/>
  <c r="I121" i="83"/>
  <c r="C121" i="83"/>
  <c r="Q120" i="83"/>
  <c r="O120" i="83"/>
  <c r="M120" i="83"/>
  <c r="K120" i="83"/>
  <c r="I120" i="83"/>
  <c r="C120" i="83"/>
  <c r="Q119" i="83"/>
  <c r="O119" i="83"/>
  <c r="M119" i="83"/>
  <c r="K119" i="83"/>
  <c r="I119" i="83"/>
  <c r="C119" i="83"/>
  <c r="Q118" i="83"/>
  <c r="O118" i="83"/>
  <c r="M118" i="83"/>
  <c r="K118" i="83"/>
  <c r="I118" i="83"/>
  <c r="C118" i="83"/>
  <c r="Q117" i="83"/>
  <c r="O117" i="83"/>
  <c r="M117" i="83"/>
  <c r="K117" i="83"/>
  <c r="I117" i="83"/>
  <c r="C117" i="83"/>
  <c r="Q116" i="83"/>
  <c r="O116" i="83"/>
  <c r="M116" i="83"/>
  <c r="K116" i="83"/>
  <c r="I116" i="83"/>
  <c r="C116" i="83"/>
  <c r="Q115" i="83"/>
  <c r="O115" i="83"/>
  <c r="M115" i="83"/>
  <c r="K115" i="83"/>
  <c r="I115" i="83"/>
  <c r="C115" i="83"/>
  <c r="Q114" i="83"/>
  <c r="O114" i="83"/>
  <c r="M114" i="83"/>
  <c r="K114" i="83"/>
  <c r="I114" i="83"/>
  <c r="C114" i="83"/>
  <c r="Q113" i="83"/>
  <c r="O113" i="83"/>
  <c r="M113" i="83"/>
  <c r="K113" i="83"/>
  <c r="I113" i="83"/>
  <c r="C113" i="83"/>
  <c r="Q112" i="83"/>
  <c r="O112" i="83"/>
  <c r="M112" i="83"/>
  <c r="K112" i="83"/>
  <c r="I112" i="83"/>
  <c r="Q111" i="83"/>
  <c r="O111" i="83"/>
  <c r="M111" i="83"/>
  <c r="K111" i="83"/>
  <c r="I111" i="83"/>
  <c r="C111" i="83"/>
  <c r="Q110" i="83"/>
  <c r="O110" i="83"/>
  <c r="M110" i="83"/>
  <c r="K110" i="83"/>
  <c r="I110" i="83"/>
  <c r="C110" i="83"/>
  <c r="Q109" i="83"/>
  <c r="O109" i="83"/>
  <c r="M109" i="83"/>
  <c r="K109" i="83"/>
  <c r="I109" i="83"/>
  <c r="C109" i="83"/>
  <c r="Q108" i="83"/>
  <c r="O108" i="83"/>
  <c r="M108" i="83"/>
  <c r="K108" i="83"/>
  <c r="I108" i="83"/>
  <c r="Q107" i="83"/>
  <c r="O107" i="83"/>
  <c r="M107" i="83"/>
  <c r="K107" i="83"/>
  <c r="I107" i="83"/>
  <c r="Q106" i="83"/>
  <c r="O106" i="83"/>
  <c r="M106" i="83"/>
  <c r="K106" i="83"/>
  <c r="I106" i="83"/>
  <c r="Q105" i="83"/>
  <c r="O105" i="83"/>
  <c r="M105" i="83"/>
  <c r="K105" i="83"/>
  <c r="I105" i="83"/>
  <c r="Q104" i="83"/>
  <c r="O104" i="83"/>
  <c r="M104" i="83"/>
  <c r="K104" i="83"/>
  <c r="I104" i="83"/>
  <c r="Q103" i="83"/>
  <c r="O103" i="83"/>
  <c r="M103" i="83"/>
  <c r="K103" i="83"/>
  <c r="I103" i="83"/>
  <c r="Q102" i="83"/>
  <c r="O102" i="83"/>
  <c r="M102" i="83"/>
  <c r="K102" i="83"/>
  <c r="I102" i="83"/>
  <c r="Q101" i="83"/>
  <c r="O101" i="83"/>
  <c r="M101" i="83"/>
  <c r="K101" i="83"/>
  <c r="I101" i="83"/>
  <c r="Q100" i="83"/>
  <c r="O100" i="83"/>
  <c r="M100" i="83"/>
  <c r="K100" i="83"/>
  <c r="I100" i="83"/>
  <c r="Q99" i="83"/>
  <c r="O99" i="83"/>
  <c r="M99" i="83"/>
  <c r="K99" i="83"/>
  <c r="I99" i="83"/>
  <c r="Q98" i="83"/>
  <c r="O98" i="83"/>
  <c r="M98" i="83"/>
  <c r="K98" i="83"/>
  <c r="I98" i="83"/>
  <c r="Q97" i="83"/>
  <c r="O97" i="83"/>
  <c r="M97" i="83"/>
  <c r="K97" i="83"/>
  <c r="I97" i="83"/>
  <c r="Q96" i="83"/>
  <c r="O96" i="83"/>
  <c r="M96" i="83"/>
  <c r="K96" i="83"/>
  <c r="I96" i="83"/>
  <c r="Q95" i="83"/>
  <c r="O95" i="83"/>
  <c r="M95" i="83"/>
  <c r="K95" i="83"/>
  <c r="I95" i="83"/>
  <c r="Q94" i="83"/>
  <c r="O94" i="83"/>
  <c r="M94" i="83"/>
  <c r="K94" i="83"/>
  <c r="I94" i="83"/>
  <c r="Q93" i="83"/>
  <c r="O93" i="83"/>
  <c r="M93" i="83"/>
  <c r="K93" i="83"/>
  <c r="I93" i="83"/>
  <c r="Q92" i="83"/>
  <c r="O92" i="83"/>
  <c r="M92" i="83"/>
  <c r="K92" i="83"/>
  <c r="I92" i="83"/>
  <c r="Q91" i="83"/>
  <c r="O91" i="83"/>
  <c r="M91" i="83"/>
  <c r="K91" i="83"/>
  <c r="I91" i="83"/>
  <c r="Q90" i="83"/>
  <c r="O90" i="83"/>
  <c r="M90" i="83"/>
  <c r="K90" i="83"/>
  <c r="I90" i="83"/>
  <c r="Q89" i="83"/>
  <c r="O89" i="83"/>
  <c r="M89" i="83"/>
  <c r="K89" i="83"/>
  <c r="I89" i="83"/>
  <c r="Q88" i="83"/>
  <c r="O88" i="83"/>
  <c r="M88" i="83"/>
  <c r="K88" i="83"/>
  <c r="I88" i="83"/>
  <c r="Q87" i="83"/>
  <c r="O87" i="83"/>
  <c r="M87" i="83"/>
  <c r="K87" i="83"/>
  <c r="I87" i="83"/>
  <c r="Q86" i="83"/>
  <c r="O86" i="83"/>
  <c r="M86" i="83"/>
  <c r="K86" i="83"/>
  <c r="I86" i="83"/>
  <c r="Q85" i="83"/>
  <c r="O85" i="83"/>
  <c r="M85" i="83"/>
  <c r="K85" i="83"/>
  <c r="I85" i="83"/>
  <c r="Q84" i="83"/>
  <c r="O84" i="83"/>
  <c r="M84" i="83"/>
  <c r="K84" i="83"/>
  <c r="I84" i="83"/>
  <c r="Q83" i="83"/>
  <c r="O83" i="83"/>
  <c r="M83" i="83"/>
  <c r="K83" i="83"/>
  <c r="I83" i="83"/>
  <c r="Q82" i="83"/>
  <c r="O82" i="83"/>
  <c r="M82" i="83"/>
  <c r="K82" i="83"/>
  <c r="I82" i="83"/>
  <c r="Q81" i="83"/>
  <c r="O81" i="83"/>
  <c r="M81" i="83"/>
  <c r="K81" i="83"/>
  <c r="I81" i="83"/>
  <c r="Q80" i="83"/>
  <c r="O80" i="83"/>
  <c r="M80" i="83"/>
  <c r="K80" i="83"/>
  <c r="I80" i="83"/>
  <c r="Q79" i="83"/>
  <c r="O79" i="83"/>
  <c r="M79" i="83"/>
  <c r="K79" i="83"/>
  <c r="I79" i="83"/>
  <c r="Q78" i="83"/>
  <c r="O78" i="83"/>
  <c r="M78" i="83"/>
  <c r="K78" i="83"/>
  <c r="I78" i="83"/>
  <c r="Q77" i="83"/>
  <c r="O77" i="83"/>
  <c r="M77" i="83"/>
  <c r="K77" i="83"/>
  <c r="I77" i="83"/>
  <c r="Q76" i="83"/>
  <c r="O76" i="83"/>
  <c r="M76" i="83"/>
  <c r="K76" i="83"/>
  <c r="I76" i="83"/>
  <c r="Q75" i="83"/>
  <c r="O75" i="83"/>
  <c r="M75" i="83"/>
  <c r="K75" i="83"/>
  <c r="I75" i="83"/>
  <c r="Q74" i="83"/>
  <c r="O74" i="83"/>
  <c r="M74" i="83"/>
  <c r="K74" i="83"/>
  <c r="I74" i="83"/>
  <c r="Q73" i="83"/>
  <c r="O73" i="83"/>
  <c r="M73" i="83"/>
  <c r="K73" i="83"/>
  <c r="I73" i="83"/>
  <c r="Q72" i="83"/>
  <c r="O72" i="83"/>
  <c r="M72" i="83"/>
  <c r="K72" i="83"/>
  <c r="I72" i="83"/>
  <c r="Q71" i="83"/>
  <c r="O71" i="83"/>
  <c r="M71" i="83"/>
  <c r="K71" i="83"/>
  <c r="I71" i="83"/>
  <c r="Q70" i="83"/>
  <c r="O70" i="83"/>
  <c r="M70" i="83"/>
  <c r="K70" i="83"/>
  <c r="I70" i="83"/>
  <c r="Q69" i="83"/>
  <c r="O69" i="83"/>
  <c r="M69" i="83"/>
  <c r="K69" i="83"/>
  <c r="I69" i="83"/>
  <c r="Q68" i="83"/>
  <c r="O68" i="83"/>
  <c r="M68" i="83"/>
  <c r="K68" i="83"/>
  <c r="I68" i="83"/>
  <c r="Q67" i="83"/>
  <c r="O67" i="83"/>
  <c r="M67" i="83"/>
  <c r="K67" i="83"/>
  <c r="I67" i="83"/>
  <c r="Q66" i="83"/>
  <c r="O66" i="83"/>
  <c r="M66" i="83"/>
  <c r="K66" i="83"/>
  <c r="I66" i="83"/>
  <c r="Q65" i="83"/>
  <c r="O65" i="83"/>
  <c r="M65" i="83"/>
  <c r="K65" i="83"/>
  <c r="I65" i="83"/>
  <c r="Q64" i="83"/>
  <c r="O64" i="83"/>
  <c r="M64" i="83"/>
  <c r="K64" i="83"/>
  <c r="I64" i="83"/>
  <c r="Q63" i="83"/>
  <c r="O63" i="83"/>
  <c r="M63" i="83"/>
  <c r="K63" i="83"/>
  <c r="I63" i="83"/>
  <c r="Q62" i="83"/>
  <c r="O62" i="83"/>
  <c r="M62" i="83"/>
  <c r="K62" i="83"/>
  <c r="I62" i="83"/>
  <c r="Q61" i="83"/>
  <c r="O61" i="83"/>
  <c r="M61" i="83"/>
  <c r="K61" i="83"/>
  <c r="I61" i="83"/>
  <c r="Q60" i="83"/>
  <c r="O60" i="83"/>
  <c r="M60" i="83"/>
  <c r="K60" i="83"/>
  <c r="I60" i="83"/>
  <c r="Q59" i="83"/>
  <c r="O59" i="83"/>
  <c r="M59" i="83"/>
  <c r="K59" i="83"/>
  <c r="I59" i="83"/>
  <c r="Q58" i="83"/>
  <c r="O58" i="83"/>
  <c r="M58" i="83"/>
  <c r="K58" i="83"/>
  <c r="I58" i="83"/>
  <c r="Q57" i="83"/>
  <c r="O57" i="83"/>
  <c r="M57" i="83"/>
  <c r="K57" i="83"/>
  <c r="I57" i="83"/>
  <c r="Q56" i="83"/>
  <c r="O56" i="83"/>
  <c r="M56" i="83"/>
  <c r="K56" i="83"/>
  <c r="I56" i="83"/>
  <c r="Q55" i="83"/>
  <c r="O55" i="83"/>
  <c r="M55" i="83"/>
  <c r="K55" i="83"/>
  <c r="I55" i="83"/>
  <c r="Q54" i="83"/>
  <c r="O54" i="83"/>
  <c r="M54" i="83"/>
  <c r="K54" i="83"/>
  <c r="I54" i="83"/>
  <c r="Q53" i="83"/>
  <c r="O53" i="83"/>
  <c r="M53" i="83"/>
  <c r="K53" i="83"/>
  <c r="I53" i="83"/>
  <c r="Q52" i="83"/>
  <c r="O52" i="83"/>
  <c r="M52" i="83"/>
  <c r="K52" i="83"/>
  <c r="I52" i="83"/>
  <c r="Q51" i="83"/>
  <c r="O51" i="83"/>
  <c r="M51" i="83"/>
  <c r="K51" i="83"/>
  <c r="I51" i="83"/>
  <c r="Q50" i="83"/>
  <c r="O50" i="83"/>
  <c r="M50" i="83"/>
  <c r="K50" i="83"/>
  <c r="I50" i="83"/>
  <c r="Q49" i="83"/>
  <c r="O49" i="83"/>
  <c r="M49" i="83"/>
  <c r="K49" i="83"/>
  <c r="I49" i="83"/>
  <c r="Q48" i="83"/>
  <c r="O48" i="83"/>
  <c r="M48" i="83"/>
  <c r="K48" i="83"/>
  <c r="I48" i="83"/>
  <c r="Q47" i="83"/>
  <c r="O47" i="83"/>
  <c r="M47" i="83"/>
  <c r="K47" i="83"/>
  <c r="I47" i="83"/>
  <c r="Q46" i="83"/>
  <c r="O46" i="83"/>
  <c r="M46" i="83"/>
  <c r="K46" i="83"/>
  <c r="I46" i="83"/>
  <c r="Q45" i="83"/>
  <c r="O45" i="83"/>
  <c r="M45" i="83"/>
  <c r="K45" i="83"/>
  <c r="I45" i="83"/>
  <c r="Q44" i="83"/>
  <c r="O44" i="83"/>
  <c r="M44" i="83"/>
  <c r="K44" i="83"/>
  <c r="I44" i="83"/>
  <c r="Q43" i="83"/>
  <c r="O43" i="83"/>
  <c r="M43" i="83"/>
  <c r="K43" i="83"/>
  <c r="I43" i="83"/>
  <c r="Q42" i="83"/>
  <c r="O42" i="83"/>
  <c r="M42" i="83"/>
  <c r="K42" i="83"/>
  <c r="I42" i="83"/>
  <c r="Q41" i="83"/>
  <c r="O41" i="83"/>
  <c r="M41" i="83"/>
  <c r="K41" i="83"/>
  <c r="I41" i="83"/>
  <c r="Q40" i="83"/>
  <c r="O40" i="83"/>
  <c r="M40" i="83"/>
  <c r="K40" i="83"/>
  <c r="I40" i="83"/>
  <c r="Q39" i="83"/>
  <c r="O39" i="83"/>
  <c r="M39" i="83"/>
  <c r="K39" i="83"/>
  <c r="I39" i="83"/>
  <c r="Q38" i="83"/>
  <c r="O38" i="83"/>
  <c r="M38" i="83"/>
  <c r="K38" i="83"/>
  <c r="I38" i="83"/>
  <c r="Q37" i="83"/>
  <c r="O37" i="83"/>
  <c r="M37" i="83"/>
  <c r="K37" i="83"/>
  <c r="I37" i="83"/>
  <c r="Q36" i="83"/>
  <c r="O36" i="83"/>
  <c r="M36" i="83"/>
  <c r="K36" i="83"/>
  <c r="I36" i="83"/>
  <c r="Q35" i="83"/>
  <c r="O35" i="83"/>
  <c r="M35" i="83"/>
  <c r="K35" i="83"/>
  <c r="I35" i="83"/>
  <c r="Q34" i="83"/>
  <c r="O34" i="83"/>
  <c r="M34" i="83"/>
  <c r="K34" i="83"/>
  <c r="I34" i="83"/>
  <c r="Q33" i="83"/>
  <c r="O33" i="83"/>
  <c r="M33" i="83"/>
  <c r="K33" i="83"/>
  <c r="I33" i="83"/>
  <c r="Q32" i="83"/>
  <c r="O32" i="83"/>
  <c r="M32" i="83"/>
  <c r="K32" i="83"/>
  <c r="I32" i="83"/>
  <c r="Q31" i="83"/>
  <c r="O31" i="83"/>
  <c r="M31" i="83"/>
  <c r="K31" i="83"/>
  <c r="I31" i="83"/>
  <c r="Q30" i="83"/>
  <c r="O30" i="83"/>
  <c r="M30" i="83"/>
  <c r="K30" i="83"/>
  <c r="I30" i="83"/>
  <c r="Q29" i="83"/>
  <c r="O29" i="83"/>
  <c r="M29" i="83"/>
  <c r="K29" i="83"/>
  <c r="I29" i="83"/>
  <c r="Q28" i="83"/>
  <c r="O28" i="83"/>
  <c r="M28" i="83"/>
  <c r="K28" i="83"/>
  <c r="I28" i="83"/>
  <c r="Q27" i="83"/>
  <c r="O27" i="83"/>
  <c r="M27" i="83"/>
  <c r="K27" i="83"/>
  <c r="I27" i="83"/>
  <c r="Q26" i="83"/>
  <c r="O26" i="83"/>
  <c r="M26" i="83"/>
  <c r="K26" i="83"/>
  <c r="I26" i="83"/>
  <c r="Q25" i="83"/>
  <c r="O25" i="83"/>
  <c r="M25" i="83"/>
  <c r="K25" i="83"/>
  <c r="I25" i="83"/>
  <c r="B22"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D8" i="83"/>
  <c r="E8" i="83" s="1"/>
  <c r="T7" i="83"/>
  <c r="E6" i="83"/>
  <c r="F6" i="83" s="1"/>
  <c r="G6" i="83" s="1"/>
  <c r="H6" i="83" s="1"/>
  <c r="I6" i="83" s="1"/>
  <c r="J6" i="83" s="1"/>
  <c r="K6" i="83" s="1"/>
  <c r="L6" i="83" s="1"/>
  <c r="M6" i="83" s="1"/>
  <c r="N6" i="83" s="1"/>
  <c r="O6" i="83" s="1"/>
  <c r="P6" i="83" s="1"/>
  <c r="Q6" i="83" s="1"/>
  <c r="R6" i="83" s="1"/>
  <c r="S6" i="83" s="1"/>
  <c r="D6" i="83"/>
  <c r="D4" i="83"/>
  <c r="C26" i="83" s="1"/>
  <c r="S2" i="83"/>
  <c r="R2" i="83"/>
  <c r="Q2" i="83"/>
  <c r="P2" i="83"/>
  <c r="O2" i="83"/>
  <c r="N2" i="83"/>
  <c r="M2" i="83"/>
  <c r="L2" i="83"/>
  <c r="K2" i="83"/>
  <c r="J2" i="83"/>
  <c r="I2" i="83"/>
  <c r="H2" i="83"/>
  <c r="G2" i="83"/>
  <c r="F2" i="83"/>
  <c r="E2" i="83"/>
  <c r="D2" i="83"/>
  <c r="C2" i="83"/>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Q72" i="81"/>
  <c r="Q59" i="81"/>
  <c r="K59" i="81"/>
  <c r="P74" i="81" s="1"/>
  <c r="F59" i="81"/>
  <c r="Q58" i="81"/>
  <c r="Q51" i="81"/>
  <c r="J50" i="81"/>
  <c r="M47" i="81"/>
  <c r="D46" i="81"/>
  <c r="F33" i="81"/>
  <c r="F61" i="81" s="1"/>
  <c r="F31" i="81"/>
  <c r="F23" i="81"/>
  <c r="D23" i="81" s="1"/>
  <c r="F21" i="81"/>
  <c r="F20" i="81"/>
  <c r="M19" i="81"/>
  <c r="F18" i="81"/>
  <c r="M17" i="81"/>
  <c r="F17" i="81"/>
  <c r="F15" i="81"/>
  <c r="D34" i="82"/>
  <c r="D35" i="82"/>
  <c r="F20" i="83"/>
  <c r="C108" i="83" l="1"/>
  <c r="C112" i="83"/>
  <c r="C106" i="83"/>
  <c r="C107" i="83"/>
  <c r="G105" i="83"/>
  <c r="G104" i="83"/>
  <c r="G103" i="83"/>
  <c r="G102" i="83"/>
  <c r="G101" i="83"/>
  <c r="G100" i="83"/>
  <c r="G99" i="83"/>
  <c r="G98" i="83"/>
  <c r="G97" i="83"/>
  <c r="G96" i="83"/>
  <c r="G95" i="83"/>
  <c r="G94" i="83"/>
  <c r="G93" i="83"/>
  <c r="G92" i="83"/>
  <c r="G91" i="83"/>
  <c r="G90" i="83"/>
  <c r="G89" i="83"/>
  <c r="G88" i="83"/>
  <c r="G87" i="83"/>
  <c r="G86" i="83"/>
  <c r="G85" i="83"/>
  <c r="G84" i="83"/>
  <c r="G83" i="83"/>
  <c r="G82" i="83"/>
  <c r="G81"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G49" i="83"/>
  <c r="G48" i="83"/>
  <c r="G47" i="83"/>
  <c r="G46" i="83"/>
  <c r="G45" i="83"/>
  <c r="G44" i="83"/>
  <c r="G43" i="83"/>
  <c r="G42" i="83"/>
  <c r="G41" i="83"/>
  <c r="G40" i="83"/>
  <c r="G39" i="83"/>
  <c r="G38" i="83"/>
  <c r="G37" i="83"/>
  <c r="G36" i="83"/>
  <c r="G35" i="83"/>
  <c r="G34" i="83"/>
  <c r="G33" i="83"/>
  <c r="G32" i="83"/>
  <c r="G31" i="83"/>
  <c r="G30" i="83"/>
  <c r="G29" i="83"/>
  <c r="G28" i="83"/>
  <c r="G27" i="83"/>
  <c r="F8" i="83"/>
  <c r="G8" i="83" s="1"/>
  <c r="H8" i="83" s="1"/>
  <c r="I8" i="83" s="1"/>
  <c r="J8" i="83" s="1"/>
  <c r="K8" i="83" s="1"/>
  <c r="L8" i="83" s="1"/>
  <c r="M8" i="83" s="1"/>
  <c r="N8" i="83" s="1"/>
  <c r="O8" i="83" s="1"/>
  <c r="P8" i="83" s="1"/>
  <c r="Q8" i="83" s="1"/>
  <c r="R8" i="83" s="1"/>
  <c r="S8" i="83" s="1"/>
  <c r="G26" i="83"/>
  <c r="G25" i="83"/>
  <c r="E4" i="83"/>
  <c r="F4" i="83" s="1"/>
  <c r="G4" i="83" s="1"/>
  <c r="H4" i="83" s="1"/>
  <c r="E524" i="83"/>
  <c r="E523" i="83"/>
  <c r="E522" i="83"/>
  <c r="E521" i="83"/>
  <c r="E520" i="83"/>
  <c r="E519" i="83"/>
  <c r="E518" i="83"/>
  <c r="E517" i="83"/>
  <c r="E516" i="83"/>
  <c r="E515" i="83"/>
  <c r="E514" i="83"/>
  <c r="E513" i="83"/>
  <c r="E512" i="83"/>
  <c r="E511" i="83"/>
  <c r="E510" i="83"/>
  <c r="E509" i="83"/>
  <c r="E508" i="83"/>
  <c r="E507" i="83"/>
  <c r="E506" i="83"/>
  <c r="E505" i="83"/>
  <c r="E504" i="83"/>
  <c r="E503" i="83"/>
  <c r="E502" i="83"/>
  <c r="E501" i="83"/>
  <c r="E500" i="83"/>
  <c r="E499" i="83"/>
  <c r="E498" i="83"/>
  <c r="E497" i="83"/>
  <c r="E496" i="83"/>
  <c r="E495" i="83"/>
  <c r="E494" i="83"/>
  <c r="E493" i="83"/>
  <c r="E492" i="83"/>
  <c r="E491" i="83"/>
  <c r="E490" i="83"/>
  <c r="E489" i="83"/>
  <c r="E488" i="83"/>
  <c r="E487" i="83"/>
  <c r="E486" i="83"/>
  <c r="E485" i="83"/>
  <c r="E484" i="83"/>
  <c r="E483" i="83"/>
  <c r="E482" i="83"/>
  <c r="E481" i="83"/>
  <c r="E480" i="83"/>
  <c r="E479" i="83"/>
  <c r="E478" i="83"/>
  <c r="E477" i="83"/>
  <c r="E476" i="83"/>
  <c r="E475" i="83"/>
  <c r="E474" i="83"/>
  <c r="E473" i="83"/>
  <c r="E472" i="83"/>
  <c r="E471" i="83"/>
  <c r="E470" i="83"/>
  <c r="E469" i="83"/>
  <c r="E468" i="83"/>
  <c r="E467" i="83"/>
  <c r="E466" i="83"/>
  <c r="E465" i="83"/>
  <c r="E464" i="83"/>
  <c r="E462" i="83"/>
  <c r="E460" i="83"/>
  <c r="E458" i="83"/>
  <c r="E456" i="83"/>
  <c r="E454" i="83"/>
  <c r="E452" i="83"/>
  <c r="E450" i="83"/>
  <c r="E448" i="83"/>
  <c r="E446" i="83"/>
  <c r="E444" i="83"/>
  <c r="E442" i="83"/>
  <c r="E440" i="83"/>
  <c r="E439" i="83"/>
  <c r="E438" i="83"/>
  <c r="E437" i="83"/>
  <c r="E436" i="83"/>
  <c r="E435" i="83"/>
  <c r="E434" i="83"/>
  <c r="E433" i="83"/>
  <c r="E432" i="83"/>
  <c r="E431" i="83"/>
  <c r="E430" i="83"/>
  <c r="E429" i="83"/>
  <c r="E428" i="83"/>
  <c r="E427" i="83"/>
  <c r="E426" i="83"/>
  <c r="E425" i="83"/>
  <c r="E424" i="83"/>
  <c r="E423" i="83"/>
  <c r="E422" i="83"/>
  <c r="E421" i="83"/>
  <c r="E420" i="83"/>
  <c r="E419" i="83"/>
  <c r="E418" i="83"/>
  <c r="E417" i="83"/>
  <c r="E416" i="83"/>
  <c r="E415" i="83"/>
  <c r="E414" i="83"/>
  <c r="E413" i="83"/>
  <c r="E412" i="83"/>
  <c r="E411" i="83"/>
  <c r="E410" i="83"/>
  <c r="E409" i="83"/>
  <c r="E408" i="83"/>
  <c r="E407" i="83"/>
  <c r="E406" i="83"/>
  <c r="E405" i="83"/>
  <c r="E404" i="83"/>
  <c r="E403" i="83"/>
  <c r="E402" i="83"/>
  <c r="E401" i="83"/>
  <c r="E400" i="83"/>
  <c r="E399" i="83"/>
  <c r="E398" i="83"/>
  <c r="E397" i="83"/>
  <c r="E396" i="83"/>
  <c r="E395" i="83"/>
  <c r="E394" i="83"/>
  <c r="E393" i="83"/>
  <c r="E392" i="83"/>
  <c r="E391" i="83"/>
  <c r="E390" i="83"/>
  <c r="E389" i="83"/>
  <c r="E388" i="83"/>
  <c r="E387" i="83"/>
  <c r="E386" i="83"/>
  <c r="E385" i="83"/>
  <c r="E384" i="83"/>
  <c r="E383" i="83"/>
  <c r="E382" i="83"/>
  <c r="E381" i="83"/>
  <c r="E380" i="83"/>
  <c r="E379" i="83"/>
  <c r="E378" i="83"/>
  <c r="E377" i="83"/>
  <c r="E376" i="83"/>
  <c r="E375" i="83"/>
  <c r="E374" i="83"/>
  <c r="E373" i="83"/>
  <c r="E372" i="83"/>
  <c r="E371" i="83"/>
  <c r="E370" i="83"/>
  <c r="E369" i="83"/>
  <c r="E368" i="83"/>
  <c r="E463" i="83"/>
  <c r="E461" i="83"/>
  <c r="E459" i="83"/>
  <c r="E457" i="83"/>
  <c r="E455" i="83"/>
  <c r="E453" i="83"/>
  <c r="E451" i="83"/>
  <c r="E449" i="83"/>
  <c r="E447" i="83"/>
  <c r="E445" i="83"/>
  <c r="E443" i="83"/>
  <c r="E441" i="83"/>
  <c r="E367" i="83"/>
  <c r="E365" i="83"/>
  <c r="E363" i="83"/>
  <c r="E361" i="83"/>
  <c r="E359" i="83"/>
  <c r="E357" i="83"/>
  <c r="E355" i="83"/>
  <c r="E353" i="83"/>
  <c r="E351" i="83"/>
  <c r="E349" i="83"/>
  <c r="E347" i="83"/>
  <c r="E346" i="83"/>
  <c r="E345" i="83"/>
  <c r="E344" i="83"/>
  <c r="E343" i="83"/>
  <c r="E342" i="83"/>
  <c r="E341" i="83"/>
  <c r="E340" i="83"/>
  <c r="E339" i="83"/>
  <c r="E338" i="83"/>
  <c r="E337" i="83"/>
  <c r="E336" i="83"/>
  <c r="E335" i="83"/>
  <c r="E334" i="83"/>
  <c r="E333" i="83"/>
  <c r="E332" i="83"/>
  <c r="E331" i="83"/>
  <c r="E330" i="83"/>
  <c r="E329" i="83"/>
  <c r="E328" i="83"/>
  <c r="E327" i="83"/>
  <c r="E326" i="83"/>
  <c r="E325" i="83"/>
  <c r="E324" i="83"/>
  <c r="E323" i="83"/>
  <c r="E322" i="83"/>
  <c r="E321" i="83"/>
  <c r="E320" i="83"/>
  <c r="E319" i="83"/>
  <c r="E318" i="83"/>
  <c r="E317" i="83"/>
  <c r="E316" i="83"/>
  <c r="E315" i="83"/>
  <c r="E314" i="83"/>
  <c r="E313" i="83"/>
  <c r="E312" i="83"/>
  <c r="E311" i="83"/>
  <c r="E310" i="83"/>
  <c r="E309" i="83"/>
  <c r="E308" i="83"/>
  <c r="E307" i="83"/>
  <c r="E306" i="83"/>
  <c r="E305" i="83"/>
  <c r="E304" i="83"/>
  <c r="E303" i="83"/>
  <c r="E302" i="83"/>
  <c r="E301" i="83"/>
  <c r="E300" i="83"/>
  <c r="E299" i="83"/>
  <c r="E298" i="83"/>
  <c r="E297" i="83"/>
  <c r="E296" i="83"/>
  <c r="E295" i="83"/>
  <c r="E294" i="83"/>
  <c r="E293" i="83"/>
  <c r="E292" i="83"/>
  <c r="E291" i="83"/>
  <c r="E290" i="83"/>
  <c r="E289" i="83"/>
  <c r="E288" i="83"/>
  <c r="E287" i="83"/>
  <c r="E286" i="83"/>
  <c r="E285" i="83"/>
  <c r="E284" i="83"/>
  <c r="E283" i="83"/>
  <c r="E282" i="83"/>
  <c r="E281" i="83"/>
  <c r="E280" i="83"/>
  <c r="E279" i="83"/>
  <c r="E278" i="83"/>
  <c r="E277" i="83"/>
  <c r="E276" i="83"/>
  <c r="E275" i="83"/>
  <c r="E274" i="83"/>
  <c r="E273" i="83"/>
  <c r="E272" i="83"/>
  <c r="E271" i="83"/>
  <c r="E270" i="83"/>
  <c r="E269" i="83"/>
  <c r="E268" i="83"/>
  <c r="E267" i="83"/>
  <c r="E266" i="83"/>
  <c r="E265" i="83"/>
  <c r="E264" i="83"/>
  <c r="E263" i="83"/>
  <c r="E262" i="83"/>
  <c r="E261" i="83"/>
  <c r="E260" i="83"/>
  <c r="E259" i="83"/>
  <c r="E258" i="83"/>
  <c r="E257" i="83"/>
  <c r="E256" i="83"/>
  <c r="E255" i="83"/>
  <c r="E254" i="83"/>
  <c r="E253" i="83"/>
  <c r="E252" i="83"/>
  <c r="E251" i="83"/>
  <c r="E250" i="83"/>
  <c r="E249" i="83"/>
  <c r="E248" i="83"/>
  <c r="E247" i="83"/>
  <c r="E246" i="83"/>
  <c r="E245" i="83"/>
  <c r="E244" i="83"/>
  <c r="E243" i="83"/>
  <c r="E242" i="83"/>
  <c r="E241" i="83"/>
  <c r="E240" i="83"/>
  <c r="E239" i="83"/>
  <c r="E238" i="83"/>
  <c r="E237" i="83"/>
  <c r="E236" i="83"/>
  <c r="E235" i="83"/>
  <c r="E234" i="83"/>
  <c r="E233" i="83"/>
  <c r="E232" i="83"/>
  <c r="E366" i="83"/>
  <c r="E364" i="83"/>
  <c r="E362" i="83"/>
  <c r="E360" i="83"/>
  <c r="E358" i="83"/>
  <c r="E356" i="83"/>
  <c r="E354" i="83"/>
  <c r="E352" i="83"/>
  <c r="E350" i="83"/>
  <c r="E348" i="83"/>
  <c r="E231" i="83"/>
  <c r="E229" i="83"/>
  <c r="E227" i="83"/>
  <c r="E225" i="83"/>
  <c r="E223" i="83"/>
  <c r="E221" i="83"/>
  <c r="E219" i="83"/>
  <c r="E217" i="83"/>
  <c r="E215" i="83"/>
  <c r="E213" i="83"/>
  <c r="E211" i="83"/>
  <c r="E209" i="83"/>
  <c r="E207" i="83"/>
  <c r="E205" i="83"/>
  <c r="E203" i="83"/>
  <c r="E201" i="83"/>
  <c r="E199" i="83"/>
  <c r="E197" i="83"/>
  <c r="E195" i="83"/>
  <c r="E193" i="83"/>
  <c r="E191" i="83"/>
  <c r="E189" i="83"/>
  <c r="E187" i="83"/>
  <c r="E186" i="83"/>
  <c r="E185" i="83"/>
  <c r="E184" i="83"/>
  <c r="E183" i="83"/>
  <c r="E182" i="83"/>
  <c r="E181" i="83"/>
  <c r="E180" i="83"/>
  <c r="E179" i="83"/>
  <c r="E178" i="83"/>
  <c r="E177" i="83"/>
  <c r="E176" i="83"/>
  <c r="E175" i="83"/>
  <c r="E174" i="83"/>
  <c r="E173" i="83"/>
  <c r="E172" i="83"/>
  <c r="E171" i="83"/>
  <c r="E170" i="83"/>
  <c r="E169" i="83"/>
  <c r="E168" i="83"/>
  <c r="E167" i="83"/>
  <c r="E166" i="83"/>
  <c r="E165" i="83"/>
  <c r="E164" i="83"/>
  <c r="E163" i="83"/>
  <c r="E162" i="83"/>
  <c r="E161" i="83"/>
  <c r="E160" i="83"/>
  <c r="E159" i="83"/>
  <c r="E158" i="83"/>
  <c r="E157" i="83"/>
  <c r="E156" i="83"/>
  <c r="E155" i="83"/>
  <c r="E154" i="83"/>
  <c r="E153" i="83"/>
  <c r="E152" i="83"/>
  <c r="E151" i="83"/>
  <c r="E150" i="83"/>
  <c r="E149" i="83"/>
  <c r="E148" i="83"/>
  <c r="E147" i="83"/>
  <c r="E146" i="83"/>
  <c r="E145" i="83"/>
  <c r="E144" i="83"/>
  <c r="E143" i="83"/>
  <c r="E142" i="83"/>
  <c r="E141" i="83"/>
  <c r="E140" i="83"/>
  <c r="E139" i="83"/>
  <c r="E138" i="83"/>
  <c r="E137" i="83"/>
  <c r="E136" i="83"/>
  <c r="E135" i="83"/>
  <c r="E134" i="83"/>
  <c r="E133" i="83"/>
  <c r="E132" i="83"/>
  <c r="E131" i="83"/>
  <c r="E130" i="83"/>
  <c r="E129" i="83"/>
  <c r="E128" i="83"/>
  <c r="E127" i="83"/>
  <c r="E126" i="83"/>
  <c r="E125" i="83"/>
  <c r="E124" i="83"/>
  <c r="E123" i="83"/>
  <c r="E122" i="83"/>
  <c r="E121" i="83"/>
  <c r="E120" i="83"/>
  <c r="E119" i="83"/>
  <c r="E118" i="83"/>
  <c r="E117" i="83"/>
  <c r="E116" i="83"/>
  <c r="E115" i="83"/>
  <c r="E114" i="83"/>
  <c r="E113" i="83"/>
  <c r="E112" i="83"/>
  <c r="E111" i="83"/>
  <c r="E110" i="83"/>
  <c r="E109" i="83"/>
  <c r="E108" i="83"/>
  <c r="E107" i="83"/>
  <c r="E106" i="83"/>
  <c r="E105" i="83"/>
  <c r="E104" i="83"/>
  <c r="E103" i="83"/>
  <c r="E102" i="83"/>
  <c r="E101" i="83"/>
  <c r="E100" i="83"/>
  <c r="E99" i="83"/>
  <c r="E98" i="83"/>
  <c r="E97" i="83"/>
  <c r="E96" i="83"/>
  <c r="E95" i="83"/>
  <c r="E94" i="83"/>
  <c r="E93" i="83"/>
  <c r="E92" i="83"/>
  <c r="E91" i="83"/>
  <c r="E90" i="83"/>
  <c r="E89" i="83"/>
  <c r="E88" i="83"/>
  <c r="E87" i="83"/>
  <c r="E86" i="83"/>
  <c r="E85" i="83"/>
  <c r="E84" i="83"/>
  <c r="E83" i="83"/>
  <c r="E82" i="83"/>
  <c r="E81" i="83"/>
  <c r="E80" i="83"/>
  <c r="E79" i="83"/>
  <c r="E78" i="83"/>
  <c r="E77" i="83"/>
  <c r="E230" i="83"/>
  <c r="E228" i="83"/>
  <c r="E226" i="83"/>
  <c r="E224" i="83"/>
  <c r="E222" i="83"/>
  <c r="E220" i="83"/>
  <c r="E218" i="83"/>
  <c r="E216" i="83"/>
  <c r="E214" i="83"/>
  <c r="E212" i="83"/>
  <c r="E210" i="83"/>
  <c r="E208" i="83"/>
  <c r="E206" i="83"/>
  <c r="E204" i="83"/>
  <c r="E202" i="83"/>
  <c r="E200" i="83"/>
  <c r="E198" i="83"/>
  <c r="E196" i="83"/>
  <c r="E194" i="83"/>
  <c r="E192" i="83"/>
  <c r="E190" i="83"/>
  <c r="E188" i="83"/>
  <c r="G524" i="83"/>
  <c r="G523" i="83"/>
  <c r="G522" i="83"/>
  <c r="G521" i="83"/>
  <c r="G520" i="83"/>
  <c r="G519" i="83"/>
  <c r="G518" i="83"/>
  <c r="G517" i="83"/>
  <c r="G516" i="83"/>
  <c r="G515" i="83"/>
  <c r="G514" i="83"/>
  <c r="G513" i="83"/>
  <c r="G512" i="83"/>
  <c r="G511" i="83"/>
  <c r="G510" i="83"/>
  <c r="G509" i="83"/>
  <c r="G508" i="83"/>
  <c r="G507" i="83"/>
  <c r="G506" i="83"/>
  <c r="G505" i="83"/>
  <c r="G504" i="83"/>
  <c r="G503" i="83"/>
  <c r="G502" i="83"/>
  <c r="G501" i="83"/>
  <c r="G500" i="83"/>
  <c r="G499" i="83"/>
  <c r="G498" i="83"/>
  <c r="G497" i="83"/>
  <c r="G496" i="83"/>
  <c r="G495" i="83"/>
  <c r="G494" i="83"/>
  <c r="G493" i="83"/>
  <c r="G492" i="83"/>
  <c r="G491" i="83"/>
  <c r="G490" i="83"/>
  <c r="G489" i="83"/>
  <c r="G488" i="83"/>
  <c r="G487" i="83"/>
  <c r="G486" i="83"/>
  <c r="G485" i="83"/>
  <c r="G484" i="83"/>
  <c r="G483" i="83"/>
  <c r="G482" i="83"/>
  <c r="G481" i="83"/>
  <c r="G480" i="83"/>
  <c r="G479" i="83"/>
  <c r="G478" i="83"/>
  <c r="G477" i="83"/>
  <c r="G476" i="83"/>
  <c r="G475" i="83"/>
  <c r="G474" i="83"/>
  <c r="G473" i="83"/>
  <c r="G472" i="83"/>
  <c r="G471" i="83"/>
  <c r="G470" i="83"/>
  <c r="G469" i="83"/>
  <c r="G468" i="83"/>
  <c r="G467" i="83"/>
  <c r="G466" i="83"/>
  <c r="G465" i="83"/>
  <c r="G464" i="83"/>
  <c r="G463" i="83"/>
  <c r="G462" i="83"/>
  <c r="G461" i="83"/>
  <c r="G460" i="83"/>
  <c r="G459" i="83"/>
  <c r="G458" i="83"/>
  <c r="G457" i="83"/>
  <c r="G456" i="83"/>
  <c r="G455" i="83"/>
  <c r="G454" i="83"/>
  <c r="G453" i="83"/>
  <c r="G452" i="83"/>
  <c r="G451" i="83"/>
  <c r="G450" i="83"/>
  <c r="G449" i="83"/>
  <c r="G448" i="83"/>
  <c r="G447" i="83"/>
  <c r="G446" i="83"/>
  <c r="G445" i="83"/>
  <c r="G444" i="83"/>
  <c r="G443" i="83"/>
  <c r="G442" i="83"/>
  <c r="G441" i="83"/>
  <c r="G440" i="83"/>
  <c r="G439" i="83"/>
  <c r="G438" i="83"/>
  <c r="G437" i="83"/>
  <c r="G436" i="83"/>
  <c r="G435" i="83"/>
  <c r="G434" i="83"/>
  <c r="G433" i="83"/>
  <c r="G432" i="83"/>
  <c r="G431" i="83"/>
  <c r="G430" i="83"/>
  <c r="G429" i="83"/>
  <c r="G428" i="83"/>
  <c r="G427" i="83"/>
  <c r="G426" i="83"/>
  <c r="G425" i="83"/>
  <c r="G424" i="83"/>
  <c r="G423" i="83"/>
  <c r="G422" i="83"/>
  <c r="G421" i="83"/>
  <c r="G420" i="83"/>
  <c r="G419" i="83"/>
  <c r="G418" i="83"/>
  <c r="G417" i="83"/>
  <c r="G416" i="83"/>
  <c r="G415" i="83"/>
  <c r="G414" i="83"/>
  <c r="G413" i="83"/>
  <c r="G412" i="83"/>
  <c r="G411" i="83"/>
  <c r="G410" i="83"/>
  <c r="G409" i="83"/>
  <c r="G408" i="83"/>
  <c r="G407" i="83"/>
  <c r="G406" i="83"/>
  <c r="G405" i="83"/>
  <c r="G404" i="83"/>
  <c r="G403" i="83"/>
  <c r="G402" i="83"/>
  <c r="G401" i="83"/>
  <c r="G400" i="83"/>
  <c r="G399" i="83"/>
  <c r="G398" i="83"/>
  <c r="G397" i="83"/>
  <c r="G396" i="83"/>
  <c r="G395" i="83"/>
  <c r="G394" i="83"/>
  <c r="G393" i="83"/>
  <c r="G392" i="83"/>
  <c r="G391" i="83"/>
  <c r="G390" i="83"/>
  <c r="G389" i="83"/>
  <c r="G388" i="83"/>
  <c r="G387" i="83"/>
  <c r="G386" i="83"/>
  <c r="G385" i="83"/>
  <c r="G384" i="83"/>
  <c r="G383" i="83"/>
  <c r="G382" i="83"/>
  <c r="G381" i="83"/>
  <c r="G380" i="83"/>
  <c r="G379" i="83"/>
  <c r="G378" i="83"/>
  <c r="G377" i="83"/>
  <c r="G376" i="83"/>
  <c r="G375" i="83"/>
  <c r="G374" i="83"/>
  <c r="G373" i="83"/>
  <c r="G372" i="83"/>
  <c r="G371" i="83"/>
  <c r="G370" i="83"/>
  <c r="G369" i="83"/>
  <c r="G368" i="83"/>
  <c r="G367" i="83"/>
  <c r="G366" i="83"/>
  <c r="G365" i="83"/>
  <c r="G364" i="83"/>
  <c r="G363" i="83"/>
  <c r="G362" i="83"/>
  <c r="G361" i="83"/>
  <c r="G360" i="83"/>
  <c r="G359" i="83"/>
  <c r="G358" i="83"/>
  <c r="G357" i="83"/>
  <c r="G356" i="83"/>
  <c r="G355" i="83"/>
  <c r="G354" i="83"/>
  <c r="G353" i="83"/>
  <c r="G352" i="83"/>
  <c r="G351" i="83"/>
  <c r="G350" i="83"/>
  <c r="G349" i="83"/>
  <c r="G348" i="83"/>
  <c r="G347" i="83"/>
  <c r="G346" i="83"/>
  <c r="G345" i="83"/>
  <c r="G344" i="83"/>
  <c r="G343" i="83"/>
  <c r="G342" i="83"/>
  <c r="G341" i="83"/>
  <c r="G340" i="83"/>
  <c r="G339" i="83"/>
  <c r="G338" i="83"/>
  <c r="G337" i="83"/>
  <c r="G336" i="83"/>
  <c r="G335" i="83"/>
  <c r="G334" i="83"/>
  <c r="G333" i="83"/>
  <c r="G332" i="83"/>
  <c r="G331" i="83"/>
  <c r="G330" i="83"/>
  <c r="G329" i="83"/>
  <c r="G328" i="83"/>
  <c r="G327" i="83"/>
  <c r="G326" i="83"/>
  <c r="G325" i="83"/>
  <c r="G324" i="83"/>
  <c r="G323" i="83"/>
  <c r="G322" i="83"/>
  <c r="G321" i="83"/>
  <c r="G320" i="83"/>
  <c r="G319" i="83"/>
  <c r="G318" i="83"/>
  <c r="G317" i="83"/>
  <c r="G316" i="83"/>
  <c r="G315" i="83"/>
  <c r="G314" i="83"/>
  <c r="G313" i="83"/>
  <c r="G312" i="83"/>
  <c r="G311" i="83"/>
  <c r="G310" i="83"/>
  <c r="G309" i="83"/>
  <c r="G308" i="83"/>
  <c r="G307" i="83"/>
  <c r="G306" i="83"/>
  <c r="G305" i="83"/>
  <c r="G304" i="83"/>
  <c r="G303" i="83"/>
  <c r="G302" i="83"/>
  <c r="G301" i="83"/>
  <c r="G300" i="83"/>
  <c r="G299" i="83"/>
  <c r="G298" i="83"/>
  <c r="G297" i="83"/>
  <c r="G296" i="83"/>
  <c r="G295" i="83"/>
  <c r="G294" i="83"/>
  <c r="G293" i="83"/>
  <c r="G292" i="83"/>
  <c r="G291" i="83"/>
  <c r="G290" i="83"/>
  <c r="G289" i="83"/>
  <c r="G288" i="83"/>
  <c r="G287" i="83"/>
  <c r="G286" i="83"/>
  <c r="G285" i="83"/>
  <c r="G284" i="83"/>
  <c r="G283" i="83"/>
  <c r="G282" i="83"/>
  <c r="G281" i="83"/>
  <c r="G280" i="83"/>
  <c r="G279" i="83"/>
  <c r="G278" i="83"/>
  <c r="G277" i="83"/>
  <c r="G276" i="83"/>
  <c r="G275" i="83"/>
  <c r="G274" i="83"/>
  <c r="G273" i="83"/>
  <c r="G272" i="83"/>
  <c r="G271" i="83"/>
  <c r="G270" i="83"/>
  <c r="G269" i="83"/>
  <c r="G268" i="83"/>
  <c r="G267" i="83"/>
  <c r="G266" i="83"/>
  <c r="G265" i="83"/>
  <c r="G264" i="83"/>
  <c r="G263" i="83"/>
  <c r="G262" i="83"/>
  <c r="G261" i="83"/>
  <c r="G260" i="83"/>
  <c r="G259" i="83"/>
  <c r="G258" i="83"/>
  <c r="G257" i="83"/>
  <c r="G256" i="83"/>
  <c r="G255" i="83"/>
  <c r="G254" i="83"/>
  <c r="G253" i="83"/>
  <c r="G252" i="83"/>
  <c r="G251" i="83"/>
  <c r="G250" i="83"/>
  <c r="G249" i="83"/>
  <c r="G248" i="83"/>
  <c r="G247" i="83"/>
  <c r="G246" i="83"/>
  <c r="G245" i="83"/>
  <c r="G244" i="83"/>
  <c r="G243" i="83"/>
  <c r="G242" i="83"/>
  <c r="G241" i="83"/>
  <c r="G240" i="83"/>
  <c r="G239" i="83"/>
  <c r="G238" i="83"/>
  <c r="G237" i="83"/>
  <c r="G236" i="83"/>
  <c r="G235" i="83"/>
  <c r="G234" i="83"/>
  <c r="G233" i="83"/>
  <c r="G232" i="83"/>
  <c r="G231" i="83"/>
  <c r="G230" i="83"/>
  <c r="G229" i="83"/>
  <c r="G228" i="83"/>
  <c r="G227" i="83"/>
  <c r="G226" i="83"/>
  <c r="G225" i="83"/>
  <c r="G224" i="83"/>
  <c r="G223" i="83"/>
  <c r="G222" i="83"/>
  <c r="G221" i="83"/>
  <c r="G220" i="83"/>
  <c r="G219" i="83"/>
  <c r="G218" i="83"/>
  <c r="G217" i="83"/>
  <c r="G216" i="83"/>
  <c r="G215" i="83"/>
  <c r="G214" i="83"/>
  <c r="G213" i="83"/>
  <c r="G212" i="83"/>
  <c r="G211" i="83"/>
  <c r="G210" i="83"/>
  <c r="G209" i="83"/>
  <c r="G208" i="83"/>
  <c r="G207" i="83"/>
  <c r="G206" i="83"/>
  <c r="G205" i="83"/>
  <c r="G204" i="83"/>
  <c r="G203" i="83"/>
  <c r="G202" i="83"/>
  <c r="G201" i="83"/>
  <c r="G200" i="83"/>
  <c r="G199" i="83"/>
  <c r="G198" i="83"/>
  <c r="G197" i="83"/>
  <c r="G196" i="83"/>
  <c r="G195" i="83"/>
  <c r="G194" i="83"/>
  <c r="G193" i="83"/>
  <c r="G192" i="83"/>
  <c r="G191" i="83"/>
  <c r="G190" i="83"/>
  <c r="G189" i="83"/>
  <c r="G188" i="83"/>
  <c r="G187" i="83"/>
  <c r="G186" i="83"/>
  <c r="G185" i="83"/>
  <c r="G184" i="83"/>
  <c r="G183" i="83"/>
  <c r="G182" i="83"/>
  <c r="G181" i="83"/>
  <c r="G180" i="83"/>
  <c r="G179" i="83"/>
  <c r="G178" i="83"/>
  <c r="G177" i="83"/>
  <c r="G176" i="83"/>
  <c r="G175" i="83"/>
  <c r="G174" i="83"/>
  <c r="G173" i="83"/>
  <c r="G172" i="83"/>
  <c r="G171" i="83"/>
  <c r="G170" i="83"/>
  <c r="G169" i="83"/>
  <c r="G168" i="83"/>
  <c r="G167" i="83"/>
  <c r="G166" i="83"/>
  <c r="G165" i="83"/>
  <c r="G164" i="83"/>
  <c r="G163" i="83"/>
  <c r="G162" i="83"/>
  <c r="G161" i="83"/>
  <c r="G160" i="83"/>
  <c r="G159" i="83"/>
  <c r="G158" i="83"/>
  <c r="G157" i="83"/>
  <c r="G156" i="83"/>
  <c r="G155" i="83"/>
  <c r="G154" i="83"/>
  <c r="G153" i="83"/>
  <c r="G152" i="83"/>
  <c r="G151" i="83"/>
  <c r="G150" i="83"/>
  <c r="G149" i="83"/>
  <c r="G148" i="83"/>
  <c r="G147" i="83"/>
  <c r="G146" i="83"/>
  <c r="G145" i="83"/>
  <c r="G144" i="83"/>
  <c r="G143" i="83"/>
  <c r="G142" i="83"/>
  <c r="G141" i="83"/>
  <c r="G140" i="83"/>
  <c r="G139" i="83"/>
  <c r="G138" i="83"/>
  <c r="G137" i="83"/>
  <c r="G136" i="83"/>
  <c r="G135" i="83"/>
  <c r="G134" i="83"/>
  <c r="G133" i="83"/>
  <c r="G132" i="83"/>
  <c r="G131" i="83"/>
  <c r="G130" i="83"/>
  <c r="G129" i="83"/>
  <c r="G128" i="83"/>
  <c r="G127" i="83"/>
  <c r="G126" i="83"/>
  <c r="G125" i="83"/>
  <c r="G124" i="83"/>
  <c r="G123" i="83"/>
  <c r="G122" i="83"/>
  <c r="G121" i="83"/>
  <c r="G120" i="83"/>
  <c r="G119" i="83"/>
  <c r="G118" i="83"/>
  <c r="G117" i="83"/>
  <c r="G116" i="83"/>
  <c r="G115" i="83"/>
  <c r="G114" i="83"/>
  <c r="G113" i="83"/>
  <c r="G112" i="83"/>
  <c r="G111" i="83"/>
  <c r="G110" i="83"/>
  <c r="G109" i="83"/>
  <c r="G108" i="83"/>
  <c r="G107" i="83"/>
  <c r="G106" i="83"/>
  <c r="C25" i="83"/>
  <c r="C27" i="83"/>
  <c r="E28" i="83"/>
  <c r="C29" i="83"/>
  <c r="E30" i="83"/>
  <c r="C31" i="83"/>
  <c r="E32" i="83"/>
  <c r="C33" i="83"/>
  <c r="E34" i="83"/>
  <c r="C35" i="83"/>
  <c r="E36" i="83"/>
  <c r="C37" i="83"/>
  <c r="E38" i="83"/>
  <c r="C39" i="83"/>
  <c r="E40" i="83"/>
  <c r="C41" i="83"/>
  <c r="E42" i="83"/>
  <c r="C43" i="83"/>
  <c r="E44" i="83"/>
  <c r="C45" i="83"/>
  <c r="E46" i="83"/>
  <c r="C47" i="83"/>
  <c r="E48" i="83"/>
  <c r="C49" i="83"/>
  <c r="E50" i="83"/>
  <c r="C51" i="83"/>
  <c r="E52" i="83"/>
  <c r="C53" i="83"/>
  <c r="E54" i="83"/>
  <c r="C55" i="83"/>
  <c r="E56" i="83"/>
  <c r="C57" i="83"/>
  <c r="E58" i="83"/>
  <c r="C59" i="83"/>
  <c r="E60" i="83"/>
  <c r="C61" i="83"/>
  <c r="E62" i="83"/>
  <c r="C63" i="83"/>
  <c r="E64" i="83"/>
  <c r="C65" i="83"/>
  <c r="E66" i="83"/>
  <c r="C67" i="83"/>
  <c r="E68" i="83"/>
  <c r="C69" i="83"/>
  <c r="E70" i="83"/>
  <c r="C71" i="83"/>
  <c r="E72" i="83"/>
  <c r="C73" i="83"/>
  <c r="E74" i="83"/>
  <c r="C75" i="83"/>
  <c r="E76" i="83"/>
  <c r="E25" i="83"/>
  <c r="E26" i="83"/>
  <c r="E27" i="83"/>
  <c r="C28" i="83"/>
  <c r="E29" i="83"/>
  <c r="C30" i="83"/>
  <c r="E31" i="83"/>
  <c r="C32" i="83"/>
  <c r="E33" i="83"/>
  <c r="C34" i="83"/>
  <c r="E35" i="83"/>
  <c r="C36" i="83"/>
  <c r="E37" i="83"/>
  <c r="C38" i="83"/>
  <c r="E39" i="83"/>
  <c r="C40" i="83"/>
  <c r="E41" i="83"/>
  <c r="C42" i="83"/>
  <c r="E43" i="83"/>
  <c r="C44" i="83"/>
  <c r="E45" i="83"/>
  <c r="C46" i="83"/>
  <c r="E47" i="83"/>
  <c r="C48" i="83"/>
  <c r="E49" i="83"/>
  <c r="C50" i="83"/>
  <c r="E51" i="83"/>
  <c r="C52" i="83"/>
  <c r="E53" i="83"/>
  <c r="C54" i="83"/>
  <c r="E55" i="83"/>
  <c r="C56" i="83"/>
  <c r="E57" i="83"/>
  <c r="C58" i="83"/>
  <c r="E59" i="83"/>
  <c r="C60" i="83"/>
  <c r="E61" i="83"/>
  <c r="C62" i="83"/>
  <c r="E63" i="83"/>
  <c r="C64" i="83"/>
  <c r="E65" i="83"/>
  <c r="C66" i="83"/>
  <c r="E67" i="83"/>
  <c r="C68" i="83"/>
  <c r="E69" i="83"/>
  <c r="C70" i="83"/>
  <c r="E71" i="83"/>
  <c r="C72" i="83"/>
  <c r="E73" i="83"/>
  <c r="C74" i="83"/>
  <c r="E75" i="83"/>
  <c r="C76" i="83"/>
  <c r="C77" i="83"/>
  <c r="C78" i="83"/>
  <c r="C79" i="83"/>
  <c r="C80" i="83"/>
  <c r="C81" i="83"/>
  <c r="C82" i="83"/>
  <c r="C83" i="83"/>
  <c r="C84" i="83"/>
  <c r="C85" i="83"/>
  <c r="C86" i="83"/>
  <c r="C87" i="83"/>
  <c r="C88" i="83"/>
  <c r="C89" i="83"/>
  <c r="C90" i="83"/>
  <c r="C91" i="83"/>
  <c r="C92" i="83"/>
  <c r="C93" i="83"/>
  <c r="C94" i="83"/>
  <c r="C95" i="83"/>
  <c r="C96" i="83"/>
  <c r="C97" i="83"/>
  <c r="C98" i="83"/>
  <c r="C99" i="83"/>
  <c r="C100" i="83"/>
  <c r="C101" i="83"/>
  <c r="C102" i="83"/>
  <c r="C103" i="83"/>
  <c r="C104" i="83"/>
  <c r="C105" i="83"/>
  <c r="C94" i="82"/>
  <c r="C92" i="82"/>
  <c r="C18" i="82"/>
  <c r="D18" i="82" s="1"/>
  <c r="D121" i="82"/>
  <c r="K120" i="82"/>
  <c r="H109" i="82"/>
  <c r="D24" i="81"/>
  <c r="P61" i="81"/>
  <c r="D22" i="81"/>
  <c r="G47" i="33"/>
  <c r="I47" i="33"/>
  <c r="E47" i="33"/>
  <c r="D124" i="82" l="1"/>
  <c r="D125" i="82" s="1"/>
  <c r="H110" i="82"/>
  <c r="B32" i="31" l="1"/>
  <c r="B31" i="31"/>
  <c r="T7" i="31"/>
  <c r="E4" i="31"/>
  <c r="F4" i="31" s="1"/>
  <c r="G4" i="31" s="1"/>
  <c r="H4" i="31" s="1"/>
  <c r="D4" i="31"/>
  <c r="B105" i="31"/>
  <c r="B25" i="31"/>
  <c r="B26" i="31"/>
  <c r="B27" i="31"/>
  <c r="B28" i="31"/>
  <c r="B29" i="31"/>
  <c r="B30"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4" i="31"/>
  <c r="A105"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4" i="31"/>
  <c r="U8" i="1"/>
  <c r="A120" i="80"/>
  <c r="E111" i="80"/>
  <c r="H112" i="80" s="1"/>
  <c r="E109" i="80"/>
  <c r="A124" i="80" s="1"/>
  <c r="E107" i="80"/>
  <c r="A122" i="80" s="1"/>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F48" i="80"/>
  <c r="O52" i="80" s="1"/>
  <c r="E48" i="80"/>
  <c r="N52" i="80" s="1"/>
  <c r="D48" i="80"/>
  <c r="M52" i="80" s="1"/>
  <c r="F33" i="80"/>
  <c r="D27" i="80"/>
  <c r="C25" i="80"/>
  <c r="C24" i="80"/>
  <c r="D17" i="80"/>
  <c r="C17" i="80"/>
  <c r="L4" i="80"/>
  <c r="K4" i="80"/>
  <c r="H1" i="80"/>
  <c r="Q72" i="79"/>
  <c r="Q59" i="79"/>
  <c r="K59" i="79"/>
  <c r="P61" i="79" s="1"/>
  <c r="F59" i="79"/>
  <c r="Q58" i="79"/>
  <c r="Q51" i="79"/>
  <c r="J50" i="79"/>
  <c r="M47" i="79"/>
  <c r="D46" i="79"/>
  <c r="F33" i="79"/>
  <c r="F61" i="79" s="1"/>
  <c r="F31" i="79"/>
  <c r="F23" i="79"/>
  <c r="D24" i="79" s="1"/>
  <c r="D22" i="79"/>
  <c r="F21" i="79"/>
  <c r="F20" i="79"/>
  <c r="M19" i="79"/>
  <c r="F18" i="79"/>
  <c r="M17" i="79"/>
  <c r="F17" i="79"/>
  <c r="F15" i="79"/>
  <c r="I36" i="33"/>
  <c r="E36" i="33"/>
  <c r="K23" i="33"/>
  <c r="K23" i="34" s="1"/>
  <c r="K21" i="33"/>
  <c r="K21" i="34" s="1"/>
  <c r="K19" i="33"/>
  <c r="K19" i="34" s="1"/>
  <c r="K17" i="33"/>
  <c r="K17" i="34" s="1"/>
  <c r="C36" i="33"/>
  <c r="K15" i="3"/>
  <c r="C33" i="33" s="1"/>
  <c r="I13" i="3"/>
  <c r="C34" i="34" s="1"/>
  <c r="D89" i="33"/>
  <c r="E89" i="33" s="1"/>
  <c r="F89" i="33" s="1"/>
  <c r="G89" i="33" s="1"/>
  <c r="I29" i="35"/>
  <c r="G29" i="35"/>
  <c r="E29" i="35"/>
  <c r="C29" i="35"/>
  <c r="M4" i="78"/>
  <c r="M5" i="78"/>
  <c r="M6" i="78"/>
  <c r="M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 i="78"/>
  <c r="F1" i="78"/>
  <c r="G1" i="78"/>
  <c r="D35" i="80"/>
  <c r="D34" i="80"/>
  <c r="I14" i="3" l="1"/>
  <c r="K16" i="3"/>
  <c r="D23" i="79"/>
  <c r="P74" i="79"/>
  <c r="H103" i="80"/>
  <c r="D120" i="80" s="1"/>
  <c r="H111" i="80"/>
  <c r="D126" i="80" s="1"/>
  <c r="D127" i="80" s="1"/>
  <c r="A126" i="80"/>
  <c r="C18" i="80"/>
  <c r="D18" i="80" s="1"/>
  <c r="C92" i="80"/>
  <c r="C94" i="80"/>
  <c r="K120" i="80"/>
  <c r="D121" i="80"/>
  <c r="H109" i="80"/>
  <c r="D124" i="80" l="1"/>
  <c r="D125" i="80" s="1"/>
  <c r="H110" i="80"/>
  <c r="Y9" i="1"/>
  <c r="Y6" i="1"/>
  <c r="N9" i="1"/>
  <c r="N10" i="1"/>
  <c r="Y10" i="1" s="1"/>
  <c r="N8" i="1"/>
  <c r="Y8" i="1" s="1"/>
  <c r="N7" i="1"/>
  <c r="Y7" i="1" s="1"/>
  <c r="N6" i="1"/>
  <c r="G22" i="6"/>
  <c r="G23" i="6"/>
  <c r="F19" i="6"/>
  <c r="C23" i="6"/>
  <c r="C22" i="6"/>
  <c r="C21" i="6"/>
  <c r="C20" i="6"/>
  <c r="C19" i="6"/>
  <c r="G21" i="6"/>
  <c r="F20" i="6"/>
  <c r="B7" i="4"/>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F7" i="71" s="1"/>
  <c r="M19" i="43"/>
  <c r="D10" i="71"/>
  <c r="AH8" i="71"/>
  <c r="AG8" i="71"/>
  <c r="AE8" i="71"/>
  <c r="AF8" i="71"/>
  <c r="AD8" i="71"/>
  <c r="AD9" i="71"/>
  <c r="AG9" i="71"/>
  <c r="AH9" i="71"/>
  <c r="AE9" i="71"/>
  <c r="AF9" i="71"/>
  <c r="N9" i="71"/>
  <c r="Q9" i="71"/>
  <c r="P9" i="71"/>
  <c r="O9" i="71"/>
  <c r="C9" i="71"/>
  <c r="C8" i="71" s="1"/>
  <c r="Q10" i="71"/>
  <c r="F9" i="71"/>
  <c r="P10" i="71"/>
  <c r="E9" i="71"/>
  <c r="E8" i="71" s="1"/>
  <c r="E7" i="71" s="1"/>
  <c r="O10" i="71"/>
  <c r="N10" i="71"/>
  <c r="B9" i="71"/>
  <c r="B8" i="71" s="1"/>
  <c r="B7" i="71" s="1"/>
  <c r="B6" i="71" s="1"/>
  <c r="B5" i="71" s="1"/>
  <c r="V9" i="71"/>
  <c r="A2" i="53"/>
  <c r="K59" i="67"/>
  <c r="P61" i="67"/>
  <c r="K59" i="15"/>
  <c r="P74" i="15"/>
  <c r="P61" i="15"/>
  <c r="P74" i="67"/>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C76" i="9"/>
  <c r="I107" i="40"/>
  <c r="K6" i="4"/>
  <c r="K56" i="9" s="1"/>
  <c r="B22" i="31"/>
  <c r="N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60" i="72"/>
  <c r="B59" i="72"/>
  <c r="B67" i="72"/>
  <c r="B66" i="72"/>
  <c r="B12" i="72"/>
  <c r="B10" i="72"/>
  <c r="C53" i="10"/>
  <c r="B51" i="10"/>
  <c r="B19" i="72"/>
  <c r="A18" i="51"/>
  <c r="B13" i="72" s="1"/>
  <c r="C8" i="68"/>
  <c r="B49" i="48"/>
  <c r="B5" i="72" s="1"/>
  <c r="I19" i="43"/>
  <c r="D74" i="71"/>
  <c r="F73" i="71"/>
  <c r="F72" i="71" s="1"/>
  <c r="E73" i="71"/>
  <c r="E72" i="71"/>
  <c r="E71" i="71" s="1"/>
  <c r="C73" i="71"/>
  <c r="D73" i="71" s="1"/>
  <c r="B73" i="71"/>
  <c r="B72" i="71" s="1"/>
  <c r="F71" i="71"/>
  <c r="B71" i="71"/>
  <c r="D70" i="71"/>
  <c r="F69" i="71"/>
  <c r="F68" i="71" s="1"/>
  <c r="E69" i="71"/>
  <c r="E68" i="7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c r="F41" i="71" s="1"/>
  <c r="V41" i="71" s="1"/>
  <c r="P38" i="71"/>
  <c r="E39" i="71"/>
  <c r="O38" i="71"/>
  <c r="C39" i="71" s="1"/>
  <c r="N38" i="71"/>
  <c r="B39" i="71" s="1"/>
  <c r="B40" i="7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AA22" i="71" s="1"/>
  <c r="O23" i="71"/>
  <c r="Y23" i="71"/>
  <c r="Z23" i="71" s="1"/>
  <c r="N23" i="71"/>
  <c r="Q22" i="71"/>
  <c r="F23" i="71" s="1"/>
  <c r="F24" i="71" s="1"/>
  <c r="F25" i="71" s="1"/>
  <c r="V25" i="71" s="1"/>
  <c r="P22" i="71"/>
  <c r="O22" i="71"/>
  <c r="N22" i="71"/>
  <c r="D22" i="71"/>
  <c r="Q21" i="71"/>
  <c r="AB21" i="71" s="1"/>
  <c r="P21" i="71"/>
  <c r="O21" i="71"/>
  <c r="Y21" i="71"/>
  <c r="Z21" i="71" s="1"/>
  <c r="N21" i="71"/>
  <c r="Q20" i="71"/>
  <c r="AB20" i="71" s="1"/>
  <c r="P20" i="71"/>
  <c r="AA18" i="71" s="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AA15" i="71" s="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X10"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C19" i="71"/>
  <c r="C20" i="71" s="1"/>
  <c r="Y18" i="71"/>
  <c r="Z18" i="71" s="1"/>
  <c r="AB18" i="71"/>
  <c r="AA19" i="71"/>
  <c r="X20" i="71"/>
  <c r="AA20" i="71"/>
  <c r="X21" i="71"/>
  <c r="AA21" i="71"/>
  <c r="C23" i="71"/>
  <c r="Y22" i="71"/>
  <c r="Z22" i="71" s="1"/>
  <c r="AB22" i="71"/>
  <c r="X23" i="71"/>
  <c r="AA23" i="71"/>
  <c r="F36" i="71"/>
  <c r="F37" i="71"/>
  <c r="V37" i="71" s="1"/>
  <c r="C13" i="71"/>
  <c r="T13" i="71" s="1"/>
  <c r="Y10" i="71"/>
  <c r="Z10" i="71" s="1"/>
  <c r="Y11" i="71"/>
  <c r="Z11" i="71" s="1"/>
  <c r="Y12" i="71"/>
  <c r="Z12" i="71" s="1"/>
  <c r="Y13" i="71"/>
  <c r="Z13" i="71" s="1"/>
  <c r="B13" i="71"/>
  <c r="B12" i="71" s="1"/>
  <c r="B11" i="71" s="1"/>
  <c r="X11" i="71"/>
  <c r="X12" i="71"/>
  <c r="X13" i="71"/>
  <c r="D15" i="71"/>
  <c r="C24" i="71"/>
  <c r="C25" i="71" s="1"/>
  <c r="D23" i="71"/>
  <c r="C28" i="71"/>
  <c r="C29" i="71" s="1"/>
  <c r="D27"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8" i="71"/>
  <c r="D24" i="71"/>
  <c r="V13" i="71"/>
  <c r="P51" i="71"/>
  <c r="O51" i="71"/>
  <c r="D51" i="71"/>
  <c r="O50"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s="1"/>
  <c r="D81" i="21"/>
  <c r="G20" i="20"/>
  <c r="B86" i="43"/>
  <c r="C22" i="20"/>
  <c r="B75" i="43" s="1"/>
  <c r="B55" i="43"/>
  <c r="C25" i="40"/>
  <c r="S25" i="40"/>
  <c r="S29" i="39"/>
  <c r="S18" i="36"/>
  <c r="U18" i="36"/>
  <c r="F94" i="40"/>
  <c r="H25" i="40"/>
  <c r="G94" i="40"/>
  <c r="J25" i="40"/>
  <c r="H29" i="39"/>
  <c r="U29" i="39" s="1"/>
  <c r="J29" i="39"/>
  <c r="W29" i="39" s="1"/>
  <c r="J18" i="36"/>
  <c r="W18" i="36" s="1"/>
  <c r="H18" i="35"/>
  <c r="U18" i="35" s="1"/>
  <c r="J18" i="35"/>
  <c r="W18" i="35" s="1"/>
  <c r="H21" i="37"/>
  <c r="U21" i="37" s="1"/>
  <c r="F21" i="37"/>
  <c r="H21" i="34"/>
  <c r="U21" i="34" s="1"/>
  <c r="H21" i="33"/>
  <c r="U21" i="33" s="1"/>
  <c r="F21" i="33"/>
  <c r="S21" i="33" s="1"/>
  <c r="E83" i="21"/>
  <c r="S21" i="21"/>
  <c r="H1" i="69"/>
  <c r="AC25" i="40"/>
  <c r="W25" i="40"/>
  <c r="AB25" i="40"/>
  <c r="U25" i="40"/>
  <c r="AB29" i="39"/>
  <c r="AC29" i="39"/>
  <c r="AC18" i="36"/>
  <c r="AB21" i="37"/>
  <c r="AA21" i="37"/>
  <c r="S21" i="37"/>
  <c r="AB21" i="34"/>
  <c r="AB21" i="33"/>
  <c r="AA21" i="33"/>
  <c r="AB18" i="35"/>
  <c r="J21" i="37"/>
  <c r="J21" i="34"/>
  <c r="W21" i="34" s="1"/>
  <c r="J21" i="33"/>
  <c r="AC21" i="33" s="1"/>
  <c r="F83" i="21"/>
  <c r="G83" i="21" s="1"/>
  <c r="H21" i="21"/>
  <c r="F38" i="69"/>
  <c r="E37" i="69"/>
  <c r="F36" i="69"/>
  <c r="F35" i="69"/>
  <c r="F21" i="69"/>
  <c r="C21" i="69" s="1"/>
  <c r="F20" i="69"/>
  <c r="E10" i="69"/>
  <c r="E9" i="69"/>
  <c r="F7" i="69"/>
  <c r="C7" i="69" s="1"/>
  <c r="AC21" i="37"/>
  <c r="W21" i="37"/>
  <c r="AC21" i="34"/>
  <c r="AB21" i="21"/>
  <c r="U21" i="21"/>
  <c r="J21" i="21"/>
  <c r="AC21" i="21" s="1"/>
  <c r="F38" i="68"/>
  <c r="E37" i="68"/>
  <c r="F36" i="68"/>
  <c r="F35" i="68"/>
  <c r="F21" i="68"/>
  <c r="C21" i="68" s="1"/>
  <c r="F20" i="68"/>
  <c r="E10" i="68"/>
  <c r="E9" i="68"/>
  <c r="F7" i="68"/>
  <c r="C7" i="68" s="1"/>
  <c r="C5" i="68" s="1"/>
  <c r="W21" i="21"/>
  <c r="C40" i="68"/>
  <c r="Q72" i="67"/>
  <c r="Q59" i="67"/>
  <c r="Q58" i="67"/>
  <c r="Q51" i="67"/>
  <c r="J50" i="67"/>
  <c r="M47" i="67"/>
  <c r="J53" i="67" s="1"/>
  <c r="D46" i="67"/>
  <c r="F33" i="67"/>
  <c r="F61" i="67" s="1"/>
  <c r="F23" i="67"/>
  <c r="D24" i="67" s="1"/>
  <c r="F21" i="67"/>
  <c r="F20" i="67"/>
  <c r="M19" i="67"/>
  <c r="F18" i="67"/>
  <c r="F17" i="67"/>
  <c r="F15"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F10"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M18" i="82" s="1"/>
  <c r="B118" i="82" s="1"/>
  <c r="E20" i="6"/>
  <c r="E21" i="6"/>
  <c r="F23" i="15"/>
  <c r="D24" i="15" s="1"/>
  <c r="M13" i="1"/>
  <c r="O13" i="1" s="1"/>
  <c r="P13" i="1" s="1"/>
  <c r="E22" i="6"/>
  <c r="K9" i="1" s="1"/>
  <c r="M9"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2" i="31"/>
  <c r="S410" i="31"/>
  <c r="S408" i="31"/>
  <c r="S406" i="31"/>
  <c r="S404" i="31"/>
  <c r="S402" i="31"/>
  <c r="S400"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U31" i="35" s="1"/>
  <c r="F31" i="35"/>
  <c r="D87" i="35"/>
  <c r="E87" i="35" s="1"/>
  <c r="F87" i="35" s="1"/>
  <c r="G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F40" i="33"/>
  <c r="J41" i="33"/>
  <c r="D113" i="33"/>
  <c r="F37" i="33" s="1"/>
  <c r="D111" i="33"/>
  <c r="E111" i="33" s="1"/>
  <c r="F111" i="33" s="1"/>
  <c r="G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J13" i="33" s="1"/>
  <c r="B70" i="33"/>
  <c r="J12" i="33"/>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D66" i="35"/>
  <c r="E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D86" i="34"/>
  <c r="E86" i="34" s="1"/>
  <c r="D82" i="34"/>
  <c r="E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s="1"/>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J39" i="33"/>
  <c r="AC39" i="33" s="1"/>
  <c r="Q38" i="33"/>
  <c r="Z38" i="33" s="1"/>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W34" i="35"/>
  <c r="W22" i="35"/>
  <c r="S31" i="35"/>
  <c r="U34" i="35"/>
  <c r="F36" i="34"/>
  <c r="J35" i="34"/>
  <c r="S34" i="34"/>
  <c r="U34" i="34"/>
  <c r="H39" i="33"/>
  <c r="AB39" i="33" s="1"/>
  <c r="U33" i="33"/>
  <c r="S40" i="33"/>
  <c r="W33"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U34" i="21"/>
  <c r="S34" i="21"/>
  <c r="C25"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6"/>
  <c r="S44" i="39"/>
  <c r="F37" i="39"/>
  <c r="AA37" i="39"/>
  <c r="J34" i="36"/>
  <c r="W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28" i="34"/>
  <c r="AA28" i="34"/>
  <c r="F27" i="34"/>
  <c r="AA27" i="34"/>
  <c r="H17" i="34"/>
  <c r="U17" i="34" s="1"/>
  <c r="W8" i="34"/>
  <c r="J28" i="34"/>
  <c r="W28" i="34"/>
  <c r="F41" i="33"/>
  <c r="AA41" i="33"/>
  <c r="E113" i="33"/>
  <c r="F32" i="33"/>
  <c r="AA32"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33" i="37"/>
  <c r="AB33" i="37" s="1"/>
  <c r="F33" i="37"/>
  <c r="AA33" i="37" s="1"/>
  <c r="U34" i="37"/>
  <c r="W33" i="37"/>
  <c r="S34" i="37"/>
  <c r="AA34" i="37"/>
  <c r="AB42" i="34"/>
  <c r="J40" i="34"/>
  <c r="F114" i="34"/>
  <c r="G114" i="34" s="1"/>
  <c r="H114" i="34" s="1"/>
  <c r="I114" i="34" s="1"/>
  <c r="J114" i="34" s="1"/>
  <c r="K114" i="34" s="1"/>
  <c r="L114" i="34" s="1"/>
  <c r="M114" i="34" s="1"/>
  <c r="H38" i="34"/>
  <c r="AB38" i="34" s="1"/>
  <c r="J36" i="34"/>
  <c r="W36" i="34" s="1"/>
  <c r="F23" i="34"/>
  <c r="AA23" i="34" s="1"/>
  <c r="F17" i="34"/>
  <c r="AA17" i="34" s="1"/>
  <c r="J17" i="34"/>
  <c r="W17" i="34" s="1"/>
  <c r="AB17" i="34"/>
  <c r="S41" i="33"/>
  <c r="F113" i="33"/>
  <c r="G113" i="33" s="1"/>
  <c r="H113" i="33" s="1"/>
  <c r="I113" i="33" s="1"/>
  <c r="J113" i="33" s="1"/>
  <c r="K113" i="33" s="1"/>
  <c r="L113" i="33" s="1"/>
  <c r="M113" i="33" s="1"/>
  <c r="H37" i="33"/>
  <c r="AB37" i="33" s="1"/>
  <c r="H11" i="33"/>
  <c r="AB11" i="33" s="1"/>
  <c r="F28" i="40"/>
  <c r="AA28" i="40"/>
  <c r="AA42" i="34"/>
  <c r="S42" i="34"/>
  <c r="AC38" i="34"/>
  <c r="J11" i="33"/>
  <c r="W11" i="33" s="1"/>
  <c r="S28" i="34"/>
  <c r="U23" i="40"/>
  <c r="G123" i="21"/>
  <c r="H123" i="21"/>
  <c r="I123" i="21" s="1"/>
  <c r="J123" i="21" s="1"/>
  <c r="K123" i="21" s="1"/>
  <c r="L123" i="21" s="1"/>
  <c r="M123" i="21" s="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H13" i="33"/>
  <c r="AB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W14" i="33" s="1"/>
  <c r="H30" i="33"/>
  <c r="AB30" i="33" s="1"/>
  <c r="F30" i="33"/>
  <c r="J30" i="33"/>
  <c r="H44" i="33"/>
  <c r="J44" i="33"/>
  <c r="AC44" i="33"/>
  <c r="F44" i="33"/>
  <c r="S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30" i="21"/>
  <c r="W31" i="34"/>
  <c r="AC13" i="36"/>
  <c r="W13" i="36"/>
  <c r="S11" i="36"/>
  <c r="W11" i="36"/>
  <c r="W11" i="35"/>
  <c r="AB46" i="34"/>
  <c r="AC30" i="34"/>
  <c r="AA14" i="34"/>
  <c r="S45" i="33"/>
  <c r="AB45" i="33"/>
  <c r="U31" i="33"/>
  <c r="U13" i="33"/>
  <c r="AC28" i="21"/>
  <c r="S44" i="34"/>
  <c r="BA586" i="3"/>
  <c r="BA585" i="3"/>
  <c r="AZ585" i="3" s="1"/>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J43" i="33"/>
  <c r="AC43" i="33" s="1"/>
  <c r="U14" i="40"/>
  <c r="AC32" i="36"/>
  <c r="AC33" i="36"/>
  <c r="U35" i="35"/>
  <c r="AA12" i="35"/>
  <c r="W23" i="35"/>
  <c r="W14" i="37"/>
  <c r="AB28" i="37"/>
  <c r="U33" i="37"/>
  <c r="U39" i="37"/>
  <c r="W26" i="37"/>
  <c r="AC8" i="37"/>
  <c r="U26" i="37"/>
  <c r="W47" i="34"/>
  <c r="AB13" i="34"/>
  <c r="AC31" i="33"/>
  <c r="AC45" i="33"/>
  <c r="W44" i="33"/>
  <c r="U11" i="33"/>
  <c r="U19" i="21"/>
  <c r="W44" i="21"/>
  <c r="U26" i="21"/>
  <c r="AC46" i="21"/>
  <c r="U12" i="21"/>
  <c r="AB38" i="21"/>
  <c r="F43" i="33"/>
  <c r="AA43" i="33" s="1"/>
  <c r="W40" i="37"/>
  <c r="G107" i="37"/>
  <c r="H107" i="37" s="1"/>
  <c r="I107" i="37" s="1"/>
  <c r="J107" i="37" s="1"/>
  <c r="K107" i="37" s="1"/>
  <c r="L107" i="37" s="1"/>
  <c r="M107" i="37" s="1"/>
  <c r="H37" i="21"/>
  <c r="U37" i="21"/>
  <c r="S42" i="2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G17" i="3"/>
  <c r="BA17" i="3"/>
  <c r="BT5" i="3"/>
  <c r="AZ350" i="3"/>
  <c r="AZ356" i="3"/>
  <c r="AZ364" i="3"/>
  <c r="AZ368" i="3"/>
  <c r="BA15" i="3"/>
  <c r="BR5" i="3"/>
  <c r="G28" i="6"/>
  <c r="AZ384"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U17" i="39"/>
  <c r="U43" i="21"/>
  <c r="U35" i="21"/>
  <c r="AC35" i="21"/>
  <c r="U10" i="21"/>
  <c r="G10" i="1"/>
  <c r="F48" i="9"/>
  <c r="O52" i="9" s="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H35" i="37"/>
  <c r="U35" i="37" s="1"/>
  <c r="H20" i="35"/>
  <c r="U20" i="35" s="1"/>
  <c r="AB23" i="35"/>
  <c r="AB29" i="36"/>
  <c r="U29" i="36"/>
  <c r="H32" i="37"/>
  <c r="AB32" i="37" s="1"/>
  <c r="F96" i="37"/>
  <c r="H27" i="40"/>
  <c r="U27" i="40"/>
  <c r="J27" i="40"/>
  <c r="AC27" i="40"/>
  <c r="F27" i="40"/>
  <c r="S27" i="40"/>
  <c r="J30" i="40"/>
  <c r="AC30" i="40"/>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c r="D48" i="9"/>
  <c r="M52" i="9"/>
  <c r="H86" i="43"/>
  <c r="H82" i="43"/>
  <c r="H87" i="43"/>
  <c r="AE9" i="1"/>
  <c r="D93" i="9"/>
  <c r="K6" i="1"/>
  <c r="G29" i="6"/>
  <c r="E29" i="6" s="1"/>
  <c r="W26" i="33"/>
  <c r="W27" i="34"/>
  <c r="AC27" i="34"/>
  <c r="AB34" i="36"/>
  <c r="U34" i="36"/>
  <c r="AB33" i="36"/>
  <c r="U33" i="36"/>
  <c r="AC12" i="39"/>
  <c r="W12" i="39"/>
  <c r="AC39" i="40"/>
  <c r="W39" i="40"/>
  <c r="AZ401" i="3"/>
  <c r="AZ412" i="3"/>
  <c r="AZ417" i="3"/>
  <c r="AZ428" i="3"/>
  <c r="AZ433" i="3"/>
  <c r="AZ465" i="3"/>
  <c r="AZ586" i="3"/>
  <c r="W12" i="33"/>
  <c r="AA32" i="36"/>
  <c r="S32" i="36"/>
  <c r="AZ551" i="3"/>
  <c r="AZ550" i="3"/>
  <c r="AZ408" i="3"/>
  <c r="AZ437" i="3"/>
  <c r="AZ441" i="3"/>
  <c r="AZ457" i="3"/>
  <c r="AZ473" i="3"/>
  <c r="AZ490" i="3"/>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s="1"/>
  <c r="AZ80" i="3"/>
  <c r="AZ84" i="3"/>
  <c r="AZ88" i="3"/>
  <c r="AZ107" i="3"/>
  <c r="AZ111" i="3"/>
  <c r="K12" i="1"/>
  <c r="M12" i="1" s="1"/>
  <c r="O12" i="1" s="1"/>
  <c r="P12" i="1" s="1"/>
  <c r="S13" i="1"/>
  <c r="T13" i="1" s="1"/>
  <c r="R13" i="1"/>
  <c r="S11" i="1"/>
  <c r="R11" i="1"/>
  <c r="J51" i="67"/>
  <c r="C42" i="1"/>
  <c r="H100" i="43"/>
  <c r="C30" i="66"/>
  <c r="E26" i="66" s="1"/>
  <c r="AC34" i="33"/>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AA36" i="35"/>
  <c r="S28" i="35"/>
  <c r="U22" i="35"/>
  <c r="AC20" i="35"/>
  <c r="S22" i="35"/>
  <c r="AC10" i="35"/>
  <c r="AB10" i="35"/>
  <c r="AA11" i="35"/>
  <c r="S8" i="35"/>
  <c r="AC9" i="35"/>
  <c r="W9" i="35"/>
  <c r="AC12" i="35"/>
  <c r="W13" i="35"/>
  <c r="F9" i="35"/>
  <c r="S9" i="35" s="1"/>
  <c r="H9" i="35"/>
  <c r="AB9"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U44" i="34"/>
  <c r="AC39" i="34"/>
  <c r="W41" i="34"/>
  <c r="AC42" i="34"/>
  <c r="AB35" i="34"/>
  <c r="U39" i="34"/>
  <c r="AB41" i="34"/>
  <c r="AA45" i="34"/>
  <c r="U28" i="34"/>
  <c r="S17" i="34"/>
  <c r="AA29" i="34"/>
  <c r="U27" i="34"/>
  <c r="S23" i="34"/>
  <c r="S10" i="34"/>
  <c r="S13" i="34"/>
  <c r="H10" i="34"/>
  <c r="AB10" i="34" s="1"/>
  <c r="F11" i="34"/>
  <c r="S11" i="34"/>
  <c r="AA35" i="33"/>
  <c r="S32" i="33"/>
  <c r="AA29" i="33"/>
  <c r="AB29" i="33"/>
  <c r="W38" i="33"/>
  <c r="H41" i="33"/>
  <c r="F121" i="33"/>
  <c r="G121" i="33"/>
  <c r="H121" i="33" s="1"/>
  <c r="I121" i="33" s="1"/>
  <c r="J121" i="33" s="1"/>
  <c r="K121" i="33" s="1"/>
  <c r="L121" i="33" s="1"/>
  <c r="M121" i="33" s="1"/>
  <c r="J35" i="33"/>
  <c r="W35" i="33" s="1"/>
  <c r="S37" i="33"/>
  <c r="AA37" i="33"/>
  <c r="S39" i="33"/>
  <c r="J32" i="33"/>
  <c r="AC32" i="33" s="1"/>
  <c r="S46" i="33"/>
  <c r="W43" i="33"/>
  <c r="S43" i="33"/>
  <c r="H23" i="33"/>
  <c r="U23"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s="1"/>
  <c r="E85" i="21"/>
  <c r="AC11" i="21"/>
  <c r="AA14" i="21"/>
  <c r="AB8" i="21"/>
  <c r="S8" i="21"/>
  <c r="M3" i="43"/>
  <c r="N10" i="43"/>
  <c r="M1" i="43"/>
  <c r="M8" i="43"/>
  <c r="N8" i="43"/>
  <c r="N9" i="43"/>
  <c r="D120" i="9"/>
  <c r="C18" i="9"/>
  <c r="D18" i="9" s="1"/>
  <c r="F34" i="67"/>
  <c r="F62" i="67"/>
  <c r="M20" i="67"/>
  <c r="F34" i="15"/>
  <c r="F62" i="15" s="1"/>
  <c r="G13" i="3"/>
  <c r="BA13" i="3"/>
  <c r="BL17" i="3"/>
  <c r="AZ17" i="3" s="1"/>
  <c r="BL13" i="3"/>
  <c r="G30" i="6"/>
  <c r="J56" i="9"/>
  <c r="J57" i="9" s="1"/>
  <c r="J59" i="9" s="1"/>
  <c r="J61" i="9" s="1"/>
  <c r="A24" i="51"/>
  <c r="B18" i="72" s="1"/>
  <c r="U29" i="34"/>
  <c r="E5" i="6"/>
  <c r="E32" i="6"/>
  <c r="L19" i="6"/>
  <c r="G1" i="68"/>
  <c r="K1" i="12"/>
  <c r="F30" i="6"/>
  <c r="E28" i="6"/>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M47" i="9"/>
  <c r="G19" i="43"/>
  <c r="O19" i="43" s="1"/>
  <c r="T35" i="4"/>
  <c r="A19" i="51"/>
  <c r="B14" i="72" s="1"/>
  <c r="C46" i="36"/>
  <c r="D46" i="36" s="1"/>
  <c r="C59" i="34"/>
  <c r="D59" i="34" s="1"/>
  <c r="E59" i="34" s="1"/>
  <c r="C52" i="37"/>
  <c r="D52" i="37" s="1"/>
  <c r="E52" i="37" s="1"/>
  <c r="A4" i="51"/>
  <c r="B6" i="72" s="1"/>
  <c r="C4" i="12"/>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AB36" i="34"/>
  <c r="W33"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AA11" i="34"/>
  <c r="AC35" i="34"/>
  <c r="W35" i="34"/>
  <c r="U12" i="34"/>
  <c r="AB12" i="34"/>
  <c r="AB28" i="33"/>
  <c r="W46" i="33"/>
  <c r="U39" i="33"/>
  <c r="S33" i="33"/>
  <c r="AB34" i="33"/>
  <c r="U44" i="33"/>
  <c r="AB44" i="33"/>
  <c r="S30" i="33"/>
  <c r="AA30" i="33"/>
  <c r="AC14" i="33"/>
  <c r="AC30" i="33"/>
  <c r="W30" i="33"/>
  <c r="S31" i="33"/>
  <c r="AA31"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52" i="43"/>
  <c r="B56" i="43"/>
  <c r="B60" i="43"/>
  <c r="B63" i="43"/>
  <c r="B67" i="43"/>
  <c r="D23" i="15"/>
  <c r="D22" i="15"/>
  <c r="AZ13" i="3"/>
  <c r="C77" i="9"/>
  <c r="E7" i="70"/>
  <c r="C24" i="12"/>
  <c r="AA39" i="40"/>
  <c r="S39" i="40"/>
  <c r="S12" i="33"/>
  <c r="AA12" i="33"/>
  <c r="J32" i="39"/>
  <c r="H32" i="39"/>
  <c r="AB32" i="39" s="1"/>
  <c r="AA32" i="39"/>
  <c r="S32" i="39"/>
  <c r="AB21" i="39"/>
  <c r="U21" i="39"/>
  <c r="AA21" i="39"/>
  <c r="S21" i="39"/>
  <c r="AC21" i="39"/>
  <c r="W21" i="39"/>
  <c r="U9" i="35"/>
  <c r="AA9" i="35"/>
  <c r="AC17" i="37"/>
  <c r="S17" i="37"/>
  <c r="J19" i="37"/>
  <c r="G75" i="37"/>
  <c r="S19" i="37"/>
  <c r="AA19" i="37"/>
  <c r="AA23" i="37"/>
  <c r="J23" i="37"/>
  <c r="AC23" i="37" s="1"/>
  <c r="G79" i="37"/>
  <c r="J10" i="37"/>
  <c r="W10" i="37" s="1"/>
  <c r="I60" i="37"/>
  <c r="G63" i="37"/>
  <c r="H11" i="37"/>
  <c r="AB10" i="37"/>
  <c r="U10" i="37"/>
  <c r="H11" i="34"/>
  <c r="U11" i="34" s="1"/>
  <c r="J10" i="34"/>
  <c r="AC10" i="34" s="1"/>
  <c r="AB41" i="33"/>
  <c r="U41" i="33"/>
  <c r="F23" i="33"/>
  <c r="S23" i="33" s="1"/>
  <c r="H17" i="33"/>
  <c r="U17" i="33" s="1"/>
  <c r="W17" i="33"/>
  <c r="AB10" i="33"/>
  <c r="AC37" i="21"/>
  <c r="U33" i="21"/>
  <c r="S37" i="21"/>
  <c r="AA23" i="21"/>
  <c r="AB15" i="21"/>
  <c r="J23" i="21"/>
  <c r="F85" i="21"/>
  <c r="G85" i="21" s="1"/>
  <c r="H23" i="21"/>
  <c r="AB23" i="21" s="1"/>
  <c r="D6" i="52"/>
  <c r="D121" i="9"/>
  <c r="D7" i="52"/>
  <c r="K120" i="9"/>
  <c r="K14" i="1"/>
  <c r="M14" i="1" s="1"/>
  <c r="O14" i="1" s="1"/>
  <c r="P14" i="1" s="1"/>
  <c r="C65" i="40"/>
  <c r="D63" i="40"/>
  <c r="D65" i="40" s="1"/>
  <c r="AP7" i="1"/>
  <c r="AB45" i="21"/>
  <c r="W33" i="21"/>
  <c r="S33" i="21"/>
  <c r="AA33" i="21"/>
  <c r="AC32" i="21"/>
  <c r="U9" i="21"/>
  <c r="AA32" i="21"/>
  <c r="S32" i="21"/>
  <c r="W9" i="21"/>
  <c r="AC9" i="21"/>
  <c r="AB32" i="21"/>
  <c r="U32" i="21"/>
  <c r="S10" i="21"/>
  <c r="A18" i="62"/>
  <c r="B64" i="72" s="1"/>
  <c r="U32" i="39"/>
  <c r="AC32" i="39"/>
  <c r="W32" i="39"/>
  <c r="W19" i="37"/>
  <c r="AC19" i="37"/>
  <c r="W23" i="37"/>
  <c r="AB11" i="37"/>
  <c r="U11" i="37"/>
  <c r="H63" i="37"/>
  <c r="I63" i="37" s="1"/>
  <c r="J63" i="37" s="1"/>
  <c r="K63" i="37" s="1"/>
  <c r="L63" i="37" s="1"/>
  <c r="M63" i="37" s="1"/>
  <c r="J11" i="37"/>
  <c r="W11" i="37" s="1"/>
  <c r="AC10" i="37"/>
  <c r="J11" i="34"/>
  <c r="W11" i="34" s="1"/>
  <c r="U23" i="21"/>
  <c r="AC23" i="21"/>
  <c r="W23" i="21"/>
  <c r="E63" i="40"/>
  <c r="F63" i="40" s="1"/>
  <c r="F1" i="67"/>
  <c r="Q52" i="67"/>
  <c r="AC11" i="37"/>
  <c r="AC11" i="34"/>
  <c r="C13" i="12"/>
  <c r="F34" i="11"/>
  <c r="F11" i="12"/>
  <c r="F34" i="68"/>
  <c r="E65" i="40"/>
  <c r="AE7" i="1"/>
  <c r="AG6" i="1"/>
  <c r="H109" i="9"/>
  <c r="D124" i="9" s="1"/>
  <c r="H110" i="9"/>
  <c r="D18" i="53" s="1"/>
  <c r="B35" i="72" s="1"/>
  <c r="D16" i="53"/>
  <c r="B34" i="72" s="1"/>
  <c r="J7" i="33"/>
  <c r="F7" i="33"/>
  <c r="S7" i="33" s="1"/>
  <c r="H7" i="33"/>
  <c r="AB7" i="33" s="1"/>
  <c r="H112" i="9"/>
  <c r="D21" i="53" s="1"/>
  <c r="B39" i="72" s="1"/>
  <c r="H111" i="9"/>
  <c r="D126" i="9" s="1"/>
  <c r="I14" i="74" s="1"/>
  <c r="B8" i="74" s="1"/>
  <c r="D19" i="53"/>
  <c r="B38" i="72" s="1"/>
  <c r="D59" i="9"/>
  <c r="M55" i="9"/>
  <c r="D20" i="53"/>
  <c r="B40" i="72" s="1"/>
  <c r="AD3" i="71"/>
  <c r="D3" i="73"/>
  <c r="F4" i="73"/>
  <c r="AO13" i="1"/>
  <c r="D2" i="34"/>
  <c r="B12" i="76"/>
  <c r="AO12" i="1"/>
  <c r="F3" i="73"/>
  <c r="F36" i="67"/>
  <c r="M24" i="15"/>
  <c r="M6" i="15"/>
  <c r="M26" i="67"/>
  <c r="AO9" i="1"/>
  <c r="E12" i="76"/>
  <c r="M8" i="67"/>
  <c r="F35" i="67"/>
  <c r="F26" i="67"/>
  <c r="J15" i="15"/>
  <c r="F43" i="67"/>
  <c r="M23" i="15"/>
  <c r="E13" i="76"/>
  <c r="E10" i="76"/>
  <c r="E9" i="76"/>
  <c r="D2" i="35"/>
  <c r="B9" i="76"/>
  <c r="M27" i="15"/>
  <c r="F16" i="15"/>
  <c r="M26" i="15"/>
  <c r="B7" i="76"/>
  <c r="D35" i="9"/>
  <c r="B13" i="76"/>
  <c r="D2" i="21"/>
  <c r="F37" i="15"/>
  <c r="D2" i="37"/>
  <c r="M24" i="67"/>
  <c r="F41" i="67"/>
  <c r="F6" i="67"/>
  <c r="F13" i="67"/>
  <c r="D34" i="9"/>
  <c r="D2" i="33"/>
  <c r="E2" i="68"/>
  <c r="D6" i="73"/>
  <c r="B8" i="76"/>
  <c r="E8" i="76"/>
  <c r="F6" i="73"/>
  <c r="M22" i="15"/>
  <c r="L48" i="15"/>
  <c r="F43" i="15"/>
  <c r="M9" i="67"/>
  <c r="L47" i="15"/>
  <c r="F8" i="15"/>
  <c r="F5" i="73"/>
  <c r="B10" i="76"/>
  <c r="F20" i="31"/>
  <c r="F40" i="15"/>
  <c r="F26" i="15"/>
  <c r="E2" i="69"/>
  <c r="AO11" i="1"/>
  <c r="D2" i="36"/>
  <c r="B11" i="76"/>
  <c r="F7" i="73"/>
  <c r="E7" i="76"/>
  <c r="F36" i="15"/>
  <c r="F8" i="67"/>
  <c r="J15" i="67"/>
  <c r="E11" i="76"/>
  <c r="D4" i="73"/>
  <c r="D7" i="73"/>
  <c r="M6" i="67"/>
  <c r="D5" i="73"/>
  <c r="F40" i="67"/>
  <c r="AO7" i="1"/>
  <c r="L48" i="67"/>
  <c r="F65" i="40" l="1"/>
  <c r="G63" i="40"/>
  <c r="AZ557" i="3"/>
  <c r="D9" i="53"/>
  <c r="B25" i="72" s="1"/>
  <c r="B24" i="72"/>
  <c r="S13" i="21"/>
  <c r="AA38" i="40"/>
  <c r="S38" i="40"/>
  <c r="AZ424" i="3"/>
  <c r="AZ429" i="3"/>
  <c r="F53" i="9"/>
  <c r="F54" i="82"/>
  <c r="F52" i="82"/>
  <c r="F32" i="81"/>
  <c r="F60" i="81" s="1"/>
  <c r="F28" i="81"/>
  <c r="C28" i="81" s="1"/>
  <c r="M18" i="81"/>
  <c r="D68" i="82"/>
  <c r="F53" i="82"/>
  <c r="D68" i="80"/>
  <c r="F54" i="80"/>
  <c r="F53" i="80"/>
  <c r="M18" i="79"/>
  <c r="F52" i="80"/>
  <c r="F32" i="79"/>
  <c r="F60" i="79" s="1"/>
  <c r="F28" i="79"/>
  <c r="C28" i="79" s="1"/>
  <c r="C77" i="82"/>
  <c r="C74" i="82"/>
  <c r="C77" i="80"/>
  <c r="C74" i="80" s="1"/>
  <c r="AZ14" i="3"/>
  <c r="U12" i="37"/>
  <c r="AA14" i="37"/>
  <c r="AC9" i="34"/>
  <c r="W9" i="34"/>
  <c r="U12" i="35"/>
  <c r="AB12" i="35"/>
  <c r="AB14" i="37"/>
  <c r="U14" i="37"/>
  <c r="AC32" i="40"/>
  <c r="W32" i="40"/>
  <c r="AZ398" i="3"/>
  <c r="AZ405" i="3"/>
  <c r="AZ407" i="3"/>
  <c r="AZ410" i="3"/>
  <c r="AZ415" i="3"/>
  <c r="AZ420" i="3"/>
  <c r="AZ426" i="3"/>
  <c r="H38" i="40"/>
  <c r="J38" i="40"/>
  <c r="H39" i="40"/>
  <c r="D3" i="35"/>
  <c r="G16" i="3"/>
  <c r="BC5" i="3"/>
  <c r="K8" i="1"/>
  <c r="M18" i="80"/>
  <c r="B118" i="80" s="1"/>
  <c r="BL15" i="3"/>
  <c r="BL5" i="3" s="1"/>
  <c r="AZ430" i="3"/>
  <c r="AZ440" i="3"/>
  <c r="AZ449" i="3"/>
  <c r="AZ453" i="3"/>
  <c r="AZ455" i="3"/>
  <c r="AZ460" i="3"/>
  <c r="AZ471" i="3"/>
  <c r="AZ476" i="3"/>
  <c r="AZ478" i="3"/>
  <c r="AZ484" i="3"/>
  <c r="AZ492" i="3"/>
  <c r="AZ385" i="3"/>
  <c r="AZ210" i="3"/>
  <c r="AZ225" i="3"/>
  <c r="AZ239" i="3"/>
  <c r="AZ255" i="3"/>
  <c r="C27" i="39"/>
  <c r="S40" i="21"/>
  <c r="S27" i="35"/>
  <c r="F26" i="33"/>
  <c r="AA26" i="33" s="1"/>
  <c r="W36" i="35"/>
  <c r="S34" i="35"/>
  <c r="U9" i="36"/>
  <c r="F9" i="33"/>
  <c r="AA9" i="33" s="1"/>
  <c r="F9" i="34"/>
  <c r="AA9" i="34" s="1"/>
  <c r="M20" i="15"/>
  <c r="F34" i="81"/>
  <c r="F62" i="81" s="1"/>
  <c r="M20" i="81"/>
  <c r="F34" i="79"/>
  <c r="F62" i="79" s="1"/>
  <c r="M20" i="79"/>
  <c r="I4" i="6"/>
  <c r="G3" i="43" s="1"/>
  <c r="BB5" i="3"/>
  <c r="E8" i="6" s="1"/>
  <c r="E51" i="40" s="1"/>
  <c r="D78" i="9"/>
  <c r="D93" i="82"/>
  <c r="D78" i="82"/>
  <c r="D78" i="80"/>
  <c r="D93" i="80"/>
  <c r="F9" i="1"/>
  <c r="G9" i="1" s="1"/>
  <c r="F8" i="1"/>
  <c r="G8" i="1" s="1"/>
  <c r="AZ247" i="3"/>
  <c r="AZ260" i="3"/>
  <c r="AZ264" i="3"/>
  <c r="AZ277" i="3"/>
  <c r="AZ301" i="3"/>
  <c r="AZ153" i="3"/>
  <c r="AZ169" i="3"/>
  <c r="AZ185" i="3"/>
  <c r="AZ201" i="3"/>
  <c r="AZ207" i="3"/>
  <c r="AZ25" i="3"/>
  <c r="AZ30" i="3"/>
  <c r="AZ36" i="3"/>
  <c r="AZ40" i="3"/>
  <c r="AZ46" i="3"/>
  <c r="AZ49" i="3"/>
  <c r="AZ62" i="3"/>
  <c r="AZ65" i="3"/>
  <c r="AZ76" i="3"/>
  <c r="AZ81" i="3"/>
  <c r="AZ90" i="3"/>
  <c r="AZ96" i="3"/>
  <c r="AZ99" i="3"/>
  <c r="AZ106" i="3"/>
  <c r="AZ112" i="3"/>
  <c r="AZ285" i="3"/>
  <c r="AZ293" i="3"/>
  <c r="M47" i="82"/>
  <c r="J51" i="81"/>
  <c r="M47" i="80"/>
  <c r="J51" i="79"/>
  <c r="T29" i="71"/>
  <c r="D29" i="71"/>
  <c r="T25" i="71"/>
  <c r="D25" i="71"/>
  <c r="G1" i="81"/>
  <c r="G1" i="79"/>
  <c r="D20" i="71"/>
  <c r="C21" i="71"/>
  <c r="D16" i="71"/>
  <c r="C17" i="71"/>
  <c r="D22" i="67"/>
  <c r="C40" i="69"/>
  <c r="D12" i="71"/>
  <c r="D13" i="71"/>
  <c r="U13" i="71" s="1"/>
  <c r="AB12" i="71"/>
  <c r="S13" i="71"/>
  <c r="D19" i="71"/>
  <c r="Y3" i="71"/>
  <c r="Z3" i="71" s="1"/>
  <c r="X19" i="71"/>
  <c r="AA17" i="71"/>
  <c r="AA16" i="71"/>
  <c r="AB14" i="71"/>
  <c r="S53" i="71"/>
  <c r="B52" i="71"/>
  <c r="Y9" i="71"/>
  <c r="Z9" i="71" s="1"/>
  <c r="X8" i="71"/>
  <c r="Y7" i="71"/>
  <c r="Z7" i="71" s="1"/>
  <c r="AA7" i="71"/>
  <c r="AB8" i="71"/>
  <c r="AB7" i="71"/>
  <c r="X6" i="71"/>
  <c r="C51" i="10"/>
  <c r="A118" i="82"/>
  <c r="A2" i="82"/>
  <c r="A2" i="80"/>
  <c r="A118" i="80"/>
  <c r="C7" i="71"/>
  <c r="D7" i="71" s="1"/>
  <c r="D8" i="71"/>
  <c r="Y6" i="71"/>
  <c r="Z6" i="71" s="1"/>
  <c r="AB6" i="71"/>
  <c r="AA6" i="71"/>
  <c r="AA9" i="71"/>
  <c r="AB9" i="71"/>
  <c r="D9" i="71"/>
  <c r="U9" i="71" s="1"/>
  <c r="S9" i="71"/>
  <c r="T9" i="71"/>
  <c r="X7" i="71"/>
  <c r="AB5" i="71"/>
  <c r="M56" i="9"/>
  <c r="M56" i="82"/>
  <c r="J56" i="82"/>
  <c r="J57" i="82" s="1"/>
  <c r="J59" i="82" s="1"/>
  <c r="J61" i="82" s="1"/>
  <c r="N56" i="82"/>
  <c r="K56" i="82"/>
  <c r="N56" i="80"/>
  <c r="K56" i="80"/>
  <c r="M56" i="80"/>
  <c r="J56" i="80"/>
  <c r="J57" i="80" s="1"/>
  <c r="J59" i="80" s="1"/>
  <c r="J61" i="80" s="1"/>
  <c r="X9" i="71"/>
  <c r="Y8" i="71"/>
  <c r="Z8" i="71" s="1"/>
  <c r="AA8" i="71"/>
  <c r="X5" i="71"/>
  <c r="AA5" i="71"/>
  <c r="M6" i="1"/>
  <c r="C16" i="43"/>
  <c r="D5" i="43" s="1"/>
  <c r="J43" i="34"/>
  <c r="F43" i="34"/>
  <c r="F124" i="34"/>
  <c r="G124" i="34" s="1"/>
  <c r="H124" i="34" s="1"/>
  <c r="I124" i="34" s="1"/>
  <c r="J124" i="34" s="1"/>
  <c r="K124" i="34" s="1"/>
  <c r="L124" i="34" s="1"/>
  <c r="M124" i="34" s="1"/>
  <c r="H43" i="34"/>
  <c r="AA38" i="34"/>
  <c r="F37" i="34"/>
  <c r="J37" i="34"/>
  <c r="H112" i="34"/>
  <c r="I112" i="34" s="1"/>
  <c r="J112" i="34" s="1"/>
  <c r="K112" i="34" s="1"/>
  <c r="L112" i="34" s="1"/>
  <c r="M112" i="34" s="1"/>
  <c r="H37" i="34"/>
  <c r="W34" i="34"/>
  <c r="F25" i="34"/>
  <c r="J25" i="34"/>
  <c r="F88" i="34"/>
  <c r="G88" i="34" s="1"/>
  <c r="H88" i="34" s="1"/>
  <c r="I88" i="34" s="1"/>
  <c r="J88" i="34" s="1"/>
  <c r="K88" i="34" s="1"/>
  <c r="L88" i="34" s="1"/>
  <c r="M88" i="34" s="1"/>
  <c r="H25" i="34"/>
  <c r="H23" i="34"/>
  <c r="U23" i="34" s="1"/>
  <c r="F86" i="34"/>
  <c r="G86" i="34" s="1"/>
  <c r="J23" i="34"/>
  <c r="F82" i="34"/>
  <c r="G82" i="34" s="1"/>
  <c r="F19" i="34"/>
  <c r="J19" i="34"/>
  <c r="H19" i="34"/>
  <c r="F78" i="34"/>
  <c r="G78" i="34" s="1"/>
  <c r="F15" i="34"/>
  <c r="H15" i="34"/>
  <c r="AB15" i="34" s="1"/>
  <c r="J15" i="34"/>
  <c r="S21" i="34"/>
  <c r="U10" i="34"/>
  <c r="S35" i="34"/>
  <c r="AA41" i="34"/>
  <c r="AA39" i="34"/>
  <c r="AC36" i="34"/>
  <c r="AC17" i="34"/>
  <c r="AB11" i="34"/>
  <c r="W10" i="34"/>
  <c r="S9" i="34"/>
  <c r="U7" i="33"/>
  <c r="BA5" i="3"/>
  <c r="G5" i="3"/>
  <c r="B3" i="3" s="1"/>
  <c r="M8" i="1"/>
  <c r="C5" i="43"/>
  <c r="AC13" i="33"/>
  <c r="W13" i="33"/>
  <c r="AA10" i="33"/>
  <c r="F13" i="33"/>
  <c r="W29" i="33"/>
  <c r="H36" i="33"/>
  <c r="F36" i="33"/>
  <c r="H111" i="33"/>
  <c r="I111" i="33" s="1"/>
  <c r="J111" i="33" s="1"/>
  <c r="K111" i="33" s="1"/>
  <c r="L111" i="33" s="1"/>
  <c r="M111" i="33" s="1"/>
  <c r="J36" i="33"/>
  <c r="F42" i="33"/>
  <c r="J42" i="33"/>
  <c r="F123" i="33"/>
  <c r="G123" i="33" s="1"/>
  <c r="H123" i="33" s="1"/>
  <c r="I123" i="33" s="1"/>
  <c r="J123" i="33" s="1"/>
  <c r="K123" i="33" s="1"/>
  <c r="L123" i="33" s="1"/>
  <c r="M123" i="33" s="1"/>
  <c r="H42" i="33"/>
  <c r="AB42" i="33" s="1"/>
  <c r="U43" i="33"/>
  <c r="U38" i="33"/>
  <c r="F38" i="33"/>
  <c r="AA38" i="33" s="1"/>
  <c r="H27" i="33"/>
  <c r="AB27" i="33" s="1"/>
  <c r="F27" i="33"/>
  <c r="F91" i="33"/>
  <c r="G91" i="33" s="1"/>
  <c r="H91" i="33" s="1"/>
  <c r="I91" i="33" s="1"/>
  <c r="J91" i="33" s="1"/>
  <c r="K91" i="33" s="1"/>
  <c r="L91" i="33" s="1"/>
  <c r="M91" i="33" s="1"/>
  <c r="J27" i="33"/>
  <c r="AC27" i="33" s="1"/>
  <c r="F87" i="33"/>
  <c r="G87" i="33" s="1"/>
  <c r="H87" i="33" s="1"/>
  <c r="I87" i="33" s="1"/>
  <c r="J87" i="33" s="1"/>
  <c r="K87" i="33" s="1"/>
  <c r="L87" i="33" s="1"/>
  <c r="M87" i="33" s="1"/>
  <c r="F25" i="33"/>
  <c r="S25" i="33" s="1"/>
  <c r="J25" i="33"/>
  <c r="AC25" i="33" s="1"/>
  <c r="H25" i="33"/>
  <c r="AB25" i="33" s="1"/>
  <c r="F85" i="33"/>
  <c r="G85" i="33" s="1"/>
  <c r="J23" i="33"/>
  <c r="AC23" i="33" s="1"/>
  <c r="AB23" i="33"/>
  <c r="J19" i="33"/>
  <c r="F81" i="33"/>
  <c r="G81" i="33" s="1"/>
  <c r="H19" i="33"/>
  <c r="U19" i="33" s="1"/>
  <c r="F19" i="33"/>
  <c r="S19" i="33" s="1"/>
  <c r="F79" i="33"/>
  <c r="G79" i="33" s="1"/>
  <c r="F17" i="33"/>
  <c r="F15" i="33"/>
  <c r="J15" i="33"/>
  <c r="F77" i="33"/>
  <c r="G77" i="33" s="1"/>
  <c r="H15" i="33"/>
  <c r="W23" i="33"/>
  <c r="W21" i="33"/>
  <c r="U32" i="33"/>
  <c r="AA7" i="33"/>
  <c r="AC37" i="33"/>
  <c r="S26" i="33"/>
  <c r="W39" i="33"/>
  <c r="AC35" i="33"/>
  <c r="U35" i="33"/>
  <c r="H5" i="3"/>
  <c r="E283" i="3"/>
  <c r="E513" i="3"/>
  <c r="E317" i="3"/>
  <c r="W32" i="33"/>
  <c r="U27" i="33"/>
  <c r="W27" i="33"/>
  <c r="AB26" i="33"/>
  <c r="U25" i="33"/>
  <c r="W25" i="33"/>
  <c r="AA25" i="33"/>
  <c r="AA23" i="33"/>
  <c r="AB19" i="33"/>
  <c r="AA19" i="33"/>
  <c r="AB17" i="33"/>
  <c r="AC10" i="33"/>
  <c r="U8" i="33"/>
  <c r="S8" i="33"/>
  <c r="S9" i="33"/>
  <c r="J53" i="15"/>
  <c r="Q52" i="15" s="1"/>
  <c r="H87" i="35"/>
  <c r="I87" i="35" s="1"/>
  <c r="J87" i="35" s="1"/>
  <c r="K87" i="35" s="1"/>
  <c r="L87" i="35" s="1"/>
  <c r="M87" i="35" s="1"/>
  <c r="J29" i="35"/>
  <c r="H29" i="35"/>
  <c r="F29" i="35"/>
  <c r="S29" i="35" s="1"/>
  <c r="F70" i="35"/>
  <c r="G70" i="35" s="1"/>
  <c r="F20" i="35"/>
  <c r="J16" i="35"/>
  <c r="F16" i="35"/>
  <c r="S16" i="35" s="1"/>
  <c r="F66" i="35"/>
  <c r="G66" i="35" s="1"/>
  <c r="H16" i="35"/>
  <c r="H14" i="35"/>
  <c r="AB14" i="35" s="1"/>
  <c r="AC18" i="35"/>
  <c r="S18" i="35"/>
  <c r="S14" i="35"/>
  <c r="W28" i="35"/>
  <c r="U33" i="35"/>
  <c r="W32" i="35"/>
  <c r="S32" i="35"/>
  <c r="C29" i="39"/>
  <c r="B66" i="43"/>
  <c r="AC14" i="35"/>
  <c r="B49" i="43"/>
  <c r="AC8" i="35"/>
  <c r="U8" i="35"/>
  <c r="AA10" i="35"/>
  <c r="F26" i="35"/>
  <c r="J26" i="35"/>
  <c r="H26" i="35"/>
  <c r="E133" i="3"/>
  <c r="E558" i="3"/>
  <c r="E88" i="3"/>
  <c r="E316" i="3"/>
  <c r="E467" i="3"/>
  <c r="E354" i="3"/>
  <c r="E284" i="3"/>
  <c r="E323" i="3"/>
  <c r="E355" i="3"/>
  <c r="E64" i="3"/>
  <c r="E27" i="3"/>
  <c r="E312" i="3"/>
  <c r="G31" i="6"/>
  <c r="C94" i="9"/>
  <c r="C92" i="9"/>
  <c r="F31" i="12"/>
  <c r="C31" i="12" s="1"/>
  <c r="F28" i="15"/>
  <c r="C28" i="15" s="1"/>
  <c r="F30" i="11"/>
  <c r="D68" i="9"/>
  <c r="M18" i="67"/>
  <c r="F28" i="67"/>
  <c r="C28" i="67" s="1"/>
  <c r="F30" i="68"/>
  <c r="C30" i="68" s="1"/>
  <c r="C36" i="68"/>
  <c r="F54" i="9"/>
  <c r="M18" i="15"/>
  <c r="F32" i="15"/>
  <c r="F60" i="15" s="1"/>
  <c r="F30" i="69"/>
  <c r="C48" i="69" s="1"/>
  <c r="F32" i="67"/>
  <c r="F60" i="67" s="1"/>
  <c r="F52" i="9"/>
  <c r="D23" i="67"/>
  <c r="K15" i="1"/>
  <c r="K16" i="1" s="1"/>
  <c r="E30" i="6"/>
  <c r="AZ15" i="3"/>
  <c r="AZ5" i="3" s="1"/>
  <c r="C36" i="69"/>
  <c r="L27" i="6"/>
  <c r="Q16" i="1"/>
  <c r="F27" i="69" s="1"/>
  <c r="C47" i="69" s="1"/>
  <c r="D45" i="69" s="1"/>
  <c r="C34" i="69"/>
  <c r="C38" i="69" s="1"/>
  <c r="AQ12" i="1"/>
  <c r="AR12" i="1"/>
  <c r="E15" i="6"/>
  <c r="E11" i="6"/>
  <c r="E14" i="6"/>
  <c r="E64" i="39" s="1"/>
  <c r="D9" i="11"/>
  <c r="C9" i="11" s="1"/>
  <c r="D19" i="12"/>
  <c r="C19" i="12" s="1"/>
  <c r="D9" i="68"/>
  <c r="C9" i="68" s="1"/>
  <c r="E97" i="3"/>
  <c r="E578" i="3"/>
  <c r="E245" i="3"/>
  <c r="E161" i="3"/>
  <c r="E271" i="3"/>
  <c r="E199" i="3"/>
  <c r="E313" i="3"/>
  <c r="E519" i="3"/>
  <c r="E534" i="3"/>
  <c r="T6" i="3"/>
  <c r="E405" i="3"/>
  <c r="E456" i="3"/>
  <c r="E469" i="3"/>
  <c r="E285" i="3"/>
  <c r="I6" i="3"/>
  <c r="E368" i="3"/>
  <c r="E148" i="3"/>
  <c r="E140" i="3"/>
  <c r="E197" i="3"/>
  <c r="E327" i="3"/>
  <c r="Z6" i="3"/>
  <c r="AO6" i="3"/>
  <c r="E485"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412" i="3"/>
  <c r="E96" i="3"/>
  <c r="E129" i="3"/>
  <c r="E174" i="3"/>
  <c r="AQ11" i="1"/>
  <c r="T11" i="1"/>
  <c r="AR11" i="1"/>
  <c r="H16" i="1"/>
  <c r="E83" i="3"/>
  <c r="E326" i="3"/>
  <c r="E287" i="3"/>
  <c r="E113" i="3"/>
  <c r="E102" i="3"/>
  <c r="E370" i="3"/>
  <c r="E232" i="3"/>
  <c r="E49" i="3"/>
  <c r="E86" i="3"/>
  <c r="E35" i="3"/>
  <c r="E522" i="3"/>
  <c r="E342" i="3"/>
  <c r="E383" i="3"/>
  <c r="E324" i="3"/>
  <c r="E235" i="3"/>
  <c r="E275" i="3"/>
  <c r="E163" i="3"/>
  <c r="E138" i="3"/>
  <c r="E98" i="3"/>
  <c r="E446"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66" i="3"/>
  <c r="E442" i="3"/>
  <c r="E502" i="3"/>
  <c r="R6" i="3"/>
  <c r="E499" i="3"/>
  <c r="E575" i="3"/>
  <c r="E286" i="3"/>
  <c r="E193" i="3"/>
  <c r="E224" i="3"/>
  <c r="E45" i="3"/>
  <c r="E181" i="3"/>
  <c r="E236" i="3"/>
  <c r="E262" i="3"/>
  <c r="E306" i="3"/>
  <c r="AK6" i="3"/>
  <c r="E511" i="3"/>
  <c r="E359" i="3"/>
  <c r="D9" i="69"/>
  <c r="C9" i="69" s="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229" i="3"/>
  <c r="E247" i="3"/>
  <c r="E396" i="3"/>
  <c r="E431" i="3"/>
  <c r="E569" i="3"/>
  <c r="E579" i="3"/>
  <c r="E516" i="3"/>
  <c r="E509" i="3"/>
  <c r="E239" i="3"/>
  <c r="C36" i="11"/>
  <c r="L101" i="43"/>
  <c r="L104" i="43" s="1"/>
  <c r="M101" i="43"/>
  <c r="M106" i="43" s="1"/>
  <c r="AF11" i="43"/>
  <c r="AF13" i="43" s="1"/>
  <c r="Z7" i="43"/>
  <c r="AG11" i="43"/>
  <c r="AG13" i="43" s="1"/>
  <c r="AC11" i="43"/>
  <c r="AC13" i="43" s="1"/>
  <c r="Y11" i="43"/>
  <c r="Y13" i="43" s="1"/>
  <c r="S3" i="43"/>
  <c r="E22" i="43"/>
  <c r="H101" i="43"/>
  <c r="E101" i="43"/>
  <c r="E104" i="43" s="1"/>
  <c r="AJ11" i="43"/>
  <c r="AJ13" i="43" s="1"/>
  <c r="AB11" i="43"/>
  <c r="AB13" i="43" s="1"/>
  <c r="AI11" i="43"/>
  <c r="AI13" i="43" s="1"/>
  <c r="AE11" i="43"/>
  <c r="AE13" i="43" s="1"/>
  <c r="AA11" i="43"/>
  <c r="AA13" i="43" s="1"/>
  <c r="S6" i="43"/>
  <c r="E59" i="40"/>
  <c r="AR13" i="1"/>
  <c r="AQ13" i="1"/>
  <c r="F27" i="6"/>
  <c r="F31" i="6" s="1"/>
  <c r="E56" i="39"/>
  <c r="B113" i="43"/>
  <c r="K101" i="43"/>
  <c r="N101" i="43"/>
  <c r="G101" i="43"/>
  <c r="C101" i="43"/>
  <c r="J101" i="43"/>
  <c r="N104" i="46"/>
  <c r="H22" i="43"/>
  <c r="D101" i="43"/>
  <c r="I101" i="43"/>
  <c r="G22" i="43"/>
  <c r="D22" i="43" s="1"/>
  <c r="S2" i="43"/>
  <c r="AH11" i="43"/>
  <c r="AH13" i="43" s="1"/>
  <c r="AD11" i="43"/>
  <c r="AD13" i="43" s="1"/>
  <c r="Z11" i="43"/>
  <c r="Z13" i="43" s="1"/>
  <c r="S5" i="43"/>
  <c r="C23" i="43"/>
  <c r="C21" i="43" s="1"/>
  <c r="S4" i="43"/>
  <c r="S7" i="43"/>
  <c r="J22" i="43"/>
  <c r="E12" i="6"/>
  <c r="E13" i="6"/>
  <c r="E10" i="6"/>
  <c r="F27" i="68"/>
  <c r="C29" i="68" s="1"/>
  <c r="D27" i="68" s="1"/>
  <c r="T12" i="1"/>
  <c r="E61" i="39"/>
  <c r="E56" i="40"/>
  <c r="F101" i="43"/>
  <c r="F22" i="43"/>
  <c r="E60" i="40"/>
  <c r="E65" i="39"/>
  <c r="P6" i="1"/>
  <c r="O8" i="1"/>
  <c r="P8" i="1" s="1"/>
  <c r="M16" i="1"/>
  <c r="C34" i="68" s="1"/>
  <c r="O9" i="1"/>
  <c r="P9" i="1" s="1"/>
  <c r="A15" i="62"/>
  <c r="B61" i="72" s="1"/>
  <c r="G16" i="1"/>
  <c r="F10" i="40" s="1"/>
  <c r="D10" i="52"/>
  <c r="D125" i="9"/>
  <c r="D11" i="52" s="1"/>
  <c r="H14" i="74"/>
  <c r="B7" i="74" s="1"/>
  <c r="D12" i="52"/>
  <c r="D127" i="9"/>
  <c r="D13" i="52" s="1"/>
  <c r="D17" i="53"/>
  <c r="B36" i="72" s="1"/>
  <c r="W7" i="33"/>
  <c r="AC7" i="33"/>
  <c r="G48" i="35"/>
  <c r="H48" i="35" s="1"/>
  <c r="I48" i="35" s="1"/>
  <c r="J48" i="35" s="1"/>
  <c r="K48" i="35" s="1"/>
  <c r="L48" i="35" s="1"/>
  <c r="M48" i="35" s="1"/>
  <c r="N48" i="35" s="1"/>
  <c r="O48" i="35" s="1"/>
  <c r="F7" i="35"/>
  <c r="J7" i="35"/>
  <c r="F52" i="37"/>
  <c r="G52" i="37" s="1"/>
  <c r="H52" i="37" s="1"/>
  <c r="I52" i="37" s="1"/>
  <c r="J52" i="37" s="1"/>
  <c r="K52" i="37" s="1"/>
  <c r="L52" i="37" s="1"/>
  <c r="M52" i="37" s="1"/>
  <c r="N52" i="37" s="1"/>
  <c r="O52" i="37" s="1"/>
  <c r="H7" i="37"/>
  <c r="F7" i="37"/>
  <c r="F59" i="34"/>
  <c r="E46" i="36"/>
  <c r="F46" i="36" s="1"/>
  <c r="G46" i="36" s="1"/>
  <c r="H46" i="36" s="1"/>
  <c r="I46" i="36" s="1"/>
  <c r="J46" i="36" s="1"/>
  <c r="K46" i="36" s="1"/>
  <c r="L46" i="36" s="1"/>
  <c r="M46" i="36" s="1"/>
  <c r="N46" i="36" s="1"/>
  <c r="O46" i="36" s="1"/>
  <c r="F7" i="36"/>
  <c r="D58" i="21"/>
  <c r="C70" i="39"/>
  <c r="D68" i="39"/>
  <c r="C30" i="69"/>
  <c r="C74" i="9"/>
  <c r="C48" i="68"/>
  <c r="F6" i="71"/>
  <c r="F5" i="71" s="1"/>
  <c r="Y5" i="71"/>
  <c r="Z5" i="71" s="1"/>
  <c r="B7" i="49"/>
  <c r="E7" i="49"/>
  <c r="B15" i="49"/>
  <c r="AB3" i="71"/>
  <c r="X3" i="71"/>
  <c r="C6" i="71"/>
  <c r="E6" i="71"/>
  <c r="E5" i="71" s="1"/>
  <c r="E10" i="49"/>
  <c r="B6" i="49"/>
  <c r="E14" i="49"/>
  <c r="AF3" i="71"/>
  <c r="P24" i="43" s="1"/>
  <c r="B66" i="40" s="1"/>
  <c r="P23" i="43"/>
  <c r="B71" i="39"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64" i="67"/>
  <c r="J57" i="15"/>
  <c r="J55" i="15" s="1"/>
  <c r="J58" i="15" s="1"/>
  <c r="Q50" i="15" s="1"/>
  <c r="I54" i="15"/>
  <c r="L56" i="15"/>
  <c r="F71" i="67"/>
  <c r="F68" i="67"/>
  <c r="F68" i="15"/>
  <c r="N59" i="15"/>
  <c r="L59" i="15"/>
  <c r="M59" i="15"/>
  <c r="L58" i="15"/>
  <c r="F65" i="15"/>
  <c r="B13" i="70"/>
  <c r="E20" i="43"/>
  <c r="C34" i="67"/>
  <c r="F63" i="67"/>
  <c r="C62" i="67" s="1"/>
  <c r="B7" i="70"/>
  <c r="F69" i="67"/>
  <c r="F71" i="15"/>
  <c r="F51" i="67"/>
  <c r="B11" i="70"/>
  <c r="I1" i="73"/>
  <c r="B39" i="1" s="1"/>
  <c r="C27" i="15"/>
  <c r="F51" i="15"/>
  <c r="F64" i="15"/>
  <c r="I54" i="67"/>
  <c r="J57" i="67"/>
  <c r="J55" i="67" s="1"/>
  <c r="J58" i="67" s="1"/>
  <c r="Q50" i="67" s="1"/>
  <c r="L56" i="67"/>
  <c r="C27" i="67"/>
  <c r="B12" i="70"/>
  <c r="B9" i="70"/>
  <c r="K1" i="73"/>
  <c r="F31" i="15"/>
  <c r="F59" i="15"/>
  <c r="M17" i="67"/>
  <c r="M17" i="15"/>
  <c r="F31" i="67"/>
  <c r="F59" i="67"/>
  <c r="F9" i="67"/>
  <c r="F9" i="15"/>
  <c r="F37" i="67"/>
  <c r="G1" i="73"/>
  <c r="M29" i="15"/>
  <c r="F7" i="15"/>
  <c r="M8" i="15"/>
  <c r="C17" i="67"/>
  <c r="M28" i="15"/>
  <c r="M28" i="67"/>
  <c r="F42" i="15"/>
  <c r="L47" i="67"/>
  <c r="C76" i="15"/>
  <c r="M27" i="67"/>
  <c r="M23" i="67"/>
  <c r="M9" i="15"/>
  <c r="M29" i="67"/>
  <c r="C14" i="67"/>
  <c r="M21" i="67"/>
  <c r="M22" i="67"/>
  <c r="F42" i="67"/>
  <c r="C16" i="15"/>
  <c r="C76" i="67"/>
  <c r="F16" i="67"/>
  <c r="F38" i="67"/>
  <c r="F38" i="15"/>
  <c r="F6" i="15"/>
  <c r="F7" i="67"/>
  <c r="F13" i="15"/>
  <c r="J20" i="67" l="1"/>
  <c r="Q71" i="67"/>
  <c r="M7" i="15"/>
  <c r="J6" i="15" s="1"/>
  <c r="F50" i="15"/>
  <c r="Q71" i="15"/>
  <c r="F66" i="67"/>
  <c r="F50" i="67"/>
  <c r="C6" i="67"/>
  <c r="M7" i="67"/>
  <c r="J6" i="67" s="1"/>
  <c r="M59" i="67"/>
  <c r="L58" i="67"/>
  <c r="L59" i="67"/>
  <c r="Q74" i="67" s="1"/>
  <c r="N59" i="67"/>
  <c r="C6" i="15"/>
  <c r="F65" i="67"/>
  <c r="F70" i="67"/>
  <c r="F66" i="15"/>
  <c r="AA16" i="35"/>
  <c r="AC38" i="40"/>
  <c r="W38" i="40"/>
  <c r="G65" i="40"/>
  <c r="H63" i="40"/>
  <c r="J7" i="37"/>
  <c r="H7" i="35"/>
  <c r="B51" i="71"/>
  <c r="N52" i="71"/>
  <c r="T17" i="71"/>
  <c r="D17" i="71"/>
  <c r="T21" i="71"/>
  <c r="D21" i="71"/>
  <c r="U39" i="40"/>
  <c r="AB39" i="40"/>
  <c r="AB38" i="40"/>
  <c r="U38" i="40"/>
  <c r="O6" i="1"/>
  <c r="F11" i="81"/>
  <c r="M11" i="81"/>
  <c r="AB43" i="34"/>
  <c r="U43" i="34"/>
  <c r="AA43" i="34"/>
  <c r="S43" i="34"/>
  <c r="W43" i="34"/>
  <c r="AC43" i="34"/>
  <c r="U37" i="34"/>
  <c r="AB37" i="34"/>
  <c r="AC37" i="34"/>
  <c r="W37" i="34"/>
  <c r="AA37" i="34"/>
  <c r="S37" i="34"/>
  <c r="AB25" i="34"/>
  <c r="U25" i="34"/>
  <c r="AC25" i="34"/>
  <c r="W25" i="34"/>
  <c r="S25" i="34"/>
  <c r="AA25" i="34"/>
  <c r="AB23" i="34"/>
  <c r="AC23" i="34"/>
  <c r="W23" i="34"/>
  <c r="AB19" i="34"/>
  <c r="U19" i="34"/>
  <c r="AA19" i="34"/>
  <c r="S19" i="34"/>
  <c r="AC19" i="34"/>
  <c r="W19" i="34"/>
  <c r="U15" i="34"/>
  <c r="W15" i="34"/>
  <c r="AC15" i="34"/>
  <c r="AA15" i="34"/>
  <c r="S15" i="34"/>
  <c r="S38" i="33"/>
  <c r="U42" i="33"/>
  <c r="E228" i="3"/>
  <c r="AM6" i="3"/>
  <c r="E403" i="3"/>
  <c r="E267" i="3"/>
  <c r="E487" i="3"/>
  <c r="E233" i="3"/>
  <c r="E425" i="3"/>
  <c r="E71" i="3"/>
  <c r="E177" i="3"/>
  <c r="E118" i="3"/>
  <c r="E144" i="3"/>
  <c r="E300" i="3"/>
  <c r="E29" i="3"/>
  <c r="E272" i="3"/>
  <c r="E546" i="3"/>
  <c r="E432" i="3"/>
  <c r="E314" i="3"/>
  <c r="E136" i="3"/>
  <c r="E277" i="3"/>
  <c r="AD6" i="3"/>
  <c r="E464" i="3"/>
  <c r="E400" i="3"/>
  <c r="E345" i="3"/>
  <c r="E557" i="3"/>
  <c r="E531" i="3"/>
  <c r="E489" i="3"/>
  <c r="E28" i="3"/>
  <c r="E70" i="3"/>
  <c r="E182" i="3"/>
  <c r="E211" i="3"/>
  <c r="E273" i="3"/>
  <c r="E377" i="3"/>
  <c r="E572" i="3"/>
  <c r="E109" i="3"/>
  <c r="E484" i="3"/>
  <c r="E46" i="3"/>
  <c r="E200" i="3"/>
  <c r="E266" i="3"/>
  <c r="E386" i="3"/>
  <c r="E584" i="3"/>
  <c r="E24" i="3"/>
  <c r="E87" i="3"/>
  <c r="E250" i="3"/>
  <c r="E341" i="3"/>
  <c r="E51" i="3"/>
  <c r="E154" i="3"/>
  <c r="E222" i="3"/>
  <c r="E373" i="3"/>
  <c r="E21" i="3"/>
  <c r="E264" i="3"/>
  <c r="E68" i="3"/>
  <c r="E184" i="3"/>
  <c r="E84" i="3"/>
  <c r="E371" i="3"/>
  <c r="E142" i="3"/>
  <c r="E441" i="3"/>
  <c r="E384" i="3"/>
  <c r="E210" i="3"/>
  <c r="E162" i="3"/>
  <c r="E447" i="3"/>
  <c r="AS6" i="3"/>
  <c r="E477" i="3"/>
  <c r="E421" i="3"/>
  <c r="E120" i="3"/>
  <c r="E201" i="3"/>
  <c r="K6" i="3"/>
  <c r="E388" i="3"/>
  <c r="E410" i="3"/>
  <c r="E143" i="3"/>
  <c r="E353" i="3"/>
  <c r="E495" i="3"/>
  <c r="AN6" i="3"/>
  <c r="E586" i="3"/>
  <c r="E402" i="3"/>
  <c r="E350" i="3"/>
  <c r="E303" i="3"/>
  <c r="E301" i="3"/>
  <c r="E159" i="3"/>
  <c r="E99" i="3"/>
  <c r="E91" i="3"/>
  <c r="E221" i="3"/>
  <c r="E180" i="3"/>
  <c r="E149" i="3"/>
  <c r="E77" i="3"/>
  <c r="E212" i="3"/>
  <c r="E253" i="3"/>
  <c r="E67" i="3"/>
  <c r="E126" i="3"/>
  <c r="E310" i="3"/>
  <c r="E367" i="3"/>
  <c r="E381" i="3"/>
  <c r="E103" i="3"/>
  <c r="E92" i="3"/>
  <c r="E542" i="3"/>
  <c r="O6" i="3"/>
  <c r="E157" i="3"/>
  <c r="E552" i="3"/>
  <c r="E443" i="3"/>
  <c r="E581" i="3"/>
  <c r="E404" i="3"/>
  <c r="E121" i="3"/>
  <c r="E295" i="3"/>
  <c r="E334" i="3"/>
  <c r="E480" i="3"/>
  <c r="E160" i="3"/>
  <c r="E307" i="3"/>
  <c r="E66" i="3"/>
  <c r="E127" i="3"/>
  <c r="Y6" i="3"/>
  <c r="E179" i="3"/>
  <c r="E82" i="3"/>
  <c r="E81" i="3"/>
  <c r="E33" i="3"/>
  <c r="E249" i="3"/>
  <c r="E44" i="3"/>
  <c r="E186" i="3"/>
  <c r="E476" i="3"/>
  <c r="E414" i="3"/>
  <c r="E296" i="3"/>
  <c r="E337" i="3"/>
  <c r="E385" i="3"/>
  <c r="AI6" i="3"/>
  <c r="E423" i="3"/>
  <c r="E263" i="3"/>
  <c r="E191" i="3"/>
  <c r="E290" i="3"/>
  <c r="E117" i="3"/>
  <c r="E252" i="3"/>
  <c r="E204" i="3"/>
  <c r="E145" i="3"/>
  <c r="E164" i="3"/>
  <c r="E107" i="3"/>
  <c r="E369" i="3"/>
  <c r="E393" i="3"/>
  <c r="E525" i="3"/>
  <c r="E532" i="3"/>
  <c r="Q6" i="3"/>
  <c r="E573" i="3"/>
  <c r="E560" i="3"/>
  <c r="E529" i="3"/>
  <c r="E437" i="3"/>
  <c r="E458" i="3"/>
  <c r="E472" i="3"/>
  <c r="E474" i="3"/>
  <c r="E481" i="3"/>
  <c r="E574" i="3"/>
  <c r="E151" i="3"/>
  <c r="E568" i="3"/>
  <c r="E536" i="3"/>
  <c r="E453" i="3"/>
  <c r="E244" i="3"/>
  <c r="E156" i="3"/>
  <c r="E269" i="3"/>
  <c r="E89" i="3"/>
  <c r="E85" i="3"/>
  <c r="E238" i="3"/>
  <c r="E116" i="3"/>
  <c r="E105" i="3"/>
  <c r="E379"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55" i="3"/>
  <c r="E79" i="3"/>
  <c r="E38" i="3"/>
  <c r="E100" i="3"/>
  <c r="E170" i="3"/>
  <c r="E137" i="3"/>
  <c r="E194" i="3"/>
  <c r="E234" i="3"/>
  <c r="E101" i="3"/>
  <c r="E524" i="3"/>
  <c r="E365" i="3"/>
  <c r="E265" i="3"/>
  <c r="E218" i="3"/>
  <c r="E176" i="3"/>
  <c r="E62" i="3"/>
  <c r="E20" i="3"/>
  <c r="E50" i="3"/>
  <c r="E364" i="3"/>
  <c r="E340" i="3"/>
  <c r="E289" i="3"/>
  <c r="E147" i="3"/>
  <c r="E123" i="3"/>
  <c r="E112" i="3"/>
  <c r="E36" i="3"/>
  <c r="E52" i="3"/>
  <c r="AQ6" i="3"/>
  <c r="E392" i="3"/>
  <c r="E325" i="3"/>
  <c r="E339" i="3"/>
  <c r="E299" i="3"/>
  <c r="E219" i="3"/>
  <c r="E248" i="3"/>
  <c r="E195" i="3"/>
  <c r="E65" i="3"/>
  <c r="E47" i="3"/>
  <c r="E521" i="3"/>
  <c r="E34" i="3"/>
  <c r="E206" i="3"/>
  <c r="E251" i="3"/>
  <c r="AF6" i="3"/>
  <c r="E80" i="3"/>
  <c r="E158" i="3"/>
  <c r="E308" i="3"/>
  <c r="E22" i="3"/>
  <c r="E220" i="3"/>
  <c r="E190" i="3"/>
  <c r="E78" i="3"/>
  <c r="E18"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48" i="3"/>
  <c r="AG6" i="3"/>
  <c r="E576" i="3"/>
  <c r="E173" i="3"/>
  <c r="E223" i="3"/>
  <c r="E122" i="3"/>
  <c r="E196" i="3"/>
  <c r="E549" i="3"/>
  <c r="E397" i="3"/>
  <c r="E507" i="3"/>
  <c r="E486" i="3"/>
  <c r="E427" i="3"/>
  <c r="E543" i="3"/>
  <c r="E564" i="3"/>
  <c r="E493" i="3"/>
  <c r="E330" i="3"/>
  <c r="E141" i="3"/>
  <c r="E167" i="3"/>
  <c r="E207" i="3"/>
  <c r="E188" i="3"/>
  <c r="E382" i="3"/>
  <c r="E518" i="3"/>
  <c r="E555" i="3"/>
  <c r="E15" i="3"/>
  <c r="E505" i="3"/>
  <c r="E331" i="3"/>
  <c r="E492" i="3"/>
  <c r="E309" i="3"/>
  <c r="E19" i="3"/>
  <c r="E48" i="3"/>
  <c r="E209" i="3"/>
  <c r="E30" i="3"/>
  <c r="E166" i="3"/>
  <c r="E444" i="3"/>
  <c r="P6" i="3"/>
  <c r="E434" i="3"/>
  <c r="E547" i="3"/>
  <c r="E23" i="3"/>
  <c r="E291" i="3"/>
  <c r="E63" i="3"/>
  <c r="E16" i="3"/>
  <c r="M11" i="79"/>
  <c r="F11" i="79"/>
  <c r="S13" i="33"/>
  <c r="AA13" i="33"/>
  <c r="R48" i="33" s="1"/>
  <c r="AC36" i="33"/>
  <c r="W36" i="33"/>
  <c r="AA36" i="33"/>
  <c r="S36" i="33"/>
  <c r="AB36" i="33"/>
  <c r="U36" i="33"/>
  <c r="AC42" i="33"/>
  <c r="W42" i="33"/>
  <c r="AA42" i="33"/>
  <c r="S42" i="33"/>
  <c r="AA27" i="33"/>
  <c r="S27" i="33"/>
  <c r="AC19" i="33"/>
  <c r="W19" i="33"/>
  <c r="AA17" i="33"/>
  <c r="S17" i="33"/>
  <c r="AB15" i="33"/>
  <c r="U15" i="33"/>
  <c r="AC15" i="33"/>
  <c r="V48" i="33" s="1"/>
  <c r="I48" i="33" s="1"/>
  <c r="I52" i="33" s="1"/>
  <c r="J52" i="33" s="1"/>
  <c r="W15" i="33"/>
  <c r="AA15" i="33"/>
  <c r="S15" i="33"/>
  <c r="F1" i="15"/>
  <c r="W29" i="35"/>
  <c r="AC29" i="35"/>
  <c r="AA29" i="35"/>
  <c r="AB29" i="35"/>
  <c r="U29" i="35"/>
  <c r="AA20" i="35"/>
  <c r="S20" i="35"/>
  <c r="U16" i="35"/>
  <c r="AB16" i="35"/>
  <c r="AC16" i="35"/>
  <c r="W16" i="35"/>
  <c r="U14" i="35"/>
  <c r="AC26" i="35"/>
  <c r="W26" i="35"/>
  <c r="AB26" i="35"/>
  <c r="U26" i="35"/>
  <c r="S26" i="35"/>
  <c r="AA26" i="35"/>
  <c r="C48" i="11"/>
  <c r="C30" i="11"/>
  <c r="C29" i="69"/>
  <c r="D27" i="69" s="1"/>
  <c r="F27" i="11"/>
  <c r="C47" i="11" s="1"/>
  <c r="D45" i="11" s="1"/>
  <c r="C35" i="69"/>
  <c r="E3" i="6"/>
  <c r="D3" i="34" s="1"/>
  <c r="AY6" i="3"/>
  <c r="AY95" i="3" s="1"/>
  <c r="F28" i="12"/>
  <c r="C29" i="12" s="1"/>
  <c r="D28" i="12" s="1"/>
  <c r="AY85" i="3"/>
  <c r="M102" i="43"/>
  <c r="M107" i="43"/>
  <c r="H6" i="3"/>
  <c r="D3" i="33"/>
  <c r="M18" i="9"/>
  <c r="B118" i="9" s="1"/>
  <c r="B14" i="74" s="1"/>
  <c r="B1" i="74" s="1"/>
  <c r="C8" i="74" s="1"/>
  <c r="M109" i="43"/>
  <c r="AC6" i="3"/>
  <c r="E6" i="3" s="1"/>
  <c r="M103" i="43"/>
  <c r="M105" i="43"/>
  <c r="M104" i="43"/>
  <c r="AY382" i="3"/>
  <c r="AY401" i="3"/>
  <c r="AY182" i="3"/>
  <c r="AY302" i="3"/>
  <c r="AY222" i="3"/>
  <c r="AY23" i="3"/>
  <c r="AY428" i="3"/>
  <c r="AY553" i="3"/>
  <c r="AY138" i="3"/>
  <c r="AY214" i="3"/>
  <c r="AY109" i="3"/>
  <c r="AY166" i="3"/>
  <c r="AY242" i="3"/>
  <c r="AY348" i="3"/>
  <c r="AY462" i="3"/>
  <c r="AY398" i="3"/>
  <c r="BQ6" i="3"/>
  <c r="AY534" i="3"/>
  <c r="AY495" i="3"/>
  <c r="AY501" i="3"/>
  <c r="AY582" i="3"/>
  <c r="AY65" i="3"/>
  <c r="AY194" i="3"/>
  <c r="AY137" i="3"/>
  <c r="AY251" i="3"/>
  <c r="AY380" i="3"/>
  <c r="AY329" i="3"/>
  <c r="AY328" i="3"/>
  <c r="AY487" i="3"/>
  <c r="AY484" i="3"/>
  <c r="AY453" i="3"/>
  <c r="AY442" i="3"/>
  <c r="AY410" i="3"/>
  <c r="AY423" i="3"/>
  <c r="AY579" i="3"/>
  <c r="AY499" i="3"/>
  <c r="D3" i="6"/>
  <c r="AY502" i="3"/>
  <c r="AY509" i="3"/>
  <c r="BR6" i="3"/>
  <c r="AY531" i="3"/>
  <c r="BA6" i="3"/>
  <c r="AY94" i="3"/>
  <c r="AY78" i="3"/>
  <c r="AY35" i="3"/>
  <c r="AY187" i="3"/>
  <c r="AY167" i="3"/>
  <c r="AY127" i="3"/>
  <c r="AY280" i="3"/>
  <c r="AY264" i="3"/>
  <c r="AY115" i="3"/>
  <c r="AY225" i="3"/>
  <c r="AY180" i="3"/>
  <c r="AY433" i="3"/>
  <c r="AY61" i="3"/>
  <c r="AY190" i="3"/>
  <c r="AY133" i="3"/>
  <c r="AY247" i="3"/>
  <c r="AY397"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216" i="3"/>
  <c r="AY383" i="3"/>
  <c r="AY347" i="3"/>
  <c r="AY330"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6" i="3"/>
  <c r="AY188" i="3"/>
  <c r="AY297" i="3"/>
  <c r="AY335" i="3"/>
  <c r="AY409" i="3"/>
  <c r="AY228" i="3"/>
  <c r="AY465" i="3"/>
  <c r="BK6" i="3"/>
  <c r="AY108" i="3"/>
  <c r="AY76" i="3"/>
  <c r="AY33" i="3"/>
  <c r="AY185" i="3"/>
  <c r="AY165" i="3"/>
  <c r="AY125" i="3"/>
  <c r="AY278" i="3"/>
  <c r="AY262" i="3"/>
  <c r="AY219" i="3"/>
  <c r="AY374"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27" i="6"/>
  <c r="L105" i="43"/>
  <c r="C47" i="68"/>
  <c r="D45" i="68" s="1"/>
  <c r="E107" i="43"/>
  <c r="L102" i="43"/>
  <c r="E105" i="43"/>
  <c r="H102" i="43"/>
  <c r="H103" i="43"/>
  <c r="H104" i="43"/>
  <c r="H109" i="43"/>
  <c r="H107" i="43"/>
  <c r="H106" i="43"/>
  <c r="H105" i="43"/>
  <c r="E102" i="43"/>
  <c r="E103" i="43"/>
  <c r="E106" i="43"/>
  <c r="E109" i="43"/>
  <c r="L109" i="43"/>
  <c r="L107" i="43"/>
  <c r="L106" i="43"/>
  <c r="L103" i="43"/>
  <c r="F104" i="43"/>
  <c r="F107" i="43"/>
  <c r="F106" i="43"/>
  <c r="F105" i="43"/>
  <c r="F109" i="43"/>
  <c r="F103" i="43"/>
  <c r="F102" i="43"/>
  <c r="E57" i="40"/>
  <c r="E62" i="39"/>
  <c r="D109" i="43"/>
  <c r="D103" i="43"/>
  <c r="D104" i="43"/>
  <c r="D107" i="43"/>
  <c r="D105" i="43"/>
  <c r="D106" i="43"/>
  <c r="D102" i="43"/>
  <c r="O16" i="1"/>
  <c r="C29" i="11"/>
  <c r="D27" i="11" s="1"/>
  <c r="E63" i="39"/>
  <c r="E66" i="39" s="1"/>
  <c r="E58" i="40"/>
  <c r="I109" i="43"/>
  <c r="I102" i="43"/>
  <c r="I106" i="43"/>
  <c r="I103" i="43"/>
  <c r="I104" i="43"/>
  <c r="I107" i="43"/>
  <c r="I105" i="43"/>
  <c r="J105" i="43"/>
  <c r="J103" i="43"/>
  <c r="J109" i="43"/>
  <c r="J104" i="43"/>
  <c r="J102" i="43"/>
  <c r="J107" i="43"/>
  <c r="J106" i="43"/>
  <c r="G103" i="43"/>
  <c r="G106" i="43"/>
  <c r="G105" i="43"/>
  <c r="G102" i="43"/>
  <c r="G104" i="43"/>
  <c r="G109" i="43"/>
  <c r="G107" i="43"/>
  <c r="K103" i="43"/>
  <c r="K107" i="43"/>
  <c r="K104" i="43"/>
  <c r="K105" i="43"/>
  <c r="K109" i="43"/>
  <c r="K102" i="43"/>
  <c r="K106" i="43"/>
  <c r="E16" i="6"/>
  <c r="C106" i="43"/>
  <c r="C105" i="43"/>
  <c r="C107" i="43"/>
  <c r="C104" i="43"/>
  <c r="C103" i="43"/>
  <c r="C102" i="43"/>
  <c r="C109" i="43"/>
  <c r="N102" i="43"/>
  <c r="N103" i="43"/>
  <c r="N106" i="43"/>
  <c r="N104" i="43"/>
  <c r="N109" i="43"/>
  <c r="N105" i="43"/>
  <c r="N107"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D118" i="43"/>
  <c r="E118" i="43" s="1"/>
  <c r="F118" i="43" s="1"/>
  <c r="I116" i="43"/>
  <c r="J116" i="43" s="1"/>
  <c r="K116" i="43" s="1"/>
  <c r="L116" i="43" s="1"/>
  <c r="M116" i="43" s="1"/>
  <c r="B115" i="43"/>
  <c r="I115" i="43"/>
  <c r="J115" i="43" s="1"/>
  <c r="K115" i="43" s="1"/>
  <c r="L115" i="43" s="1"/>
  <c r="M115" i="43" s="1"/>
  <c r="D116" i="43"/>
  <c r="E116" i="43" s="1"/>
  <c r="F116" i="43" s="1"/>
  <c r="G116" i="43" s="1"/>
  <c r="H116" i="43" s="1"/>
  <c r="B117" i="43"/>
  <c r="C117" i="43" s="1"/>
  <c r="D115" i="43"/>
  <c r="E115" i="43" s="1"/>
  <c r="F115" i="43" s="1"/>
  <c r="G115" i="43" s="1"/>
  <c r="H115" i="43" s="1"/>
  <c r="P16" i="1"/>
  <c r="C11" i="12" s="1"/>
  <c r="N16" i="1"/>
  <c r="C34" i="11"/>
  <c r="L16" i="1"/>
  <c r="F10" i="39"/>
  <c r="S10" i="39" s="1"/>
  <c r="H10" i="39"/>
  <c r="AB10" i="39" s="1"/>
  <c r="J10" i="39"/>
  <c r="W10" i="39" s="1"/>
  <c r="J10" i="40"/>
  <c r="W10" i="40" s="1"/>
  <c r="H10" i="40"/>
  <c r="AB10" i="40" s="1"/>
  <c r="K4" i="4"/>
  <c r="B46" i="48" s="1"/>
  <c r="B4" i="72" s="1"/>
  <c r="B4" i="62"/>
  <c r="B71" i="72" s="1"/>
  <c r="E68" i="39"/>
  <c r="D70" i="39"/>
  <c r="E58" i="21"/>
  <c r="J7" i="36"/>
  <c r="H7" i="36"/>
  <c r="G59" i="34"/>
  <c r="U7" i="37"/>
  <c r="AB7" i="37"/>
  <c r="T42" i="37" s="1"/>
  <c r="G42" i="37" s="1"/>
  <c r="AA7" i="35"/>
  <c r="R38" i="35" s="1"/>
  <c r="S7" i="35"/>
  <c r="AA10" i="40"/>
  <c r="S10" i="40"/>
  <c r="S7" i="36"/>
  <c r="AA7" i="36"/>
  <c r="R36" i="36" s="1"/>
  <c r="AA7" i="37"/>
  <c r="R42" i="37" s="1"/>
  <c r="S7" i="37"/>
  <c r="AC7" i="37"/>
  <c r="V42" i="37" s="1"/>
  <c r="I42" i="37" s="1"/>
  <c r="W7" i="37"/>
  <c r="W7" i="35"/>
  <c r="AC7" i="35"/>
  <c r="V38" i="35" s="1"/>
  <c r="I38" i="35" s="1"/>
  <c r="U7" i="35"/>
  <c r="AB7" i="35"/>
  <c r="T38" i="35" s="1"/>
  <c r="G38" i="35" s="1"/>
  <c r="C5" i="71"/>
  <c r="D6" i="71"/>
  <c r="P25" i="43"/>
  <c r="C49" i="67"/>
  <c r="C49" i="15"/>
  <c r="C38" i="68"/>
  <c r="C35" i="68"/>
  <c r="B40" i="1"/>
  <c r="C18" i="67"/>
  <c r="C15" i="67"/>
  <c r="M11" i="15"/>
  <c r="J10" i="15" s="1"/>
  <c r="J5" i="15" s="1"/>
  <c r="F11" i="67"/>
  <c r="F11" i="15"/>
  <c r="M11" i="67"/>
  <c r="J10" i="67" s="1"/>
  <c r="J5" i="67" s="1"/>
  <c r="Q73" i="67"/>
  <c r="Q60" i="67"/>
  <c r="P17" i="43"/>
  <c r="M17" i="43"/>
  <c r="N17" i="43"/>
  <c r="O17" i="43"/>
  <c r="Q60" i="15"/>
  <c r="Q73" i="15"/>
  <c r="Q74" i="15"/>
  <c r="Q61" i="15"/>
  <c r="Q61" i="67"/>
  <c r="M9" i="81"/>
  <c r="F37" i="81"/>
  <c r="M28" i="81"/>
  <c r="F43" i="81"/>
  <c r="M24" i="79"/>
  <c r="M23" i="79"/>
  <c r="F6" i="79"/>
  <c r="C16" i="67"/>
  <c r="F40" i="81"/>
  <c r="F6" i="81"/>
  <c r="M8" i="81"/>
  <c r="C76" i="79"/>
  <c r="F37" i="79"/>
  <c r="M6" i="79"/>
  <c r="F26" i="81"/>
  <c r="F42" i="81"/>
  <c r="F8" i="81"/>
  <c r="F7" i="81"/>
  <c r="L48" i="79"/>
  <c r="M27" i="79"/>
  <c r="F38" i="79"/>
  <c r="F38" i="81"/>
  <c r="F13" i="81"/>
  <c r="L48" i="81"/>
  <c r="M29" i="81"/>
  <c r="F9" i="79"/>
  <c r="M8" i="79"/>
  <c r="F36" i="79"/>
  <c r="F26" i="79"/>
  <c r="M27" i="81"/>
  <c r="F36" i="81"/>
  <c r="F42" i="79"/>
  <c r="F16" i="79"/>
  <c r="J15" i="81"/>
  <c r="M24" i="81"/>
  <c r="F40" i="79"/>
  <c r="J15" i="79"/>
  <c r="F9" i="81"/>
  <c r="M23" i="81"/>
  <c r="M26" i="81"/>
  <c r="M26" i="79"/>
  <c r="M29" i="79"/>
  <c r="L47" i="81"/>
  <c r="M6" i="81"/>
  <c r="M22" i="81"/>
  <c r="L47" i="79"/>
  <c r="F8" i="79"/>
  <c r="F7" i="79"/>
  <c r="C76" i="81"/>
  <c r="M22" i="79"/>
  <c r="F43" i="79"/>
  <c r="F16" i="81"/>
  <c r="F13" i="79"/>
  <c r="AE10" i="1"/>
  <c r="M28" i="79"/>
  <c r="M9" i="79"/>
  <c r="F71" i="79" l="1"/>
  <c r="F64" i="79"/>
  <c r="F65" i="79"/>
  <c r="Q71" i="79"/>
  <c r="Q71" i="81"/>
  <c r="L57" i="81"/>
  <c r="L56" i="81"/>
  <c r="L60" i="81"/>
  <c r="J53" i="81"/>
  <c r="I54" i="81"/>
  <c r="J57" i="81"/>
  <c r="J55" i="81" s="1"/>
  <c r="J58" i="81" s="1"/>
  <c r="Q50" i="81" s="1"/>
  <c r="C6" i="81"/>
  <c r="F64" i="81"/>
  <c r="F68" i="81"/>
  <c r="F66" i="81"/>
  <c r="M7" i="79"/>
  <c r="J6" i="79" s="1"/>
  <c r="F50" i="79"/>
  <c r="F66" i="79"/>
  <c r="C6" i="79"/>
  <c r="C27" i="79"/>
  <c r="F51" i="79"/>
  <c r="L57" i="79"/>
  <c r="L56" i="79"/>
  <c r="L60" i="79"/>
  <c r="I54" i="79"/>
  <c r="J57" i="79"/>
  <c r="J55" i="79" s="1"/>
  <c r="J58" i="79" s="1"/>
  <c r="Q50" i="79" s="1"/>
  <c r="J53" i="79"/>
  <c r="F68" i="79"/>
  <c r="M59" i="79"/>
  <c r="L58" i="79"/>
  <c r="N59" i="79"/>
  <c r="L59" i="79"/>
  <c r="F50" i="81"/>
  <c r="M7" i="81"/>
  <c r="J6" i="81" s="1"/>
  <c r="F71" i="81"/>
  <c r="F51" i="81"/>
  <c r="F65" i="81"/>
  <c r="N59" i="81"/>
  <c r="L58" i="81"/>
  <c r="L59" i="81"/>
  <c r="M59" i="81"/>
  <c r="C27" i="81"/>
  <c r="T48" i="33"/>
  <c r="G48" i="33" s="1"/>
  <c r="N50" i="71"/>
  <c r="N51" i="71"/>
  <c r="J10" i="79"/>
  <c r="J5" i="79" s="1"/>
  <c r="J10" i="81"/>
  <c r="J5" i="81" s="1"/>
  <c r="J26" i="81" s="1"/>
  <c r="H65" i="40"/>
  <c r="I63" i="40"/>
  <c r="AY475" i="3"/>
  <c r="AY353" i="3"/>
  <c r="AY295" i="3"/>
  <c r="AY56" i="3"/>
  <c r="AY360" i="3"/>
  <c r="AY294" i="3"/>
  <c r="AY28" i="3"/>
  <c r="AY342" i="3"/>
  <c r="AY58" i="3"/>
  <c r="AY389" i="3"/>
  <c r="AY239" i="3"/>
  <c r="AY126" i="3"/>
  <c r="AY53" i="3"/>
  <c r="AY300" i="3"/>
  <c r="F24" i="79"/>
  <c r="F24" i="81"/>
  <c r="C53" i="81"/>
  <c r="C10" i="81"/>
  <c r="C5" i="81" s="1"/>
  <c r="G52" i="33"/>
  <c r="H52" i="33" s="1"/>
  <c r="G53" i="33"/>
  <c r="H53" i="33" s="1"/>
  <c r="R49" i="33"/>
  <c r="C49" i="33" s="1"/>
  <c r="B2" i="33" s="1"/>
  <c r="D12" i="6"/>
  <c r="AY555" i="3"/>
  <c r="AY87" i="3"/>
  <c r="AY144" i="3"/>
  <c r="AY152" i="3"/>
  <c r="AY253" i="3"/>
  <c r="AY303" i="3"/>
  <c r="AY529" i="3"/>
  <c r="AY217" i="3"/>
  <c r="AY463" i="3"/>
  <c r="AY544" i="3"/>
  <c r="AY92" i="3"/>
  <c r="AY68" i="3"/>
  <c r="AY25" i="3"/>
  <c r="AY178" i="3"/>
  <c r="AY157" i="3"/>
  <c r="AY134" i="3"/>
  <c r="AY291" i="3"/>
  <c r="AY286" i="3"/>
  <c r="AY255" i="3"/>
  <c r="AY270" i="3"/>
  <c r="AY238" i="3"/>
  <c r="AY227" i="3"/>
  <c r="AY384" i="3"/>
  <c r="AY373" i="3"/>
  <c r="AY83" i="3"/>
  <c r="AY155" i="3"/>
  <c r="AY131" i="3"/>
  <c r="AY268" i="3"/>
  <c r="AY318" i="3"/>
  <c r="AY106" i="3"/>
  <c r="AY395" i="3"/>
  <c r="AY452" i="3"/>
  <c r="AY569" i="3"/>
  <c r="AY77" i="3"/>
  <c r="AY60" i="3"/>
  <c r="AY206" i="3"/>
  <c r="AY170" i="3"/>
  <c r="AY149" i="3"/>
  <c r="AY299" i="3"/>
  <c r="AY263" i="3"/>
  <c r="AY246" i="3"/>
  <c r="AY392"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485" i="3"/>
  <c r="AY315" i="3"/>
  <c r="AY359" i="3"/>
  <c r="AY394" i="3"/>
  <c r="AY248" i="3"/>
  <c r="AY301" i="3"/>
  <c r="AY172" i="3"/>
  <c r="AY62" i="3"/>
  <c r="AY493" i="3"/>
  <c r="AY545" i="3"/>
  <c r="AY515" i="3"/>
  <c r="AY538" i="3"/>
  <c r="AY415" i="3"/>
  <c r="AY434" i="3"/>
  <c r="AY476" i="3"/>
  <c r="AY320" i="3"/>
  <c r="AY337" i="3"/>
  <c r="AY396" i="3"/>
  <c r="AY267" i="3"/>
  <c r="AY153" i="3"/>
  <c r="AY21" i="3"/>
  <c r="AY81" i="3"/>
  <c r="AY496" i="3"/>
  <c r="AY543" i="3"/>
  <c r="AY520" i="3"/>
  <c r="AY572" i="3"/>
  <c r="AY503" i="3"/>
  <c r="AY406" i="3"/>
  <c r="AY449" i="3"/>
  <c r="AY483" i="3"/>
  <c r="AY309" i="3"/>
  <c r="AY370" i="3"/>
  <c r="AY258" i="3"/>
  <c r="AY121" i="3"/>
  <c r="AY181" i="3"/>
  <c r="AY72" i="3"/>
  <c r="BB6" i="3"/>
  <c r="AY368" i="3"/>
  <c r="AY230" i="3"/>
  <c r="AY283" i="3"/>
  <c r="AY154" i="3"/>
  <c r="AY44" i="3"/>
  <c r="AY541" i="3"/>
  <c r="AY358" i="3"/>
  <c r="AY470" i="3"/>
  <c r="AY276" i="3"/>
  <c r="AY66"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64" i="3"/>
  <c r="AY234" i="3"/>
  <c r="AY287" i="3"/>
  <c r="AY158" i="3"/>
  <c r="AY48" i="3"/>
  <c r="AY101" i="3"/>
  <c r="AY494" i="3"/>
  <c r="BG6" i="3"/>
  <c r="AY571" i="3"/>
  <c r="AY585" i="3"/>
  <c r="AY411" i="3"/>
  <c r="AY430" i="3"/>
  <c r="AY472" i="3"/>
  <c r="AY316" i="3"/>
  <c r="AY333" i="3"/>
  <c r="AY388" i="3"/>
  <c r="AY259" i="3"/>
  <c r="AY145" i="3"/>
  <c r="AY202" i="3"/>
  <c r="AY73" i="3"/>
  <c r="BH6" i="3"/>
  <c r="AY381" i="3"/>
  <c r="AY231" i="3"/>
  <c r="AY118" i="3"/>
  <c r="AY201" i="3"/>
  <c r="AY45" i="3"/>
  <c r="AY513" i="3"/>
  <c r="AY245" i="3"/>
  <c r="AY371" i="3"/>
  <c r="AY59" i="3"/>
  <c r="AY365" i="3"/>
  <c r="AY211" i="3"/>
  <c r="AY254" i="3"/>
  <c r="AY271" i="3"/>
  <c r="AY117" i="3"/>
  <c r="AY146" i="3"/>
  <c r="AY36" i="3"/>
  <c r="BE6" i="3"/>
  <c r="AY327" i="3"/>
  <c r="AY460" i="3"/>
  <c r="AY111" i="3"/>
  <c r="AY34" i="3"/>
  <c r="AY261" i="3"/>
  <c r="AY343" i="3"/>
  <c r="AY141" i="3"/>
  <c r="AY173" i="3"/>
  <c r="AY162" i="3"/>
  <c r="AY193" i="3"/>
  <c r="AY198" i="3"/>
  <c r="AY20" i="3"/>
  <c r="AY52" i="3"/>
  <c r="AY84" i="3"/>
  <c r="AY69" i="3"/>
  <c r="AY97" i="3"/>
  <c r="AY533" i="3"/>
  <c r="AY549" i="3"/>
  <c r="AY420" i="3"/>
  <c r="AY310" i="3"/>
  <c r="AY372" i="3"/>
  <c r="AY260" i="3"/>
  <c r="AY26" i="3"/>
  <c r="AY441" i="3"/>
  <c r="AY473" i="3"/>
  <c r="AY366" i="3"/>
  <c r="AY236" i="3"/>
  <c r="AY168" i="3"/>
  <c r="AY281" i="3"/>
  <c r="AY42" i="3"/>
  <c r="AY124" i="3"/>
  <c r="AY207" i="3"/>
  <c r="AY51" i="3"/>
  <c r="AY50" i="3"/>
  <c r="AY455" i="3"/>
  <c r="AY171" i="3"/>
  <c r="AY289" i="3"/>
  <c r="AY209" i="3"/>
  <c r="AY116" i="3"/>
  <c r="AY557" i="3"/>
  <c r="AY526" i="3"/>
  <c r="AY160" i="3"/>
  <c r="AY183" i="3"/>
  <c r="AY284" i="3"/>
  <c r="AY319" i="3"/>
  <c r="AY497" i="3"/>
  <c r="AY212" i="3"/>
  <c r="AY478" i="3"/>
  <c r="AY105" i="3"/>
  <c r="AY237" i="3"/>
  <c r="AY447" i="3"/>
  <c r="AY67" i="3"/>
  <c r="AY196" i="3"/>
  <c r="AY139" i="3"/>
  <c r="AY74" i="3"/>
  <c r="AY123" i="3"/>
  <c r="AY204" i="3"/>
  <c r="AY252" i="3"/>
  <c r="AY363" i="3"/>
  <c r="AY489" i="3"/>
  <c r="AY412" i="3"/>
  <c r="AY43" i="3"/>
  <c r="AY229" i="3"/>
  <c r="AY379" i="3"/>
  <c r="AY326" i="3"/>
  <c r="AY436" i="3"/>
  <c r="AY540" i="3"/>
  <c r="AY98" i="3"/>
  <c r="AY163" i="3"/>
  <c r="AY334" i="3"/>
  <c r="AY390" i="3"/>
  <c r="AY574" i="3"/>
  <c r="C10" i="79"/>
  <c r="C5" i="79" s="1"/>
  <c r="C53" i="79"/>
  <c r="C24" i="79"/>
  <c r="J24" i="79"/>
  <c r="J18" i="79"/>
  <c r="J26" i="79"/>
  <c r="E48" i="33"/>
  <c r="I53" i="33" s="1"/>
  <c r="J53" i="33" s="1"/>
  <c r="C48" i="33"/>
  <c r="E6" i="6"/>
  <c r="D10" i="68" s="1"/>
  <c r="D37" i="11"/>
  <c r="C37" i="11" s="1"/>
  <c r="AY417" i="3"/>
  <c r="AY573" i="3"/>
  <c r="AY539" i="3"/>
  <c r="AY100" i="3"/>
  <c r="AY18" i="3"/>
  <c r="AY90" i="3"/>
  <c r="AY75" i="3"/>
  <c r="AY387" i="3"/>
  <c r="AY444" i="3"/>
  <c r="AY269" i="3"/>
  <c r="AY311" i="3"/>
  <c r="AY535" i="3"/>
  <c r="D13" i="6"/>
  <c r="D3" i="37"/>
  <c r="C17" i="4"/>
  <c r="B4" i="52" s="1"/>
  <c r="B43" i="72" s="1"/>
  <c r="D3" i="21"/>
  <c r="D14" i="12"/>
  <c r="C14" i="12" s="1"/>
  <c r="D19" i="11"/>
  <c r="C19" i="11" s="1"/>
  <c r="AY103" i="3"/>
  <c r="AY191" i="3"/>
  <c r="AY31" i="3"/>
  <c r="AY147" i="3"/>
  <c r="AY350" i="3"/>
  <c r="AY425" i="3"/>
  <c r="AY244" i="3"/>
  <c r="AY481" i="3"/>
  <c r="AY562" i="3"/>
  <c r="AY89" i="3"/>
  <c r="AY82" i="3"/>
  <c r="AY132" i="3"/>
  <c r="AY292" i="3"/>
  <c r="AY220" i="3"/>
  <c r="AY486" i="3"/>
  <c r="AY199" i="3"/>
  <c r="AY355" i="3"/>
  <c r="AY404" i="3"/>
  <c r="BO6" i="3"/>
  <c r="C7" i="74"/>
  <c r="AC10" i="40"/>
  <c r="U10" i="39"/>
  <c r="K24" i="6"/>
  <c r="M24" i="6" s="1"/>
  <c r="I24" i="6" s="1"/>
  <c r="S24" i="6" s="1"/>
  <c r="K22" i="6"/>
  <c r="E31" i="6"/>
  <c r="K19" i="6"/>
  <c r="S6" i="1" s="1"/>
  <c r="K20" i="6"/>
  <c r="K21" i="6"/>
  <c r="K23" i="6"/>
  <c r="K26" i="6"/>
  <c r="M26" i="6" s="1"/>
  <c r="I26" i="6" s="1"/>
  <c r="S26" i="6" s="1"/>
  <c r="K25" i="6"/>
  <c r="M25" i="6" s="1"/>
  <c r="I25" i="6" s="1"/>
  <c r="S25" i="6" s="1"/>
  <c r="D19" i="6"/>
  <c r="D26" i="6"/>
  <c r="C18" i="4"/>
  <c r="D8" i="6"/>
  <c r="D23" i="6"/>
  <c r="D20" i="6"/>
  <c r="D5" i="6"/>
  <c r="D11" i="6"/>
  <c r="D28" i="6"/>
  <c r="E61" i="40"/>
  <c r="M19" i="9"/>
  <c r="C118" i="9" s="1"/>
  <c r="C14" i="74" s="1"/>
  <c r="B2" i="74" s="1"/>
  <c r="D25" i="6"/>
  <c r="D15" i="6"/>
  <c r="D22" i="6"/>
  <c r="D21" i="6"/>
  <c r="D24" i="6"/>
  <c r="D9" i="6"/>
  <c r="D29" i="6"/>
  <c r="D14" i="6"/>
  <c r="D10" i="6"/>
  <c r="U10" i="40"/>
  <c r="AC10" i="39"/>
  <c r="C115" i="43"/>
  <c r="D113" i="43"/>
  <c r="AA10" i="39"/>
  <c r="F50" i="11"/>
  <c r="F50" i="68"/>
  <c r="F50" i="69"/>
  <c r="C35" i="11"/>
  <c r="C38" i="11"/>
  <c r="C15" i="12"/>
  <c r="C12" i="12"/>
  <c r="G42" i="35"/>
  <c r="H42" i="35" s="1"/>
  <c r="G43" i="35"/>
  <c r="H43" i="35" s="1"/>
  <c r="I42" i="35"/>
  <c r="J42" i="35" s="1"/>
  <c r="E36" i="36"/>
  <c r="R37" i="36"/>
  <c r="G46" i="37"/>
  <c r="H46" i="37" s="1"/>
  <c r="G47" i="37"/>
  <c r="H47" i="37" s="1"/>
  <c r="AB7" i="36"/>
  <c r="T36" i="36" s="1"/>
  <c r="G36" i="36" s="1"/>
  <c r="U7" i="36"/>
  <c r="I46" i="37"/>
  <c r="J46" i="37" s="1"/>
  <c r="E42" i="37"/>
  <c r="R43" i="37"/>
  <c r="E38" i="35"/>
  <c r="R39" i="35"/>
  <c r="H59" i="34"/>
  <c r="I59" i="34" s="1"/>
  <c r="J59" i="34" s="1"/>
  <c r="K59" i="34" s="1"/>
  <c r="L59" i="34" s="1"/>
  <c r="M59" i="34" s="1"/>
  <c r="N59" i="34" s="1"/>
  <c r="O59" i="34" s="1"/>
  <c r="F7" i="34"/>
  <c r="AC7" i="36"/>
  <c r="V36" i="36" s="1"/>
  <c r="I36" i="36" s="1"/>
  <c r="W7" i="36"/>
  <c r="F58" i="21"/>
  <c r="G58" i="21" s="1"/>
  <c r="H58" i="21" s="1"/>
  <c r="I58" i="21" s="1"/>
  <c r="J58" i="21" s="1"/>
  <c r="K58" i="21" s="1"/>
  <c r="L58" i="21" s="1"/>
  <c r="M58" i="21" s="1"/>
  <c r="N58" i="21" s="1"/>
  <c r="O58" i="21" s="1"/>
  <c r="F7" i="21"/>
  <c r="F68" i="39"/>
  <c r="E70" i="39"/>
  <c r="D5"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C17" i="81"/>
  <c r="C16" i="79"/>
  <c r="C16" i="81"/>
  <c r="C19" i="80"/>
  <c r="J24" i="81" l="1"/>
  <c r="J18" i="81"/>
  <c r="F69" i="15"/>
  <c r="J29" i="15"/>
  <c r="Q61" i="81"/>
  <c r="Q74" i="81"/>
  <c r="C49" i="81"/>
  <c r="Q52" i="79"/>
  <c r="F1" i="79"/>
  <c r="C49" i="79"/>
  <c r="F1" i="81"/>
  <c r="Q52" i="81"/>
  <c r="J7" i="34"/>
  <c r="C48" i="79"/>
  <c r="C66" i="79" s="1"/>
  <c r="C48" i="81"/>
  <c r="C66" i="81" s="1"/>
  <c r="J63" i="40"/>
  <c r="I65" i="40"/>
  <c r="Q60" i="81"/>
  <c r="Q73" i="81"/>
  <c r="Q74" i="79"/>
  <c r="Q61" i="79"/>
  <c r="Q73" i="79"/>
  <c r="Q60" i="79"/>
  <c r="Q57" i="79"/>
  <c r="Q66" i="79"/>
  <c r="Q66" i="81"/>
  <c r="Q57" i="81"/>
  <c r="M19" i="82"/>
  <c r="C118" i="82" s="1"/>
  <c r="E6" i="70"/>
  <c r="C38" i="81"/>
  <c r="C33" i="81"/>
  <c r="C32" i="81"/>
  <c r="C24" i="81"/>
  <c r="M19" i="80"/>
  <c r="C118" i="80" s="1"/>
  <c r="C102" i="80"/>
  <c r="E52" i="33"/>
  <c r="F52" i="33" s="1"/>
  <c r="B3" i="33"/>
  <c r="C33" i="79"/>
  <c r="C32" i="79"/>
  <c r="C38" i="79"/>
  <c r="C60" i="79"/>
  <c r="E53" i="33"/>
  <c r="F53" i="33" s="1"/>
  <c r="D10" i="69"/>
  <c r="C10" i="69" s="1"/>
  <c r="C8" i="69" s="1"/>
  <c r="C5" i="69" s="1"/>
  <c r="C23" i="69" s="1"/>
  <c r="D20" i="12"/>
  <c r="C20" i="12" s="1"/>
  <c r="C18" i="12" s="1"/>
  <c r="D6" i="6"/>
  <c r="D10" i="11"/>
  <c r="C10" i="11" s="1"/>
  <c r="D17" i="12"/>
  <c r="C17" i="12" s="1"/>
  <c r="C20" i="11"/>
  <c r="C28" i="11" s="1"/>
  <c r="C27" i="11" s="1"/>
  <c r="M21" i="6"/>
  <c r="I21" i="6" s="1"/>
  <c r="S8" i="1"/>
  <c r="AQ6" i="1"/>
  <c r="T6" i="1"/>
  <c r="AR6" i="1"/>
  <c r="M22" i="6"/>
  <c r="I22" i="6" s="1"/>
  <c r="S9" i="1"/>
  <c r="H26" i="6"/>
  <c r="R26" i="6" s="1"/>
  <c r="M23" i="6"/>
  <c r="I23" i="6" s="1"/>
  <c r="L18" i="80" s="1"/>
  <c r="S10" i="1"/>
  <c r="M20" i="6"/>
  <c r="I20" i="6" s="1"/>
  <c r="S20" i="6" s="1"/>
  <c r="S7" i="1"/>
  <c r="H24" i="6"/>
  <c r="R24" i="6" s="1"/>
  <c r="C10" i="68"/>
  <c r="D19" i="68"/>
  <c r="D16" i="6"/>
  <c r="C16" i="12"/>
  <c r="H25" i="6"/>
  <c r="R25" i="6" s="1"/>
  <c r="D8" i="74"/>
  <c r="D7" i="74"/>
  <c r="D30" i="6"/>
  <c r="C4" i="52"/>
  <c r="B45" i="72" s="1"/>
  <c r="A10" i="51"/>
  <c r="B9" i="72" s="1"/>
  <c r="A7" i="51"/>
  <c r="B7" i="72" s="1"/>
  <c r="D27" i="6"/>
  <c r="D31" i="6" s="1"/>
  <c r="I6" i="6" s="1"/>
  <c r="K27" i="6"/>
  <c r="M19" i="6"/>
  <c r="C33" i="11"/>
  <c r="C39" i="11" s="1"/>
  <c r="S7" i="21"/>
  <c r="AA7" i="21"/>
  <c r="R48" i="21" s="1"/>
  <c r="G68" i="39"/>
  <c r="F70" i="39"/>
  <c r="J7" i="21"/>
  <c r="S7" i="34"/>
  <c r="AA7" i="34"/>
  <c r="R49" i="34" s="1"/>
  <c r="E42" i="35"/>
  <c r="F42" i="35" s="1"/>
  <c r="E43" i="35"/>
  <c r="F43" i="35" s="1"/>
  <c r="E46" i="37"/>
  <c r="F46" i="37" s="1"/>
  <c r="E47" i="37"/>
  <c r="F47" i="37" s="1"/>
  <c r="I47" i="37"/>
  <c r="J47" i="37" s="1"/>
  <c r="C36" i="36"/>
  <c r="C37" i="36"/>
  <c r="B2" i="36" s="1"/>
  <c r="B3" i="36" s="1"/>
  <c r="I43" i="35"/>
  <c r="J43" i="35" s="1"/>
  <c r="H7" i="21"/>
  <c r="I41" i="36"/>
  <c r="J41" i="36" s="1"/>
  <c r="I40" i="36"/>
  <c r="J40" i="36" s="1"/>
  <c r="AC7" i="34"/>
  <c r="V49" i="34" s="1"/>
  <c r="I49" i="34" s="1"/>
  <c r="W7" i="34"/>
  <c r="C38" i="35"/>
  <c r="C39" i="35"/>
  <c r="B2" i="35" s="1"/>
  <c r="C42" i="37"/>
  <c r="C43" i="37"/>
  <c r="B2" i="37" s="1"/>
  <c r="B3" i="37" s="1"/>
  <c r="G40" i="36"/>
  <c r="H40" i="36" s="1"/>
  <c r="G41" i="36"/>
  <c r="H41" i="36" s="1"/>
  <c r="E40" i="36"/>
  <c r="F40" i="36" s="1"/>
  <c r="E41" i="36"/>
  <c r="F41" i="36" s="1"/>
  <c r="H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AE8" i="1"/>
  <c r="AE6" i="1"/>
  <c r="C17" i="79"/>
  <c r="C17" i="15"/>
  <c r="C19" i="9"/>
  <c r="C14" i="81"/>
  <c r="C20" i="80"/>
  <c r="C60" i="81" l="1"/>
  <c r="J65" i="40"/>
  <c r="K63" i="40"/>
  <c r="C15" i="81"/>
  <c r="C18" i="81"/>
  <c r="C25" i="11"/>
  <c r="C22" i="11" s="1"/>
  <c r="C31" i="11" s="1"/>
  <c r="E8" i="70"/>
  <c r="C103" i="80"/>
  <c r="D19" i="69"/>
  <c r="D37" i="69" s="1"/>
  <c r="C37" i="69" s="1"/>
  <c r="C33" i="69" s="1"/>
  <c r="E10" i="70"/>
  <c r="S23" i="6"/>
  <c r="L18" i="9"/>
  <c r="C102" i="9"/>
  <c r="B3" i="35"/>
  <c r="C21" i="12"/>
  <c r="C22" i="12" s="1"/>
  <c r="C30" i="12" s="1"/>
  <c r="C28" i="12" s="1"/>
  <c r="H20" i="6"/>
  <c r="R20" i="6" s="1"/>
  <c r="R7" i="1" s="1"/>
  <c r="H23" i="6"/>
  <c r="S16" i="1"/>
  <c r="AR9" i="1"/>
  <c r="AQ9" i="1"/>
  <c r="T9" i="1"/>
  <c r="AQ8" i="1"/>
  <c r="AR8" i="1"/>
  <c r="T8" i="1"/>
  <c r="AQ7" i="1"/>
  <c r="T7" i="1"/>
  <c r="AR7" i="1"/>
  <c r="T10" i="1"/>
  <c r="AR10" i="1"/>
  <c r="AQ10" i="1"/>
  <c r="S22" i="6"/>
  <c r="H22" i="6"/>
  <c r="R22" i="6" s="1"/>
  <c r="R9" i="1" s="1"/>
  <c r="S21" i="6"/>
  <c r="H21" i="6"/>
  <c r="R21" i="6" s="1"/>
  <c r="R8" i="1" s="1"/>
  <c r="C19" i="68"/>
  <c r="D37" i="68"/>
  <c r="C37" i="68" s="1"/>
  <c r="C33" i="68" s="1"/>
  <c r="C42" i="11"/>
  <c r="I5" i="6"/>
  <c r="I19" i="6"/>
  <c r="L18" i="82" s="1"/>
  <c r="M27" i="6"/>
  <c r="C46" i="11"/>
  <c r="C45" i="11" s="1"/>
  <c r="C43" i="11"/>
  <c r="U7" i="34"/>
  <c r="AB7" i="34"/>
  <c r="T49" i="34" s="1"/>
  <c r="G49" i="34" s="1"/>
  <c r="I53" i="34"/>
  <c r="J53" i="34" s="1"/>
  <c r="AB7" i="21"/>
  <c r="T48" i="21" s="1"/>
  <c r="G48" i="21" s="1"/>
  <c r="U7" i="21"/>
  <c r="E48" i="21"/>
  <c r="R49" i="21"/>
  <c r="E49" i="34"/>
  <c r="AC7" i="21"/>
  <c r="V48" i="21" s="1"/>
  <c r="I48" i="21" s="1"/>
  <c r="W7" i="2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3" i="67"/>
  <c r="C31" i="67" s="1"/>
  <c r="J14" i="67"/>
  <c r="C57" i="67"/>
  <c r="C13" i="67"/>
  <c r="J19" i="67"/>
  <c r="J17" i="67" s="1"/>
  <c r="Q49" i="67"/>
  <c r="C36" i="67"/>
  <c r="J59" i="67"/>
  <c r="J60" i="67" s="1"/>
  <c r="C14" i="79"/>
  <c r="C20" i="9"/>
  <c r="F41" i="79"/>
  <c r="F41" i="81"/>
  <c r="C14" i="15"/>
  <c r="F69" i="81" l="1"/>
  <c r="J29" i="81"/>
  <c r="F69" i="79"/>
  <c r="J29" i="79"/>
  <c r="L63" i="40"/>
  <c r="K65" i="40"/>
  <c r="C19" i="81"/>
  <c r="C20" i="81" s="1"/>
  <c r="C26" i="81" s="1"/>
  <c r="L19" i="80"/>
  <c r="C21" i="80" s="1"/>
  <c r="R50" i="34"/>
  <c r="C50" i="34" s="1"/>
  <c r="B2" i="34" s="1"/>
  <c r="E2" i="70"/>
  <c r="C15" i="79"/>
  <c r="C18" i="79"/>
  <c r="C19" i="69"/>
  <c r="C24" i="69" s="1"/>
  <c r="C27" i="12"/>
  <c r="C25" i="12" s="1"/>
  <c r="C32" i="12" s="1"/>
  <c r="B2" i="12" s="1"/>
  <c r="B3" i="12" s="1"/>
  <c r="C18" i="15"/>
  <c r="C15" i="15"/>
  <c r="R23" i="6"/>
  <c r="R10" i="1" s="1"/>
  <c r="L19" i="9"/>
  <c r="C21" i="9" s="1"/>
  <c r="C103" i="9"/>
  <c r="C41" i="11"/>
  <c r="C49" i="11" s="1"/>
  <c r="C51" i="11" s="1"/>
  <c r="C52" i="11" s="1"/>
  <c r="B2" i="11" s="1"/>
  <c r="B3" i="11" s="1"/>
  <c r="T16" i="1"/>
  <c r="C39" i="69"/>
  <c r="C42" i="69"/>
  <c r="C39" i="68"/>
  <c r="C43" i="68" s="1"/>
  <c r="C42" i="68"/>
  <c r="C20" i="68"/>
  <c r="C25" i="68" s="1"/>
  <c r="C24" i="68"/>
  <c r="I27" i="6"/>
  <c r="S19" i="6"/>
  <c r="S27" i="6" s="1"/>
  <c r="H19" i="6"/>
  <c r="L19" i="82" s="1"/>
  <c r="E54" i="34"/>
  <c r="F54" i="34" s="1"/>
  <c r="E53" i="34"/>
  <c r="F53" i="34" s="1"/>
  <c r="C48" i="21"/>
  <c r="C49" i="21"/>
  <c r="B2" i="21" s="1"/>
  <c r="B3" i="21" s="1"/>
  <c r="I54" i="34"/>
  <c r="J54" i="34" s="1"/>
  <c r="I68" i="39"/>
  <c r="H70" i="39"/>
  <c r="I53" i="21"/>
  <c r="J53" i="21" s="1"/>
  <c r="I52" i="21"/>
  <c r="J52" i="21" s="1"/>
  <c r="E53" i="21"/>
  <c r="F53" i="21" s="1"/>
  <c r="E52" i="21"/>
  <c r="F52" i="21" s="1"/>
  <c r="G52" i="21"/>
  <c r="H52" i="21" s="1"/>
  <c r="G53" i="21"/>
  <c r="H53" i="21" s="1"/>
  <c r="G53" i="34"/>
  <c r="H53" i="34" s="1"/>
  <c r="G54" i="34"/>
  <c r="H54" i="34" s="1"/>
  <c r="C26" i="43"/>
  <c r="B2" i="43" s="1"/>
  <c r="C27" i="43"/>
  <c r="Q48" i="67"/>
  <c r="L46" i="67"/>
  <c r="C75" i="67"/>
  <c r="C37" i="67"/>
  <c r="C30" i="67" s="1"/>
  <c r="C39" i="67" s="1"/>
  <c r="Q70" i="67"/>
  <c r="C56" i="67"/>
  <c r="C65" i="67" s="1"/>
  <c r="J13" i="67"/>
  <c r="J23" i="67" s="1"/>
  <c r="J22" i="67"/>
  <c r="C61" i="67"/>
  <c r="C59" i="67" s="1"/>
  <c r="C64" i="67"/>
  <c r="F35" i="79"/>
  <c r="F35" i="15"/>
  <c r="E6" i="76"/>
  <c r="B6" i="76"/>
  <c r="M21" i="79"/>
  <c r="M21" i="15"/>
  <c r="C19" i="82"/>
  <c r="M63" i="40" l="1"/>
  <c r="L65" i="40"/>
  <c r="C23" i="81"/>
  <c r="C29" i="81" s="1"/>
  <c r="C21" i="82"/>
  <c r="C102" i="82"/>
  <c r="B3" i="34"/>
  <c r="C49" i="34"/>
  <c r="C19" i="79"/>
  <c r="C20" i="79" s="1"/>
  <c r="C26" i="79" s="1"/>
  <c r="C20" i="69"/>
  <c r="C25" i="69" s="1"/>
  <c r="C22" i="69" s="1"/>
  <c r="J20" i="79"/>
  <c r="F63" i="79"/>
  <c r="C62" i="79" s="1"/>
  <c r="C34" i="79"/>
  <c r="C31" i="79" s="1"/>
  <c r="C19" i="15"/>
  <c r="C20" i="15" s="1"/>
  <c r="C26" i="15" s="1"/>
  <c r="J20" i="15"/>
  <c r="F63" i="15"/>
  <c r="C62" i="15" s="1"/>
  <c r="C34" i="15"/>
  <c r="C31" i="15" s="1"/>
  <c r="C22" i="68"/>
  <c r="C41" i="68"/>
  <c r="C28" i="68"/>
  <c r="C27" i="68" s="1"/>
  <c r="C46" i="68"/>
  <c r="C45" i="68" s="1"/>
  <c r="C56" i="11"/>
  <c r="C57" i="11" s="1"/>
  <c r="C46" i="69"/>
  <c r="C45" i="69" s="1"/>
  <c r="C43" i="69"/>
  <c r="C41" i="69" s="1"/>
  <c r="H27" i="6"/>
  <c r="R19" i="6"/>
  <c r="J68" i="39"/>
  <c r="I70" i="39"/>
  <c r="E2" i="76"/>
  <c r="B2" i="76"/>
  <c r="B3" i="43"/>
  <c r="J16" i="67"/>
  <c r="J25" i="67" s="1"/>
  <c r="C40" i="67"/>
  <c r="Q69" i="67"/>
  <c r="Q68" i="67" s="1"/>
  <c r="C58" i="67"/>
  <c r="C67" i="67" s="1"/>
  <c r="C68" i="67" s="1"/>
  <c r="C80" i="67"/>
  <c r="C79" i="67" s="1"/>
  <c r="L51" i="67"/>
  <c r="C20" i="82"/>
  <c r="M65" i="40" l="1"/>
  <c r="N63" i="40"/>
  <c r="C103" i="82"/>
  <c r="C57" i="81"/>
  <c r="J19" i="81"/>
  <c r="C13" i="81"/>
  <c r="J59" i="81"/>
  <c r="J60" i="81" s="1"/>
  <c r="C36" i="81"/>
  <c r="J14" i="81"/>
  <c r="Q49" i="81"/>
  <c r="C23" i="79"/>
  <c r="C29" i="79" s="1"/>
  <c r="C28" i="69"/>
  <c r="C27" i="69" s="1"/>
  <c r="C31" i="69" s="1"/>
  <c r="C23" i="15"/>
  <c r="C29" i="15" s="1"/>
  <c r="Q49" i="15" s="1"/>
  <c r="C49" i="68"/>
  <c r="C51" i="68" s="1"/>
  <c r="C31" i="68"/>
  <c r="C49" i="69"/>
  <c r="C51" i="69" s="1"/>
  <c r="C52" i="69" s="1"/>
  <c r="B2" i="69" s="1"/>
  <c r="B3" i="69" s="1"/>
  <c r="R27" i="6"/>
  <c r="R6" i="1"/>
  <c r="K68" i="39"/>
  <c r="J70" i="39"/>
  <c r="B3" i="76"/>
  <c r="Q67" i="67"/>
  <c r="L57" i="67"/>
  <c r="L60" i="67" s="1"/>
  <c r="L57" i="15"/>
  <c r="L60" i="15" s="1"/>
  <c r="C71" i="67"/>
  <c r="C45" i="67"/>
  <c r="C46" i="67" s="1"/>
  <c r="Q56" i="67"/>
  <c r="Q47" i="67"/>
  <c r="Q53" i="67" s="1"/>
  <c r="Q65" i="67"/>
  <c r="C43" i="67"/>
  <c r="D2" i="67"/>
  <c r="C83" i="67"/>
  <c r="C82" i="67" s="1"/>
  <c r="F35" i="81"/>
  <c r="M21" i="81"/>
  <c r="N65" i="40" l="1"/>
  <c r="H7" i="40" s="1"/>
  <c r="O63" i="40"/>
  <c r="O65" i="40" s="1"/>
  <c r="F7" i="40"/>
  <c r="J7" i="40"/>
  <c r="J22" i="81"/>
  <c r="J13" i="81"/>
  <c r="J23" i="81" s="1"/>
  <c r="Q70" i="81"/>
  <c r="C56" i="81"/>
  <c r="C65" i="81" s="1"/>
  <c r="C75" i="81"/>
  <c r="C37" i="81"/>
  <c r="C61" i="81"/>
  <c r="C64" i="81"/>
  <c r="L46" i="81"/>
  <c r="Q48" i="81"/>
  <c r="C34" i="81"/>
  <c r="C31" i="81" s="1"/>
  <c r="F63" i="81"/>
  <c r="C62" i="81" s="1"/>
  <c r="J20" i="81"/>
  <c r="J17" i="81" s="1"/>
  <c r="R16" i="1"/>
  <c r="J19" i="79"/>
  <c r="J17" i="79" s="1"/>
  <c r="C57" i="79"/>
  <c r="J14" i="79"/>
  <c r="C13" i="79"/>
  <c r="Q49" i="79"/>
  <c r="J59" i="79"/>
  <c r="J60" i="79" s="1"/>
  <c r="C36" i="79"/>
  <c r="J59" i="15"/>
  <c r="J60" i="15" s="1"/>
  <c r="Q48" i="15" s="1"/>
  <c r="C13" i="15"/>
  <c r="C56" i="15" s="1"/>
  <c r="C65" i="15" s="1"/>
  <c r="C36" i="15"/>
  <c r="J19" i="15"/>
  <c r="J17" i="15" s="1"/>
  <c r="C57" i="15"/>
  <c r="C61" i="15" s="1"/>
  <c r="C59" i="15" s="1"/>
  <c r="J14" i="15"/>
  <c r="J13" i="15" s="1"/>
  <c r="J23" i="15" s="1"/>
  <c r="C52" i="68"/>
  <c r="B2" i="68" s="1"/>
  <c r="B3" i="68" s="1"/>
  <c r="C57" i="69"/>
  <c r="C56" i="69" s="1"/>
  <c r="U7" i="40"/>
  <c r="AB7" i="40"/>
  <c r="T42" i="40" s="1"/>
  <c r="G42" i="40" s="1"/>
  <c r="L68" i="39"/>
  <c r="K70" i="39"/>
  <c r="Q57" i="15"/>
  <c r="Q66" i="15"/>
  <c r="Q66" i="67"/>
  <c r="Q75" i="67" s="1"/>
  <c r="Q57" i="67"/>
  <c r="Q62" i="67" s="1"/>
  <c r="B2" i="67"/>
  <c r="B3" i="67"/>
  <c r="W7" i="40" l="1"/>
  <c r="AC7" i="40"/>
  <c r="V42" i="40" s="1"/>
  <c r="I42" i="40" s="1"/>
  <c r="I46" i="40" s="1"/>
  <c r="J46" i="40" s="1"/>
  <c r="S7" i="40"/>
  <c r="AA7" i="40"/>
  <c r="R42" i="40" s="1"/>
  <c r="J16" i="81"/>
  <c r="J25" i="81" s="1"/>
  <c r="C30" i="81"/>
  <c r="C39" i="81" s="1"/>
  <c r="Q69" i="81" s="1"/>
  <c r="Q68" i="81" s="1"/>
  <c r="C59" i="81"/>
  <c r="C58" i="81" s="1"/>
  <c r="C67" i="81" s="1"/>
  <c r="C68" i="81" s="1"/>
  <c r="C71" i="81" s="1"/>
  <c r="J13" i="79"/>
  <c r="J23" i="79" s="1"/>
  <c r="J22" i="79"/>
  <c r="Q48" i="79"/>
  <c r="L46" i="79"/>
  <c r="C75" i="79"/>
  <c r="C56" i="79"/>
  <c r="C65" i="79" s="1"/>
  <c r="Q70" i="79"/>
  <c r="C37" i="79"/>
  <c r="C30" i="79" s="1"/>
  <c r="C39" i="79" s="1"/>
  <c r="C61" i="79"/>
  <c r="C59" i="79" s="1"/>
  <c r="C64" i="79"/>
  <c r="C75" i="15"/>
  <c r="C64" i="15"/>
  <c r="C58" i="15" s="1"/>
  <c r="C67" i="15" s="1"/>
  <c r="C68" i="15" s="1"/>
  <c r="Q70" i="15"/>
  <c r="C37" i="15"/>
  <c r="C30" i="15" s="1"/>
  <c r="C39" i="15" s="1"/>
  <c r="C40" i="15" s="1"/>
  <c r="J22" i="15"/>
  <c r="J16" i="15" s="1"/>
  <c r="J25" i="15" s="1"/>
  <c r="L46" i="15"/>
  <c r="C57" i="68"/>
  <c r="C56" i="68" s="1"/>
  <c r="G46" i="40"/>
  <c r="H46" i="40" s="1"/>
  <c r="G47" i="40"/>
  <c r="H47" i="40" s="1"/>
  <c r="M68" i="39"/>
  <c r="L70" i="39"/>
  <c r="L51" i="81"/>
  <c r="L51" i="79"/>
  <c r="R43" i="40" l="1"/>
  <c r="E42" i="40"/>
  <c r="C80" i="81"/>
  <c r="C79" i="81" s="1"/>
  <c r="Q67" i="81"/>
  <c r="C40" i="81"/>
  <c r="C46" i="81" s="1"/>
  <c r="J16" i="79"/>
  <c r="J25" i="79" s="1"/>
  <c r="Q67" i="79"/>
  <c r="C40" i="79"/>
  <c r="Q69" i="79"/>
  <c r="Q68" i="79" s="1"/>
  <c r="C58" i="79"/>
  <c r="C67" i="79" s="1"/>
  <c r="C68" i="79" s="1"/>
  <c r="C80" i="79"/>
  <c r="C79" i="79" s="1"/>
  <c r="Q69" i="15"/>
  <c r="Q68" i="15" s="1"/>
  <c r="C80" i="15"/>
  <c r="C79" i="15" s="1"/>
  <c r="Q65" i="15"/>
  <c r="Q75" i="15" s="1"/>
  <c r="Q47" i="15"/>
  <c r="Q53" i="15" s="1"/>
  <c r="C43" i="15"/>
  <c r="Q56" i="15"/>
  <c r="Q62" i="15" s="1"/>
  <c r="B2" i="15"/>
  <c r="C83" i="15"/>
  <c r="C82" i="15" s="1"/>
  <c r="C46" i="15"/>
  <c r="C71" i="15"/>
  <c r="N68" i="39"/>
  <c r="M70" i="39"/>
  <c r="L51" i="15"/>
  <c r="D19" i="9"/>
  <c r="AO10" i="1"/>
  <c r="Q67" i="15" l="1"/>
  <c r="I47" i="40"/>
  <c r="J47" i="40" s="1"/>
  <c r="E46" i="40"/>
  <c r="F46" i="40" s="1"/>
  <c r="E47" i="40"/>
  <c r="F47" i="40" s="1"/>
  <c r="C43" i="40"/>
  <c r="C42" i="40"/>
  <c r="Q47" i="81"/>
  <c r="Q53" i="81" s="1"/>
  <c r="Q65" i="81"/>
  <c r="Q75" i="81" s="1"/>
  <c r="C43" i="81"/>
  <c r="B2" i="81"/>
  <c r="Q56" i="81"/>
  <c r="Q62" i="81" s="1"/>
  <c r="C83" i="81"/>
  <c r="C82" i="81" s="1"/>
  <c r="C71" i="79"/>
  <c r="C46" i="79"/>
  <c r="Q56" i="79"/>
  <c r="Q62" i="79" s="1"/>
  <c r="Q47" i="79"/>
  <c r="Q53" i="79" s="1"/>
  <c r="C83" i="79"/>
  <c r="C82" i="79" s="1"/>
  <c r="Q65" i="79"/>
  <c r="Q75" i="79" s="1"/>
  <c r="C43" i="79"/>
  <c r="B2" i="79"/>
  <c r="D22" i="9"/>
  <c r="D21" i="9"/>
  <c r="D102" i="9"/>
  <c r="G19" i="9"/>
  <c r="I19" i="9" s="1"/>
  <c r="B10" i="70"/>
  <c r="B3" i="15"/>
  <c r="O68" i="39"/>
  <c r="O70" i="39" s="1"/>
  <c r="N70" i="39"/>
  <c r="AO6" i="1"/>
  <c r="D20" i="9"/>
  <c r="D19" i="82"/>
  <c r="AO8" i="1"/>
  <c r="D19" i="80"/>
  <c r="B55" i="40" l="1"/>
  <c r="F55" i="40" s="1"/>
  <c r="B57" i="40"/>
  <c r="F57" i="40" s="1"/>
  <c r="B56" i="40"/>
  <c r="F56" i="40" s="1"/>
  <c r="B53" i="40"/>
  <c r="F53" i="40" s="1"/>
  <c r="B58" i="40"/>
  <c r="F58" i="40" s="1"/>
  <c r="B51" i="40"/>
  <c r="F51" i="40" s="1"/>
  <c r="B60" i="40"/>
  <c r="F60" i="40" s="1"/>
  <c r="B59" i="40"/>
  <c r="F59" i="40" s="1"/>
  <c r="F61" i="40"/>
  <c r="B2" i="40" s="1"/>
  <c r="B3" i="40" s="1"/>
  <c r="B54" i="40"/>
  <c r="F54" i="40" s="1"/>
  <c r="B52" i="40"/>
  <c r="F52" i="40" s="1"/>
  <c r="B6" i="70"/>
  <c r="B3" i="81"/>
  <c r="D102" i="82"/>
  <c r="D21" i="82"/>
  <c r="D22" i="82"/>
  <c r="G19" i="82"/>
  <c r="B8" i="70"/>
  <c r="D21" i="80"/>
  <c r="D22" i="80"/>
  <c r="D102" i="80"/>
  <c r="G19" i="80"/>
  <c r="C32" i="80" s="1"/>
  <c r="B3" i="79"/>
  <c r="B2" i="70"/>
  <c r="B3" i="70" s="1"/>
  <c r="D103" i="9"/>
  <c r="G20" i="9"/>
  <c r="G21" i="9"/>
  <c r="C32" i="9"/>
  <c r="H7" i="39"/>
  <c r="F7" i="39"/>
  <c r="J7" i="39"/>
  <c r="D20" i="82"/>
  <c r="D20" i="80"/>
  <c r="D103" i="82" l="1"/>
  <c r="G20" i="82"/>
  <c r="R24" i="83" s="1"/>
  <c r="G21" i="82"/>
  <c r="C32" i="82"/>
  <c r="G21" i="80"/>
  <c r="D103" i="80"/>
  <c r="G20" i="80"/>
  <c r="C35" i="80"/>
  <c r="F118" i="80" s="1"/>
  <c r="H118" i="80"/>
  <c r="C35" i="9"/>
  <c r="F118" i="9" s="1"/>
  <c r="H118" i="9"/>
  <c r="S7" i="39"/>
  <c r="AA7" i="39"/>
  <c r="R47" i="39" s="1"/>
  <c r="AC7" i="39"/>
  <c r="V47" i="39" s="1"/>
  <c r="I47" i="39" s="1"/>
  <c r="W7" i="39"/>
  <c r="AB7" i="39"/>
  <c r="T47" i="39" s="1"/>
  <c r="G47" i="39" s="1"/>
  <c r="U7" i="39"/>
  <c r="R24" i="31" l="1"/>
  <c r="S24" i="31" s="1"/>
  <c r="H118" i="82"/>
  <c r="C35" i="82"/>
  <c r="F118" i="82" s="1"/>
  <c r="I118" i="80"/>
  <c r="C104" i="80"/>
  <c r="H119" i="80"/>
  <c r="H101" i="80"/>
  <c r="F119" i="80"/>
  <c r="G118" i="80"/>
  <c r="C34" i="80"/>
  <c r="D118" i="80" s="1"/>
  <c r="D119" i="80" s="1"/>
  <c r="C34" i="9"/>
  <c r="D118" i="9" s="1"/>
  <c r="D119" i="9" s="1"/>
  <c r="D5" i="52" s="1"/>
  <c r="B49" i="72" s="1"/>
  <c r="I118" i="9"/>
  <c r="H4" i="52"/>
  <c r="H119" i="9"/>
  <c r="H5" i="52" s="1"/>
  <c r="H101" i="9"/>
  <c r="D14" i="74"/>
  <c r="C104" i="9"/>
  <c r="F119" i="9"/>
  <c r="F5" i="52" s="1"/>
  <c r="B53" i="72" s="1"/>
  <c r="G118" i="9"/>
  <c r="G4" i="52" s="1"/>
  <c r="B52" i="72" s="1"/>
  <c r="F4" i="52"/>
  <c r="B51" i="72" s="1"/>
  <c r="G52" i="39"/>
  <c r="H52" i="39" s="1"/>
  <c r="G51" i="39"/>
  <c r="H51" i="39" s="1"/>
  <c r="I51" i="39"/>
  <c r="J51" i="39" s="1"/>
  <c r="E47" i="39"/>
  <c r="R48" i="39"/>
  <c r="R99" i="31" l="1"/>
  <c r="S99" i="31" s="1"/>
  <c r="R53" i="31"/>
  <c r="S53" i="31" s="1"/>
  <c r="R57" i="31"/>
  <c r="S57" i="31" s="1"/>
  <c r="R100" i="31"/>
  <c r="S100" i="31" s="1"/>
  <c r="R87" i="31"/>
  <c r="S87" i="31" s="1"/>
  <c r="R81" i="31"/>
  <c r="S81" i="31" s="1"/>
  <c r="R120" i="83"/>
  <c r="S120" i="83" s="1"/>
  <c r="R119" i="83"/>
  <c r="S119" i="83" s="1"/>
  <c r="R118" i="83"/>
  <c r="S118" i="83" s="1"/>
  <c r="R117" i="83"/>
  <c r="S117" i="83" s="1"/>
  <c r="R36" i="31"/>
  <c r="S36" i="31" s="1"/>
  <c r="R70" i="31"/>
  <c r="S70" i="31" s="1"/>
  <c r="R104" i="31"/>
  <c r="S104" i="31" s="1"/>
  <c r="R91" i="31"/>
  <c r="S91" i="31" s="1"/>
  <c r="R97" i="31"/>
  <c r="S97" i="31" s="1"/>
  <c r="R116" i="83"/>
  <c r="S116" i="83" s="1"/>
  <c r="R115" i="83"/>
  <c r="S115" i="83" s="1"/>
  <c r="R114" i="83"/>
  <c r="S114" i="83" s="1"/>
  <c r="R68" i="31"/>
  <c r="S68" i="31" s="1"/>
  <c r="R85" i="31"/>
  <c r="S85" i="31" s="1"/>
  <c r="R102" i="31"/>
  <c r="S102" i="31" s="1"/>
  <c r="R38" i="31"/>
  <c r="S38" i="31" s="1"/>
  <c r="R55" i="31"/>
  <c r="S55" i="31" s="1"/>
  <c r="R40" i="31"/>
  <c r="S40" i="31" s="1"/>
  <c r="R74" i="31"/>
  <c r="S74" i="31" s="1"/>
  <c r="R27" i="31"/>
  <c r="S27" i="31" s="1"/>
  <c r="R34" i="31"/>
  <c r="S34" i="31" s="1"/>
  <c r="R48" i="31"/>
  <c r="S48" i="31" s="1"/>
  <c r="R113" i="83"/>
  <c r="S113" i="83" s="1"/>
  <c r="R112" i="83"/>
  <c r="S112" i="83" s="1"/>
  <c r="R111" i="83"/>
  <c r="S111" i="83" s="1"/>
  <c r="R110" i="83"/>
  <c r="S110" i="83" s="1"/>
  <c r="R109" i="83"/>
  <c r="S109" i="83" s="1"/>
  <c r="R108" i="83"/>
  <c r="S108" i="83" s="1"/>
  <c r="R107" i="83"/>
  <c r="S107" i="83" s="1"/>
  <c r="R106" i="83"/>
  <c r="S106" i="83" s="1"/>
  <c r="R84" i="31"/>
  <c r="S84" i="31" s="1"/>
  <c r="R52" i="31"/>
  <c r="S52" i="31" s="1"/>
  <c r="R101" i="31"/>
  <c r="S101" i="31" s="1"/>
  <c r="R69" i="31"/>
  <c r="S69" i="31" s="1"/>
  <c r="R37" i="31"/>
  <c r="S37" i="31" s="1"/>
  <c r="R86" i="31"/>
  <c r="S86" i="31" s="1"/>
  <c r="R54" i="31"/>
  <c r="S54" i="31" s="1"/>
  <c r="R103" i="31"/>
  <c r="S103" i="31" s="1"/>
  <c r="R71" i="31"/>
  <c r="S71" i="31" s="1"/>
  <c r="R39" i="31"/>
  <c r="S39" i="31" s="1"/>
  <c r="R72" i="31"/>
  <c r="S72" i="31" s="1"/>
  <c r="R89" i="31"/>
  <c r="S89" i="31" s="1"/>
  <c r="R25" i="31"/>
  <c r="S25" i="31" s="1"/>
  <c r="R42" i="31"/>
  <c r="S42" i="31" s="1"/>
  <c r="R59" i="31"/>
  <c r="S59" i="31" s="1"/>
  <c r="R64" i="31"/>
  <c r="S64" i="31" s="1"/>
  <c r="R98" i="31"/>
  <c r="S98" i="31" s="1"/>
  <c r="R51" i="31"/>
  <c r="S51" i="31" s="1"/>
  <c r="R50" i="31"/>
  <c r="S50" i="31" s="1"/>
  <c r="R35" i="31"/>
  <c r="S35" i="31" s="1"/>
  <c r="R92" i="31"/>
  <c r="S92" i="31" s="1"/>
  <c r="R76" i="31"/>
  <c r="S76" i="31" s="1"/>
  <c r="R60" i="31"/>
  <c r="S60" i="31" s="1"/>
  <c r="R44" i="31"/>
  <c r="S44" i="31" s="1"/>
  <c r="R28" i="31"/>
  <c r="S28" i="31" s="1"/>
  <c r="R93" i="31"/>
  <c r="S93" i="31" s="1"/>
  <c r="R77" i="31"/>
  <c r="S77" i="31" s="1"/>
  <c r="R61" i="31"/>
  <c r="S61" i="31" s="1"/>
  <c r="R45" i="31"/>
  <c r="S45" i="31" s="1"/>
  <c r="R29" i="31"/>
  <c r="S29" i="31" s="1"/>
  <c r="R94" i="31"/>
  <c r="S94" i="31" s="1"/>
  <c r="R78" i="31"/>
  <c r="S78" i="31" s="1"/>
  <c r="R62" i="31"/>
  <c r="S62" i="31" s="1"/>
  <c r="R46" i="31"/>
  <c r="S46" i="31" s="1"/>
  <c r="R30" i="31"/>
  <c r="S30" i="31" s="1"/>
  <c r="R95" i="31"/>
  <c r="S95" i="31" s="1"/>
  <c r="R79" i="31"/>
  <c r="S79" i="31" s="1"/>
  <c r="R63" i="31"/>
  <c r="S63" i="31" s="1"/>
  <c r="R47" i="31"/>
  <c r="S47" i="31" s="1"/>
  <c r="R31" i="31"/>
  <c r="S31" i="31" s="1"/>
  <c r="R88" i="31"/>
  <c r="S88" i="31" s="1"/>
  <c r="R56" i="31"/>
  <c r="S56" i="31" s="1"/>
  <c r="R105" i="31"/>
  <c r="S105" i="31" s="1"/>
  <c r="R73" i="31"/>
  <c r="S73" i="31" s="1"/>
  <c r="R41" i="31"/>
  <c r="S41" i="31" s="1"/>
  <c r="R90" i="31"/>
  <c r="S90" i="31" s="1"/>
  <c r="R58" i="31"/>
  <c r="S58" i="31" s="1"/>
  <c r="R26" i="31"/>
  <c r="S26" i="31" s="1"/>
  <c r="R75" i="31"/>
  <c r="S75" i="31" s="1"/>
  <c r="R43" i="31"/>
  <c r="S43" i="31" s="1"/>
  <c r="R96" i="31"/>
  <c r="S96" i="31" s="1"/>
  <c r="R32" i="31"/>
  <c r="S32" i="31" s="1"/>
  <c r="R49" i="31"/>
  <c r="S49" i="31" s="1"/>
  <c r="R66" i="31"/>
  <c r="S66" i="31" s="1"/>
  <c r="R83" i="31"/>
  <c r="S83" i="31" s="1"/>
  <c r="R80" i="31"/>
  <c r="S80" i="31" s="1"/>
  <c r="R33" i="31"/>
  <c r="S33" i="31" s="1"/>
  <c r="R67" i="31"/>
  <c r="S67" i="31" s="1"/>
  <c r="R82" i="31"/>
  <c r="S82" i="31" s="1"/>
  <c r="R65" i="31"/>
  <c r="S65" i="31" s="1"/>
  <c r="C34" i="82"/>
  <c r="D118" i="82" s="1"/>
  <c r="D119" i="82" s="1"/>
  <c r="S24" i="83"/>
  <c r="R25" i="83"/>
  <c r="S25" i="83" s="1"/>
  <c r="R27" i="83"/>
  <c r="S27" i="83" s="1"/>
  <c r="R31" i="83"/>
  <c r="S31" i="83" s="1"/>
  <c r="R35" i="83"/>
  <c r="S35" i="83" s="1"/>
  <c r="R39" i="83"/>
  <c r="S39" i="83" s="1"/>
  <c r="R43" i="83"/>
  <c r="S43" i="83" s="1"/>
  <c r="R47" i="83"/>
  <c r="S47" i="83" s="1"/>
  <c r="R51" i="83"/>
  <c r="S51" i="83" s="1"/>
  <c r="R55" i="83"/>
  <c r="S55" i="83" s="1"/>
  <c r="R59" i="83"/>
  <c r="S59" i="83" s="1"/>
  <c r="R63" i="83"/>
  <c r="S63" i="83" s="1"/>
  <c r="R67" i="83"/>
  <c r="S67" i="83" s="1"/>
  <c r="R71" i="83"/>
  <c r="S71" i="83" s="1"/>
  <c r="R75" i="83"/>
  <c r="S75" i="83" s="1"/>
  <c r="R80" i="83"/>
  <c r="S80" i="83" s="1"/>
  <c r="R84" i="83"/>
  <c r="S84" i="83" s="1"/>
  <c r="R88" i="83"/>
  <c r="S88" i="83" s="1"/>
  <c r="R92" i="83"/>
  <c r="S92" i="83" s="1"/>
  <c r="R96" i="83"/>
  <c r="S96" i="83" s="1"/>
  <c r="R100" i="83"/>
  <c r="S100" i="83" s="1"/>
  <c r="R104" i="83"/>
  <c r="S104" i="83" s="1"/>
  <c r="R26" i="83"/>
  <c r="S26" i="83" s="1"/>
  <c r="R30" i="83"/>
  <c r="S30" i="83" s="1"/>
  <c r="R34" i="83"/>
  <c r="S34" i="83" s="1"/>
  <c r="R38" i="83"/>
  <c r="S38" i="83" s="1"/>
  <c r="R42" i="83"/>
  <c r="S42" i="83" s="1"/>
  <c r="R46" i="83"/>
  <c r="S46" i="83" s="1"/>
  <c r="R50" i="83"/>
  <c r="S50" i="83" s="1"/>
  <c r="R54" i="83"/>
  <c r="S54" i="83" s="1"/>
  <c r="R58" i="83"/>
  <c r="S58" i="83" s="1"/>
  <c r="R62" i="83"/>
  <c r="S62" i="83" s="1"/>
  <c r="R66" i="83"/>
  <c r="S66" i="83" s="1"/>
  <c r="R70" i="83"/>
  <c r="S70" i="83" s="1"/>
  <c r="R74" i="83"/>
  <c r="S74" i="83" s="1"/>
  <c r="R79" i="83"/>
  <c r="S79" i="83" s="1"/>
  <c r="R83" i="83"/>
  <c r="S83" i="83" s="1"/>
  <c r="R87" i="83"/>
  <c r="S87" i="83" s="1"/>
  <c r="R91" i="83"/>
  <c r="S91" i="83" s="1"/>
  <c r="R95" i="83"/>
  <c r="S95" i="83" s="1"/>
  <c r="R99" i="83"/>
  <c r="S99" i="83" s="1"/>
  <c r="R103" i="83"/>
  <c r="S103" i="83" s="1"/>
  <c r="R78" i="83"/>
  <c r="S78" i="83" s="1"/>
  <c r="R90" i="83"/>
  <c r="S90" i="83" s="1"/>
  <c r="R98" i="83"/>
  <c r="S98" i="83" s="1"/>
  <c r="R32" i="83"/>
  <c r="S32" i="83" s="1"/>
  <c r="R40" i="83"/>
  <c r="S40" i="83" s="1"/>
  <c r="R48" i="83"/>
  <c r="S48" i="83" s="1"/>
  <c r="R56" i="83"/>
  <c r="S56" i="83" s="1"/>
  <c r="R64" i="83"/>
  <c r="S64" i="83" s="1"/>
  <c r="R72" i="83"/>
  <c r="S72" i="83" s="1"/>
  <c r="R93" i="83"/>
  <c r="S93" i="83" s="1"/>
  <c r="R105" i="83"/>
  <c r="S105" i="83" s="1"/>
  <c r="R29" i="83"/>
  <c r="S29" i="83" s="1"/>
  <c r="R33" i="83"/>
  <c r="S33" i="83" s="1"/>
  <c r="R37" i="83"/>
  <c r="S37" i="83" s="1"/>
  <c r="R41" i="83"/>
  <c r="S41" i="83" s="1"/>
  <c r="R45" i="83"/>
  <c r="S45" i="83" s="1"/>
  <c r="R49" i="83"/>
  <c r="S49" i="83" s="1"/>
  <c r="R53" i="83"/>
  <c r="S53" i="83" s="1"/>
  <c r="R57" i="83"/>
  <c r="S57" i="83" s="1"/>
  <c r="R61" i="83"/>
  <c r="S61" i="83" s="1"/>
  <c r="R65" i="83"/>
  <c r="S65" i="83" s="1"/>
  <c r="R69" i="83"/>
  <c r="S69" i="83" s="1"/>
  <c r="R73" i="83"/>
  <c r="S73" i="83" s="1"/>
  <c r="R82" i="83"/>
  <c r="S82" i="83" s="1"/>
  <c r="R86" i="83"/>
  <c r="S86" i="83" s="1"/>
  <c r="R94" i="83"/>
  <c r="S94" i="83" s="1"/>
  <c r="R102" i="83"/>
  <c r="S102" i="83" s="1"/>
  <c r="R28" i="83"/>
  <c r="S28" i="83" s="1"/>
  <c r="R36" i="83"/>
  <c r="S36" i="83" s="1"/>
  <c r="R44" i="83"/>
  <c r="S44" i="83" s="1"/>
  <c r="R52" i="83"/>
  <c r="S52" i="83" s="1"/>
  <c r="R60" i="83"/>
  <c r="S60" i="83" s="1"/>
  <c r="R68" i="83"/>
  <c r="S68" i="83" s="1"/>
  <c r="R76" i="83"/>
  <c r="S76" i="83" s="1"/>
  <c r="R77" i="83"/>
  <c r="S77" i="83" s="1"/>
  <c r="R81" i="83"/>
  <c r="S81" i="83" s="1"/>
  <c r="R85" i="83"/>
  <c r="S85" i="83" s="1"/>
  <c r="R89" i="83"/>
  <c r="S89" i="83" s="1"/>
  <c r="R97" i="83"/>
  <c r="S97" i="83" s="1"/>
  <c r="R101" i="83"/>
  <c r="S101" i="83" s="1"/>
  <c r="F119" i="82"/>
  <c r="G118" i="82"/>
  <c r="H119" i="82"/>
  <c r="H101" i="82"/>
  <c r="I118" i="82"/>
  <c r="C104" i="82"/>
  <c r="E118" i="80"/>
  <c r="C105" i="80"/>
  <c r="H102" i="80"/>
  <c r="H107" i="80"/>
  <c r="D45" i="80"/>
  <c r="M48" i="80"/>
  <c r="D4" i="52"/>
  <c r="B47" i="72" s="1"/>
  <c r="E14" i="74"/>
  <c r="F14" i="74"/>
  <c r="H107" i="9"/>
  <c r="D45" i="9"/>
  <c r="D5" i="53"/>
  <c r="M48" i="9"/>
  <c r="C105" i="9"/>
  <c r="I4" i="52"/>
  <c r="H102" i="9"/>
  <c r="D7" i="53" s="1"/>
  <c r="B21" i="72" s="1"/>
  <c r="E118" i="9"/>
  <c r="E4" i="52" s="1"/>
  <c r="B48" i="72" s="1"/>
  <c r="E51" i="39"/>
  <c r="F51" i="39" s="1"/>
  <c r="E52" i="39"/>
  <c r="F52" i="39" s="1"/>
  <c r="C48" i="39"/>
  <c r="C47" i="39"/>
  <c r="I52" i="39"/>
  <c r="J52" i="39" s="1"/>
  <c r="S22" i="31" l="1"/>
  <c r="D16" i="74" s="1"/>
  <c r="G16" i="74" s="1"/>
  <c r="S22" i="83"/>
  <c r="D15" i="74" s="1"/>
  <c r="G15" i="74" s="1"/>
  <c r="M48" i="82"/>
  <c r="H107" i="82"/>
  <c r="D45" i="82"/>
  <c r="E118" i="82"/>
  <c r="C105" i="82"/>
  <c r="H102" i="82"/>
  <c r="C78" i="80"/>
  <c r="C73" i="80" s="1"/>
  <c r="D52" i="80"/>
  <c r="C93" i="80"/>
  <c r="C86" i="80" s="1"/>
  <c r="C85" i="80"/>
  <c r="C72" i="80"/>
  <c r="C64" i="80"/>
  <c r="C63" i="80" s="1"/>
  <c r="C67" i="80" s="1"/>
  <c r="C68" i="80" s="1"/>
  <c r="D54" i="80" s="1"/>
  <c r="D55" i="80"/>
  <c r="M53" i="80" s="1"/>
  <c r="D53" i="80"/>
  <c r="D122" i="80"/>
  <c r="D123" i="80" s="1"/>
  <c r="H108" i="80"/>
  <c r="M49" i="80"/>
  <c r="C93" i="9"/>
  <c r="C86" i="9" s="1"/>
  <c r="D53" i="9"/>
  <c r="D52" i="9"/>
  <c r="C72" i="9"/>
  <c r="D55" i="9"/>
  <c r="M53" i="9" s="1"/>
  <c r="C78" i="9"/>
  <c r="C73" i="9" s="1"/>
  <c r="C64" i="9"/>
  <c r="C63" i="9" s="1"/>
  <c r="C67" i="9" s="1"/>
  <c r="C68" i="9" s="1"/>
  <c r="D54" i="9" s="1"/>
  <c r="C85" i="9"/>
  <c r="D6" i="53"/>
  <c r="B22" i="72" s="1"/>
  <c r="B20" i="72"/>
  <c r="H108" i="9"/>
  <c r="D15" i="53" s="1"/>
  <c r="B31" i="72" s="1"/>
  <c r="D13" i="53"/>
  <c r="M49" i="9"/>
  <c r="D122"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B20" i="31" l="1"/>
  <c r="R22" i="31"/>
  <c r="B21" i="31" s="1"/>
  <c r="F16" i="74"/>
  <c r="E16" i="74"/>
  <c r="F15" i="74"/>
  <c r="E15" i="74"/>
  <c r="B5" i="74"/>
  <c r="R22" i="83"/>
  <c r="B21" i="83" s="1"/>
  <c r="B20" i="83"/>
  <c r="D122" i="82"/>
  <c r="D123" i="82" s="1"/>
  <c r="H108" i="82"/>
  <c r="M49" i="82"/>
  <c r="C93" i="82"/>
  <c r="C86" i="82" s="1"/>
  <c r="C85" i="82"/>
  <c r="C72" i="82"/>
  <c r="C64" i="82"/>
  <c r="C63" i="82" s="1"/>
  <c r="C67" i="82" s="1"/>
  <c r="C68" i="82" s="1"/>
  <c r="D54" i="82" s="1"/>
  <c r="D55" i="82"/>
  <c r="M53" i="82" s="1"/>
  <c r="D53" i="82"/>
  <c r="C78" i="82"/>
  <c r="C73" i="82" s="1"/>
  <c r="D52" i="82"/>
  <c r="C79" i="80"/>
  <c r="C95" i="80"/>
  <c r="L66" i="80"/>
  <c r="M66" i="80" s="1"/>
  <c r="L65" i="80"/>
  <c r="M65" i="80" s="1"/>
  <c r="L64" i="80"/>
  <c r="M64" i="80" s="1"/>
  <c r="L68" i="80"/>
  <c r="M68" i="80" s="1"/>
  <c r="L67" i="80"/>
  <c r="M67" i="80" s="1"/>
  <c r="L63" i="80"/>
  <c r="M63" i="80" s="1"/>
  <c r="C80" i="80"/>
  <c r="E80" i="80" s="1"/>
  <c r="E81" i="80" s="1"/>
  <c r="L65" i="9"/>
  <c r="M65" i="9" s="1"/>
  <c r="L63" i="9"/>
  <c r="M63" i="9" s="1"/>
  <c r="L66" i="9"/>
  <c r="M66" i="9" s="1"/>
  <c r="L64" i="9"/>
  <c r="M64" i="9" s="1"/>
  <c r="L68" i="9"/>
  <c r="M68" i="9" s="1"/>
  <c r="L67" i="9"/>
  <c r="M67" i="9" s="1"/>
  <c r="G14" i="74"/>
  <c r="B6" i="74" s="1"/>
  <c r="D123" i="9"/>
  <c r="D9" i="52" s="1"/>
  <c r="D8" i="52"/>
  <c r="B30" i="72"/>
  <c r="D14" i="53"/>
  <c r="B32" i="72" s="1"/>
  <c r="C95" i="9"/>
  <c r="C79" i="9"/>
  <c r="D5" i="74" l="1"/>
  <c r="C5" i="74"/>
  <c r="C95" i="82"/>
  <c r="C96" i="82" s="1"/>
  <c r="E96" i="82" s="1"/>
  <c r="E97" i="82" s="1"/>
  <c r="C79" i="82"/>
  <c r="L68" i="82"/>
  <c r="M68" i="82" s="1"/>
  <c r="L67" i="82"/>
  <c r="M67" i="82" s="1"/>
  <c r="L63" i="82"/>
  <c r="M63" i="82" s="1"/>
  <c r="L65" i="82"/>
  <c r="M65" i="82" s="1"/>
  <c r="L66" i="82"/>
  <c r="M66" i="82" s="1"/>
  <c r="L64" i="82"/>
  <c r="M64" i="82" s="1"/>
  <c r="C81" i="80"/>
  <c r="M69" i="80"/>
  <c r="N69" i="80" s="1"/>
  <c r="C96" i="80"/>
  <c r="E96" i="80" s="1"/>
  <c r="E97" i="80" s="1"/>
  <c r="C80" i="9"/>
  <c r="E80" i="9" s="1"/>
  <c r="E81" i="9" s="1"/>
  <c r="C96" i="9"/>
  <c r="E96" i="9" s="1"/>
  <c r="E97" i="9" s="1"/>
  <c r="M69" i="9"/>
  <c r="N69" i="9" s="1"/>
  <c r="C6" i="74"/>
  <c r="D6" i="74"/>
  <c r="C97" i="82" l="1"/>
  <c r="D58" i="82" s="1"/>
  <c r="D56" i="82" s="1"/>
  <c r="M54" i="82" s="1"/>
  <c r="N57" i="82" s="1"/>
  <c r="N58" i="82" s="1"/>
  <c r="C80" i="82"/>
  <c r="E80" i="82" s="1"/>
  <c r="E81" i="82" s="1"/>
  <c r="M69" i="82"/>
  <c r="N69" i="82" s="1"/>
  <c r="C97" i="80"/>
  <c r="D58" i="80" s="1"/>
  <c r="D56" i="80" s="1"/>
  <c r="M54" i="80" s="1"/>
  <c r="N57" i="80" s="1"/>
  <c r="N58" i="80" s="1"/>
  <c r="C97" i="9"/>
  <c r="D58" i="9" s="1"/>
  <c r="D56" i="9" s="1"/>
  <c r="M54" i="9" s="1"/>
  <c r="N57" i="9" s="1"/>
  <c r="N58" i="9" s="1"/>
  <c r="C81" i="9"/>
  <c r="P57" i="82" l="1"/>
  <c r="N59" i="82"/>
  <c r="N60" i="82" s="1"/>
  <c r="C81" i="82"/>
  <c r="P57" i="80"/>
  <c r="N59" i="80"/>
  <c r="N61" i="80" s="1"/>
  <c r="N59" i="9"/>
  <c r="N61" i="9" s="1"/>
  <c r="P57" i="9"/>
  <c r="N61" i="82" l="1"/>
  <c r="N60" i="80"/>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<sst xmlns="http://schemas.openxmlformats.org/spreadsheetml/2006/main" count="19315" uniqueCount="4702">
  <si>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</si>
  <si>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</si>
  <si>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</si>
  <si>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</si>
  <si>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</si>
  <si>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</si>
  <si>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</si>
  <si>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</si>
  <si>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</si>
  <si>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</si>
  <si>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</si>
  <si>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</si>
  <si>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</si>
  <si>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</si>
  <si>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</si>
  <si>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</si>
  <si>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</si>
  <si>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</si>
  <si>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</si>
  <si>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</si>
  <si>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</si>
  <si>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</si>
  <si>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</si>
  <si>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</si>
  <si>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</si>
  <si>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</si>
  <si>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</si>
  <si>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</si>
  <si>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</si>
  <si>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</si>
  <si>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</si>
  <si>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</si>
  <si>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</si>
  <si>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</si>
  <si>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</si>
  <si>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</si>
  <si>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</si>
  <si>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</si>
  <si>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</si>
  <si>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</si>
  <si>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</si>
  <si>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</si>
  <si>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</si>
  <si>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</si>
  <si>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</si>
  <si>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</si>
  <si>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</si>
  <si>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</si>
  <si>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</si>
  <si>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</si>
  <si>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</si>
  <si>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</si>
  <si>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</si>
  <si>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</si>
  <si>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</si>
  <si>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</si>
  <si>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</si>
  <si>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</si>
  <si>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</si>
  <si>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</si>
  <si>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</si>
  <si>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</si>
  <si>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</si>
  <si>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</si>
  <si>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</si>
  <si>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</si>
  <si>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</si>
  <si>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</si>
  <si>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</si>
  <si>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</si>
  <si>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</si>
  <si>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</si>
  <si>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</si>
  <si>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</si>
  <si>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</si>
  <si>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</si>
  <si>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</si>
  <si>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</si>
  <si>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</si>
  <si>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</si>
  <si>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</si>
  <si>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</si>
  <si>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</si>
  <si>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</si>
  <si>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</si>
  <si>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</si>
  <si>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</si>
  <si>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</si>
  <si>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</si>
  <si>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</si>
  <si>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</si>
  <si>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</si>
  <si>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</si>
  <si>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</si>
  <si>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</si>
  <si>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</si>
  <si>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</si>
  <si>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</si>
  <si>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</si>
  <si>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</si>
  <si>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</si>
  <si>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</si>
  <si>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</si>
  <si>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</si>
  <si>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</si>
  <si>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</si>
  <si>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</si>
  <si>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</si>
  <si>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</si>
  <si>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</si>
  <si>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</si>
  <si>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</si>
  <si>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</si>
  <si>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</si>
  <si>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</si>
  <si>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</si>
  <si>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</si>
  <si>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</si>
  <si>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</si>
  <si>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</si>
  <si>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</si>
  <si>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</si>
  <si>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</si>
  <si>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</si>
  <si>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</si>
  <si>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</si>
  <si>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</si>
  <si>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</si>
  <si>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</si>
  <si>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</si>
  <si>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</si>
  <si>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</si>
  <si>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</si>
  <si>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</si>
  <si>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</si>
  <si>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</si>
  <si>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</si>
  <si>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</si>
  <si>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</si>
  <si>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</si>
  <si>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</si>
  <si>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</si>
  <si>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</si>
  <si>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</si>
  <si>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</si>
  <si>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</si>
  <si>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</si>
  <si>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</si>
  <si>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</si>
  <si>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</si>
  <si>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</si>
  <si>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</si>
  <si>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</si>
  <si>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</si>
  <si>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</si>
  <si>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</si>
  <si>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</si>
  <si>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</si>
  <si>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</si>
  <si>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</si>
  <si>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</si>
  <si>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</si>
  <si>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</si>
  <si>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</si>
  <si>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</si>
  <si>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</si>
  <si>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</si>
  <si>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</si>
  <si>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</si>
  <si>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</si>
  <si>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</si>
  <si>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</si>
  <si>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</si>
  <si>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</si>
  <si>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</si>
  <si>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</si>
  <si>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</si>
  <si>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</si>
  <si>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</si>
  <si>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</si>
  <si>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</si>
  <si>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</si>
  <si>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</si>
  <si>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</si>
  <si>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</si>
  <si>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</si>
  <si>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</si>
  <si>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</si>
  <si>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</si>
  <si>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</si>
  <si>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</si>
  <si>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</si>
  <si>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</si>
  <si>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</si>
  <si>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</si>
  <si>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</si>
  <si>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</si>
  <si>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</si>
  <si>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</si>
  <si>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</si>
  <si>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</si>
  <si>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</si>
  <si>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</si>
  <si>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</si>
  <si>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</si>
  <si>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</si>
  <si>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</si>
  <si>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</si>
  <si>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</si>
  <si>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</si>
  <si>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</si>
  <si>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</si>
  <si>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</si>
  <si>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</si>
  <si>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</si>
  <si>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</si>
  <si>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</si>
  <si>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</si>
  <si>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</si>
  <si>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</si>
  <si>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</si>
  <si>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</si>
  <si>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</si>
  <si>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</si>
  <si>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</si>
  <si>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</si>
  <si>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</si>
  <si>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</si>
  <si>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</si>
  <si>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</si>
  <si>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</si>
  <si>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</si>
  <si>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</si>
  <si>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</si>
  <si>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</si>
  <si>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</si>
  <si>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</si>
  <si>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</si>
  <si>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</si>
  <si>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</si>
  <si>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</si>
  <si>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</si>
  <si>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</si>
  <si>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</si>
  <si>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</si>
  <si>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</si>
  <si>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</si>
  <si>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</si>
  <si>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</si>
  <si>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</si>
  <si>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</si>
  <si>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</si>
  <si>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</si>
  <si>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</si>
  <si>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</si>
  <si>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</si>
  <si>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</si>
  <si>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</si>
  <si>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</si>
  <si>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</si>
  <si>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</si>
  <si>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</si>
  <si>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</si>
  <si>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</si>
  <si>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</si>
  <si>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</si>
  <si>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</si>
  <si>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</si>
  <si>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</si>
  <si>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</si>
  <si>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</si>
  <si>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</si>
  <si>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</si>
  <si>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</si>
  <si>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</si>
  <si>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</si>
  <si>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</si>
  <si>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</si>
  <si>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</si>
  <si>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</si>
  <si>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</si>
  <si>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</si>
  <si>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</si>
  <si>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</si>
  <si>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</si>
  <si>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</si>
  <si>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</si>
  <si>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</si>
  <si>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</si>
  <si>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</si>
  <si>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</si>
  <si>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</si>
  <si>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</si>
  <si>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</si>
  <si>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</si>
  <si>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</si>
  <si>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</si>
  <si>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</si>
  <si>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</si>
  <si>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</si>
  <si>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</si>
  <si>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</si>
  <si>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</si>
  <si>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</si>
  <si>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</si>
  <si>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</si>
  <si>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</si>
  <si>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</si>
  <si>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</si>
  <si>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</si>
  <si>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</si>
  <si>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</si>
  <si>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</si>
  <si>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</si>
  <si>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</si>
  <si>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</si>
  <si>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</si>
  <si>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</si>
  <si>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</si>
  <si>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</si>
  <si>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</si>
  <si>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</si>
  <si>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</si>
  <si>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</si>
  <si>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</si>
  <si>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</si>
  <si>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</si>
  <si>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</si>
  <si>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</si>
  <si>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</si>
  <si>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</si>
  <si>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</si>
  <si>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</si>
  <si>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</si>
  <si>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</si>
  <si>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</si>
  <si>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</si>
  <si>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</si>
  <si>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</si>
  <si>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</si>
  <si>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</si>
  <si>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</si>
  <si>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</si>
  <si>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</si>
  <si>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</si>
  <si>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</si>
  <si>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</si>
  <si>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</si>
  <si>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</si>
  <si>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</si>
  <si>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</si>
  <si>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</si>
  <si>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</si>
  <si>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</si>
  <si>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</si>
  <si>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</si>
  <si>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</si>
  <si>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</si>
  <si>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</si>
  <si>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</si>
  <si>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</si>
  <si>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</si>
  <si>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</si>
  <si>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</si>
  <si>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</si>
  <si>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</si>
  <si>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</si>
  <si>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</si>
  <si>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</si>
  <si>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</si>
  <si>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</si>
  <si>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</si>
  <si>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</si>
  <si>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</si>
  <si>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</si>
  <si>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</si>
  <si>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</si>
  <si>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</si>
  <si>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</si>
  <si>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</si>
  <si>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</si>
  <si>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</si>
  <si>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</si>
  <si>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</si>
  <si>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</si>
  <si>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</si>
  <si>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</si>
  <si>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</si>
  <si>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</si>
  <si>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</si>
  <si>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</si>
  <si>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</si>
  <si>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</si>
  <si>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</si>
  <si>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</si>
  <si>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</si>
  <si>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</si>
  <si>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</si>
  <si>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</si>
  <si>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</si>
  <si>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</si>
  <si>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</si>
  <si>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</si>
  <si>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</si>
  <si>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</si>
  <si>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</si>
  <si>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</si>
  <si>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</si>
  <si>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</si>
  <si>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</si>
  <si>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</si>
  <si>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</si>
  <si>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</si>
  <si>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</si>
  <si>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</si>
  <si>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</si>
  <si>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</si>
  <si>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</si>
  <si>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</si>
  <si>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</si>
  <si>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</si>
  <si>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</si>
  <si>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</si>
  <si>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</si>
  <si>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</si>
  <si>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</si>
  <si>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</si>
  <si>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</si>
  <si>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</si>
  <si>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</si>
  <si>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</si>
  <si>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</si>
  <si>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</si>
  <si>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</si>
  <si>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</si>
  <si>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</si>
  <si>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</si>
  <si>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</si>
  <si>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</si>
  <si>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</si>
  <si>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</si>
  <si>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</si>
  <si>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</si>
  <si>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</si>
  <si>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</si>
  <si>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</si>
  <si>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</si>
  <si>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</si>
  <si>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</si>
  <si>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</si>
  <si>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</si>
  <si>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</si>
  <si>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</si>
  <si>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</si>
  <si>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</si>
  <si>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</si>
  <si>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</si>
  <si>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</si>
  <si>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</si>
  <si>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</si>
  <si>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</si>
  <si>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</si>
  <si>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</si>
  <si>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</si>
  <si>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</si>
  <si>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</si>
  <si>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</si>
  <si>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</si>
  <si>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</si>
  <si>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</si>
  <si>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</si>
  <si>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</si>
  <si>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</si>
  <si>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</si>
  <si>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</si>
  <si>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</si>
  <si>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</si>
  <si>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</si>
  <si>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</si>
  <si>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</si>
  <si>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</si>
  <si>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</si>
  <si>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</si>
  <si>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</si>
  <si>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</si>
  <si>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</si>
  <si>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</si>
  <si>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</si>
  <si>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</si>
  <si>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</si>
  <si>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</si>
  <si>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</si>
  <si>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</si>
  <si>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</si>
  <si>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</si>
  <si>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</si>
  <si>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</si>
  <si>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</si>
  <si>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</si>
  <si>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</si>
  <si>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</si>
  <si>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</si>
  <si>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</si>
  <si>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</si>
  <si>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</si>
  <si>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</si>
  <si>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</si>
  <si>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</si>
  <si>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</si>
  <si>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</si>
  <si>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</si>
  <si>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</si>
  <si>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</si>
  <si>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</si>
  <si>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</si>
  <si>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</si>
  <si>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</si>
  <si>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</si>
  <si>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</si>
  <si>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</si>
  <si>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</si>
  <si>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</si>
  <si>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</si>
  <si>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</si>
  <si>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</si>
  <si>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</si>
  <si>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</si>
  <si>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</si>
  <si>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</si>
  <si>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</si>
  <si>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</si>
  <si>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</si>
  <si>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</si>
  <si>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</si>
  <si>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</si>
  <si>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</si>
  <si>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</si>
  <si>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</si>
  <si>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</si>
  <si>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</si>
  <si>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</si>
  <si>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</si>
  <si>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</si>
  <si>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</si>
  <si>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</si>
  <si>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</si>
  <si>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</si>
  <si>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</si>
  <si>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</si>
  <si>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</si>
  <si>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</si>
  <si>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</si>
  <si>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</si>
  <si>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</si>
  <si>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</si>
  <si>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</si>
  <si>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</si>
  <si>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</si>
  <si>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</si>
  <si>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</si>
  <si>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</si>
  <si>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</si>
  <si>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</si>
  <si>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</si>
  <si>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</si>
  <si>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</si>
  <si>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</si>
  <si>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</si>
  <si>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</si>
  <si>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</si>
  <si>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</si>
  <si>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</si>
  <si>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</si>
  <si>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</si>
  <si>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</si>
  <si>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</si>
  <si>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</si>
  <si>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</si>
  <si>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</si>
  <si>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</si>
  <si>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</si>
  <si>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</si>
  <si>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</si>
  <si>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</si>
  <si>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</si>
  <si>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</si>
  <si>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</si>
  <si>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</si>
  <si>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</si>
  <si>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</si>
  <si>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</si>
  <si>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</si>
  <si>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</si>
  <si>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</si>
  <si>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</si>
  <si>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</si>
  <si>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</si>
  <si>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</si>
  <si>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</si>
  <si>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</si>
  <si>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</si>
  <si>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</si>
  <si>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</si>
  <si>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</si>
  <si>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</si>
  <si>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</si>
  <si>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</si>
  <si>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</si>
  <si>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</si>
  <si>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</si>
  <si>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</si>
  <si>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</si>
  <si>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</si>
  <si>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</si>
  <si>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</si>
  <si>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</si>
  <si>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</si>
  <si>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</si>
  <si>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</si>
  <si>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</si>
  <si>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</si>
  <si>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</si>
  <si>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</si>
  <si>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</si>
  <si>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</si>
  <si>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</si>
  <si>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</si>
  <si>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</si>
  <si>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</si>
  <si>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</si>
  <si>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</si>
  <si>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</si>
  <si>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</si>
  <si>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</si>
  <si>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</si>
  <si>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</si>
  <si>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</si>
  <si>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</si>
  <si>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</si>
  <si>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</si>
  <si>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</si>
  <si>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</si>
  <si>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</si>
  <si>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</si>
  <si>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</si>
  <si>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</si>
  <si>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</si>
  <si>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</si>
  <si>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</si>
  <si>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</si>
  <si>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</si>
  <si>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</si>
  <si>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</si>
  <si>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</si>
  <si>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</si>
  <si>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</si>
  <si>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</si>
  <si>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</si>
  <si>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</si>
  <si>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</si>
  <si>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</si>
  <si>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</si>
  <si>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</si>
  <si>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</si>
  <si>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</si>
  <si>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</si>
  <si>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</si>
  <si>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</si>
  <si>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</si>
  <si>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</si>
  <si>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</si>
  <si>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</si>
  <si>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</si>
  <si>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</si>
  <si>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</si>
  <si>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</si>
  <si>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</si>
  <si>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</si>
  <si>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</si>
  <si>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</si>
  <si>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</si>
  <si>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</si>
  <si>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</si>
  <si>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</si>
  <si>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</si>
  <si>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</si>
  <si>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</si>
  <si>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</si>
  <si>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</si>
  <si>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</si>
  <si>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</si>
  <si>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</si>
  <si>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</si>
  <si>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</si>
  <si>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</si>
  <si>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</si>
  <si>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</si>
  <si>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</si>
  <si>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</si>
  <si>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</si>
  <si>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</si>
  <si>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</si>
  <si>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</si>
  <si>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</si>
  <si>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</si>
  <si>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</si>
  <si>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</si>
  <si>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</si>
  <si>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</si>
  <si>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</si>
  <si>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</si>
  <si>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</si>
  <si>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</si>
  <si>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</si>
  <si>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</si>
  <si>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</si>
  <si>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</si>
  <si>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</si>
  <si>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</si>
  <si>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</si>
  <si>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</si>
  <si>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</si>
  <si>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</si>
  <si>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</si>
  <si>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</si>
  <si>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</si>
  <si>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</si>
  <si>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</si>
  <si>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</si>
  <si>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</si>
  <si>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</si>
  <si>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</si>
  <si>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</si>
  <si>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</si>
  <si>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</si>
  <si>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</si>
  <si>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</si>
  <si>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</si>
  <si>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</si>
  <si>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</si>
  <si>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</si>
  <si>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</si>
  <si>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</si>
  <si>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</si>
  <si>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</si>
  <si>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</si>
  <si>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</si>
  <si>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</si>
  <si>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</si>
  <si>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</si>
  <si>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</si>
  <si>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</si>
  <si>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</si>
  <si>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</si>
  <si>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</si>
  <si>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</si>
  <si>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</si>
  <si>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</si>
  <si>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</si>
  <si>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</si>
  <si>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</si>
  <si>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</si>
  <si>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</si>
  <si>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</si>
  <si>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</si>
  <si>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</si>
  <si>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</si>
  <si>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</si>
  <si>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</si>
  <si>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</si>
  <si>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</si>
  <si>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</si>
  <si>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</si>
  <si>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</si>
  <si>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</si>
  <si>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</si>
  <si>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</si>
  <si>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</si>
  <si>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</si>
  <si>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</si>
  <si>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</si>
  <si>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</si>
  <si>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</si>
  <si>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</si>
  <si>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</si>
  <si>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</si>
  <si>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</si>
  <si>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</si>
  <si>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</si>
  <si>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</si>
  <si>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</si>
  <si>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</si>
  <si>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</si>
  <si>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</si>
  <si>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</si>
  <si>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</si>
  <si>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</si>
  <si>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</si>
  <si>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</si>
  <si>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</si>
  <si>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</si>
  <si>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</si>
  <si>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</si>
  <si>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</si>
  <si>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</si>
  <si>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</si>
  <si>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</si>
  <si>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</si>
  <si>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</si>
  <si>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</si>
  <si>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</si>
  <si>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</si>
  <si>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</si>
  <si>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</si>
  <si>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</si>
  <si>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</si>
  <si>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</si>
  <si>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</si>
  <si>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</si>
  <si>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</si>
  <si>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</si>
  <si>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</si>
  <si>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</si>
  <si>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</si>
  <si>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</si>
  <si>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</si>
  <si>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</si>
  <si>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</si>
  <si>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</si>
  <si>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</si>
  <si>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</si>
  <si>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</si>
  <si>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</si>
  <si>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</si>
  <si>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</si>
  <si>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</si>
  <si>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</si>
  <si>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</si>
  <si>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</si>
  <si>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</si>
  <si>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</si>
  <si>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</si>
  <si>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</si>
  <si>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</si>
  <si>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</si>
  <si>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</si>
  <si>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</si>
  <si>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</si>
  <si>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</si>
  <si>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</si>
  <si>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</si>
  <si>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</si>
  <si>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</si>
  <si>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</si>
  <si>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</si>
  <si>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</si>
  <si>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</si>
  <si>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</si>
  <si>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</si>
  <si>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</si>
  <si>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</si>
  <si>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</si>
  <si>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</si>
  <si>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</si>
  <si>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</si>
  <si>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</si>
  <si>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</si>
  <si>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</si>
  <si>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</si>
  <si>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</si>
  <si>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</si>
  <si>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</si>
  <si>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</si>
  <si>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</si>
  <si>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</si>
  <si>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</si>
  <si>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</si>
  <si>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</si>
  <si>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</si>
  <si>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</si>
  <si>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</si>
  <si>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</si>
  <si>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</si>
  <si>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</si>
  <si>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</si>
  <si>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</si>
  <si>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</si>
  <si>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</si>
  <si>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</si>
  <si>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</si>
  <si>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</si>
  <si>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</si>
  <si>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</si>
  <si>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</si>
  <si>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</si>
  <si>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</si>
  <si>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</si>
  <si>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</si>
  <si>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</si>
  <si>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</si>
  <si>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</si>
  <si>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</si>
  <si>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</si>
  <si>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</si>
  <si>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</si>
  <si>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</si>
  <si>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</si>
  <si>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</si>
  <si>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</si>
  <si>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</si>
  <si>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</si>
  <si>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</si>
  <si>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</si>
  <si>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</si>
  <si>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</si>
  <si>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</si>
  <si>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</si>
  <si>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</si>
  <si>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</si>
  <si>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</si>
  <si>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</si>
  <si>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</si>
  <si>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</si>
  <si>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</si>
  <si>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</si>
  <si>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</si>
  <si>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</si>
  <si>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</si>
  <si>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</si>
  <si>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</si>
  <si>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</si>
  <si>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</si>
  <si>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</si>
  <si>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</si>
  <si>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</si>
  <si>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</si>
  <si>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</si>
  <si>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</si>
  <si>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</si>
  <si>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</si>
  <si>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</si>
  <si>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</si>
  <si>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</si>
  <si>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</si>
  <si>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</si>
  <si>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</si>
  <si>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</si>
  <si>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</si>
  <si>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</si>
  <si>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</si>
  <si>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</si>
  <si>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</si>
  <si>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</si>
  <si>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</si>
  <si>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</si>
  <si>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</si>
  <si>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</si>
  <si>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</si>
  <si>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</si>
  <si>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</si>
  <si>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</si>
  <si>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</si>
  <si>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</si>
  <si>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</si>
  <si>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</si>
  <si>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</si>
  <si>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</si>
  <si>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</si>
  <si>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</si>
  <si>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</si>
  <si>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</si>
  <si>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</si>
  <si>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</si>
  <si>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</si>
  <si>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</si>
  <si>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</si>
  <si>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</si>
  <si>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</si>
  <si>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</si>
  <si>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</si>
  <si>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</si>
  <si>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</si>
  <si>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</si>
  <si>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</si>
  <si>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</si>
  <si>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</si>
  <si>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</si>
  <si>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</si>
  <si>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</si>
  <si>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</si>
  <si>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</si>
  <si>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</si>
  <si>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</si>
  <si>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</si>
  <si>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</si>
  <si>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</si>
  <si>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</si>
  <si>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</si>
  <si>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</si>
  <si>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</si>
  <si>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</si>
  <si>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</si>
  <si>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</si>
  <si>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</si>
  <si>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</si>
  <si>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</si>
  <si>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</si>
  <si>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</si>
  <si>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</si>
  <si>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</si>
  <si>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</si>
  <si>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</si>
  <si>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</si>
  <si>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</si>
  <si>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</si>
  <si>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</si>
  <si>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</si>
  <si>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</si>
  <si>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</si>
  <si>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</si>
  <si>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</si>
  <si>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</si>
  <si>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</si>
  <si>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</si>
  <si>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</si>
  <si>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</si>
  <si>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</si>
  <si>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</si>
  <si>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</si>
  <si>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</si>
  <si>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</si>
  <si>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</si>
  <si>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</si>
  <si>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</si>
  <si>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</si>
  <si>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</si>
  <si>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</si>
  <si>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</si>
  <si>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</si>
  <si>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</si>
  <si>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</si>
  <si>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</si>
  <si>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</si>
  <si>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</si>
  <si>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</si>
  <si>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</si>
  <si>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</si>
  <si>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</si>
  <si>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</si>
  <si>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</si>
  <si>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</si>
  <si>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</si>
  <si>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</si>
  <si>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</si>
  <si>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</si>
  <si>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</si>
  <si>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</si>
  <si>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</si>
  <si>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</si>
  <si>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</si>
  <si>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</si>
  <si>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</si>
  <si>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</si>
  <si>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</si>
  <si>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</si>
  <si>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</si>
  <si>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</si>
  <si>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</si>
  <si>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</si>
  <si>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</si>
  <si>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</si>
  <si>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</si>
  <si>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</si>
  <si>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</si>
  <si>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</si>
  <si>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</si>
  <si>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</si>
  <si>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</si>
  <si>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</si>
  <si>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</si>
  <si>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</si>
  <si>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</si>
  <si>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</si>
  <si>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</si>
  <si>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</si>
  <si>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</si>
  <si>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</si>
  <si>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</si>
  <si>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</si>
  <si>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</si>
  <si>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</si>
  <si>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</si>
  <si>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</si>
  <si>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</si>
  <si>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</si>
  <si>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</si>
  <si>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</si>
  <si>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</si>
  <si>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</si>
  <si>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</si>
  <si>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</si>
  <si>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</si>
  <si>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</si>
  <si>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</si>
  <si>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</si>
  <si>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</si>
  <si>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</si>
  <si>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</si>
  <si>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</si>
  <si>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</si>
  <si>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</si>
  <si>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</si>
  <si>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</si>
  <si>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</si>
  <si>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</si>
  <si>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</si>
  <si>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</si>
  <si>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</si>
  <si>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</si>
  <si>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</si>
  <si>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</si>
  <si>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</si>
  <si>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</si>
  <si>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</si>
  <si>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</si>
  <si>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</si>
  <si>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</si>
  <si>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</si>
  <si>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</si>
  <si>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</si>
  <si>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</si>
  <si>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</si>
  <si>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</si>
  <si>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</si>
  <si>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</si>
  <si>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</si>
  <si>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</si>
  <si>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</si>
  <si>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</si>
  <si>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</si>
  <si>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</si>
  <si>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</si>
  <si>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</si>
  <si>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</si>
  <si>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</si>
  <si>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</si>
  <si>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</si>
  <si>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</si>
  <si>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</si>
  <si>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</si>
  <si>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</si>
  <si>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</si>
  <si>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</si>
  <si>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</si>
  <si>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</si>
  <si>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</si>
  <si>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</si>
  <si>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</si>
  <si>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</si>
  <si>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</si>
  <si>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</si>
  <si>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</si>
  <si>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</si>
  <si>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</si>
  <si>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</si>
  <si>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</si>
  <si>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</si>
  <si>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</si>
  <si>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</si>
  <si>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</si>
  <si>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</si>
  <si>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</si>
  <si>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</si>
  <si>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</si>
  <si>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</si>
  <si>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</si>
  <si>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</si>
  <si>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</si>
  <si>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</si>
  <si>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</si>
  <si>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</si>
  <si>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</si>
  <si>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</si>
  <si>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</si>
  <si>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</si>
  <si>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</si>
  <si>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</si>
  <si>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</si>
  <si>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</si>
  <si>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</si>
  <si>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</si>
  <si>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</si>
  <si>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</si>
  <si>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</si>
  <si>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</si>
  <si>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</si>
  <si>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</si>
  <si>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</si>
  <si>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</si>
  <si>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</si>
  <si>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</si>
  <si>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</si>
  <si>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</si>
  <si>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</si>
  <si>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</si>
  <si>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</si>
  <si>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</si>
  <si>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</si>
  <si>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</si>
  <si>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</si>
  <si>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</si>
  <si>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</si>
  <si>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</si>
  <si>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</si>
  <si>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</si>
  <si>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</si>
  <si>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</si>
  <si>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</si>
  <si>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</si>
  <si>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</si>
  <si>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</si>
  <si>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</si>
  <si>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</si>
  <si>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</si>
  <si>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</si>
  <si>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</si>
  <si>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</si>
  <si>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</si>
  <si>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</si>
  <si>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</si>
  <si>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</si>
  <si>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</si>
  <si>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</si>
  <si>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</si>
  <si>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</si>
  <si>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</si>
  <si>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</si>
  <si>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</si>
  <si>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</si>
  <si>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</si>
  <si>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</si>
  <si>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</si>
  <si>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</si>
  <si>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</si>
  <si>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</si>
  <si>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</si>
  <si>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</si>
  <si>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</si>
  <si>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</si>
  <si>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</si>
  <si>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</si>
  <si>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</si>
  <si>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</si>
  <si>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</si>
  <si>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</si>
  <si>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</si>
  <si>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</si>
  <si>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</si>
  <si>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</si>
  <si>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</si>
  <si>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</si>
  <si>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</si>
  <si>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</si>
  <si>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</si>
  <si>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</si>
  <si>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</si>
  <si>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</si>
  <si>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</si>
  <si>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</si>
  <si>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</si>
  <si>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</si>
  <si>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</si>
  <si>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</si>
  <si>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</si>
  <si>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</si>
  <si>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</si>
  <si>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</si>
  <si>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</si>
  <si>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</si>
  <si>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</si>
  <si>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</si>
  <si>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</si>
  <si>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</si>
  <si>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</si>
  <si>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</si>
  <si>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</si>
  <si>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</si>
  <si>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</si>
  <si>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</si>
  <si>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</si>
  <si>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</si>
  <si>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</si>
  <si>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</si>
  <si>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</si>
  <si>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</si>
  <si>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</si>
  <si>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</si>
  <si>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</si>
  <si>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</si>
  <si>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</si>
  <si>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</si>
  <si>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</si>
  <si>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</si>
  <si>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</si>
  <si>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</si>
  <si>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</si>
  <si>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</si>
  <si>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</si>
  <si>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</si>
  <si>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</si>
  <si>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</si>
  <si>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</si>
  <si>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</si>
  <si>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</si>
  <si>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</si>
  <si>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</si>
  <si>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</si>
  <si>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</si>
  <si>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</si>
  <si>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</si>
  <si>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</si>
  <si>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</si>
  <si>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</si>
  <si>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</si>
  <si>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</si>
  <si>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</si>
  <si>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</si>
  <si>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</si>
  <si>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</si>
  <si>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</si>
  <si>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</si>
  <si>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</si>
  <si>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</si>
  <si>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</si>
  <si>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</si>
  <si>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</si>
  <si>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</si>
  <si>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</si>
  <si>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</si>
  <si>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</si>
  <si>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</si>
  <si>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</si>
  <si>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</si>
  <si>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</si>
  <si>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</si>
  <si>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</si>
  <si>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</si>
  <si>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</si>
  <si>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</si>
  <si>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</si>
  <si>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</si>
  <si>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</si>
  <si>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</si>
  <si>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</si>
  <si>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</si>
  <si>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</si>
  <si>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</si>
  <si>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</si>
  <si>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</si>
  <si>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</si>
  <si>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</si>
  <si>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</si>
  <si>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</si>
  <si>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</si>
  <si>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</si>
  <si>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</si>
  <si>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</si>
  <si>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</si>
  <si>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</si>
  <si>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</si>
  <si>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</si>
  <si>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</si>
  <si>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</si>
  <si>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</si>
  <si>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</si>
  <si>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</si>
  <si>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</si>
  <si>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</si>
  <si>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</si>
  <si>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</si>
  <si>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</si>
  <si>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</si>
  <si>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</si>
  <si>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</si>
  <si>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</si>
  <si>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</si>
  <si>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</si>
  <si>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</si>
  <si>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</si>
  <si>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</si>
  <si>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</si>
  <si>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</si>
  <si>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</si>
  <si>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</si>
  <si>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</si>
  <si>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</si>
  <si>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</si>
  <si>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</si>
  <si>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</si>
  <si>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</si>
  <si>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</si>
  <si>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</si>
  <si>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</si>
  <si>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</si>
  <si>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</si>
  <si>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</si>
  <si>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</si>
  <si>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</si>
  <si>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</si>
  <si>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</si>
  <si>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</si>
  <si>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</si>
  <si>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</si>
  <si>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</si>
  <si>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</si>
  <si>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</si>
  <si>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</si>
  <si>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</si>
  <si>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</si>
  <si>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</si>
  <si>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</si>
  <si>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</si>
  <si>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</si>
  <si>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</si>
  <si>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</si>
  <si>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</si>
  <si>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</si>
  <si>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</si>
  <si>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</si>
  <si>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</si>
  <si>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</si>
  <si>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</si>
  <si>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</si>
  <si>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</si>
  <si>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</si>
  <si>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</si>
  <si>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</si>
  <si>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</si>
  <si>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</si>
  <si>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</si>
  <si>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</si>
  <si>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</si>
  <si>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</si>
  <si>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</si>
  <si>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</si>
  <si>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</si>
  <si>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</si>
  <si>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</si>
  <si>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</si>
  <si>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</si>
  <si>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</si>
  <si>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</si>
  <si>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</si>
  <si>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</si>
  <si>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</si>
  <si>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</si>
  <si>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</si>
  <si>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</si>
  <si>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</si>
  <si>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</si>
  <si>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</si>
  <si>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</si>
  <si>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</si>
  <si>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</si>
  <si>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</si>
  <si>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</si>
  <si>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</si>
  <si>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</si>
  <si>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</si>
  <si>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</si>
  <si>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</si>
  <si>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</si>
  <si>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</si>
  <si>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</si>
  <si>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</si>
  <si>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</si>
  <si>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</si>
  <si>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</si>
  <si>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</si>
  <si>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</si>
  <si>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</si>
  <si>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</si>
  <si>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</si>
  <si>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</si>
  <si>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</si>
  <si>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</si>
  <si>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</si>
  <si>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</si>
  <si>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</si>
  <si>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</si>
  <si>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</si>
  <si>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</si>
  <si>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</si>
  <si>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</si>
  <si>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</si>
  <si>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</si>
  <si>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</si>
  <si>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</si>
  <si>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</si>
  <si>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</si>
  <si>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</si>
  <si>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</si>
  <si>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</si>
  <si>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</si>
  <si>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</si>
  <si>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</si>
  <si>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</si>
  <si>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</si>
  <si>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</si>
  <si>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</si>
  <si>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</si>
  <si>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</si>
  <si>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</si>
  <si>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</si>
  <si>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</si>
  <si>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</si>
  <si>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</si>
  <si>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</si>
  <si>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</si>
  <si>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</si>
  <si>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</si>
  <si>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</si>
  <si>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</si>
  <si>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</si>
  <si>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</si>
  <si>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</si>
  <si>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</si>
  <si>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</si>
  <si>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</si>
  <si>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</si>
  <si>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</si>
  <si>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</si>
  <si>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</si>
  <si>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</si>
  <si>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</si>
  <si>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</si>
  <si>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</si>
  <si>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</si>
  <si>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</si>
  <si>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</si>
  <si>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</si>
  <si>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</si>
  <si>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</si>
  <si>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</si>
  <si>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</si>
  <si>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</si>
  <si>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</si>
  <si>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</si>
  <si>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</si>
  <si>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</si>
  <si>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</si>
  <si>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</si>
  <si>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</si>
  <si>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</si>
  <si>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</si>
  <si>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</si>
  <si>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</si>
  <si>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</si>
  <si>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</si>
  <si>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</si>
  <si>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</si>
  <si>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</si>
  <si>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</si>
  <si>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</si>
  <si>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</si>
  <si>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</si>
  <si>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</si>
  <si>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</si>
  <si>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</si>
  <si>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</si>
  <si>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</si>
  <si>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</si>
  <si>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</si>
  <si>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</si>
  <si>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</si>
  <si>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</si>
  <si>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</si>
  <si>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</si>
  <si>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</si>
  <si>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</si>
  <si>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</si>
  <si>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</si>
  <si>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</si>
  <si>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</si>
  <si>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</si>
  <si>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</si>
  <si>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</si>
  <si>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</si>
  <si>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</si>
  <si>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</si>
  <si>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</si>
  <si>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</si>
  <si>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</si>
  <si>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</si>
  <si>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</si>
  <si>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</si>
  <si>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</si>
  <si>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</si>
  <si>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</si>
  <si>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</si>
  <si>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</si>
  <si>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</si>
  <si>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</si>
  <si>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</si>
  <si>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</si>
  <si>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</si>
  <si>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</si>
  <si>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</si>
  <si>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</si>
  <si>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</si>
  <si>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</si>
  <si>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</si>
  <si>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</si>
  <si>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</si>
  <si>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</si>
  <si>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</si>
  <si>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</si>
  <si>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</si>
  <si>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</si>
  <si>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</si>
  <si>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</si>
  <si>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</si>
  <si>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</si>
  <si>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</si>
  <si>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</si>
  <si>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</si>
  <si>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</si>
  <si>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</si>
  <si>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</si>
  <si>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</si>
  <si>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</si>
  <si>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</si>
  <si>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</si>
  <si>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</si>
  <si>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</si>
  <si>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</si>
  <si>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</si>
  <si>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</si>
  <si>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</si>
  <si>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</si>
  <si>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</si>
  <si>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</si>
  <si>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</si>
  <si>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</si>
  <si>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</si>
  <si>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</si>
  <si>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</si>
  <si>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</si>
  <si>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</si>
  <si>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</si>
  <si>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</si>
  <si>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</si>
  <si>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</si>
  <si>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</si>
  <si>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</si>
  <si>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</si>
  <si>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</si>
  <si>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</si>
  <si>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</si>
  <si>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</si>
  <si>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</si>
  <si>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</si>
  <si>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</si>
  <si>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</si>
  <si>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</si>
  <si>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</si>
  <si>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</si>
  <si>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</si>
  <si>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</si>
  <si>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</si>
  <si>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</si>
  <si>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</si>
  <si>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</si>
  <si>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</si>
  <si>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</si>
  <si>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</si>
  <si>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</si>
  <si>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</si>
  <si>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</si>
  <si>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</si>
  <si>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</si>
  <si>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</si>
  <si>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</si>
  <si>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</si>
  <si>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</si>
  <si>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</si>
  <si>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</si>
  <si>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</si>
  <si>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</si>
  <si>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</si>
  <si>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</si>
  <si>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</si>
  <si>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</si>
  <si>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</si>
  <si>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</si>
  <si>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</si>
  <si>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</si>
  <si>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</si>
  <si>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</si>
  <si>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</si>
  <si>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</si>
  <si>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</si>
  <si>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</si>
  <si>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</si>
  <si>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</si>
  <si>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</si>
  <si>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</si>
  <si>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</si>
  <si>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</si>
  <si>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</si>
  <si>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</si>
  <si>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</si>
  <si>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</si>
  <si>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</si>
  <si>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</si>
  <si>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</si>
  <si>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</si>
  <si>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</si>
  <si>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</si>
  <si>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</si>
  <si>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</si>
  <si>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</si>
  <si>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</si>
  <si>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</si>
  <si>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</si>
  <si>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</si>
  <si>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</si>
  <si>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</si>
  <si>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</si>
  <si>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</si>
  <si>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</si>
  <si>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</si>
  <si>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</si>
  <si>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</si>
  <si>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</si>
  <si>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</si>
  <si>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</si>
  <si>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</si>
  <si>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</si>
  <si>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</si>
  <si>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</si>
  <si>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</si>
  <si>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</si>
  <si>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</si>
  <si>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</si>
  <si>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</si>
  <si>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</si>
  <si>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</si>
  <si>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</si>
  <si>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</si>
  <si>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</si>
  <si>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</si>
  <si>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</si>
  <si>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</si>
  <si>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</si>
  <si>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</si>
  <si>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</si>
  <si>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</si>
  <si>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</si>
  <si>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</si>
  <si>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</si>
  <si>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</si>
  <si>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</si>
  <si>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</si>
  <si>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</si>
  <si>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</si>
  <si>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</si>
  <si>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</si>
  <si>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</si>
  <si>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</si>
  <si>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</si>
  <si>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</si>
  <si>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</si>
  <si>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</si>
  <si>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</si>
  <si>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</si>
  <si>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</si>
  <si>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</si>
  <si>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</si>
  <si>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</si>
  <si>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</si>
  <si>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</si>
  <si>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</si>
  <si>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</si>
  <si>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</si>
  <si>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</si>
  <si>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</si>
  <si>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</si>
  <si>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</si>
  <si>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</si>
  <si>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</si>
  <si>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</si>
  <si>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</si>
  <si>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</si>
  <si>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</si>
  <si>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</si>
  <si>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</si>
  <si>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</si>
  <si>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</si>
  <si>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</si>
  <si>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</si>
  <si>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</si>
  <si>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</si>
  <si>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</si>
  <si>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</si>
  <si>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</si>
  <si>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</si>
  <si>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</si>
  <si>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</si>
  <si>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</si>
  <si>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</si>
  <si>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</si>
  <si>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</si>
  <si>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</si>
  <si>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</si>
  <si>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</si>
  <si>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</si>
  <si>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</si>
  <si>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</si>
  <si>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</si>
  <si>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</si>
  <si>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</si>
  <si>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</si>
  <si>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</si>
  <si>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</si>
  <si>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</si>
  <si>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</si>
  <si>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</si>
  <si>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</si>
  <si>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</si>
  <si>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</si>
  <si>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</si>
  <si>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</si>
  <si>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</si>
  <si>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</si>
  <si>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</si>
  <si>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</si>
  <si>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</si>
  <si>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</si>
  <si>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</si>
  <si>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</si>
  <si>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</si>
  <si>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</si>
  <si>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</si>
  <si>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</si>
  <si>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</si>
  <si>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</si>
  <si>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</si>
  <si>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</si>
  <si>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</si>
  <si>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</si>
  <si>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</si>
  <si>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</si>
  <si>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</si>
  <si>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</si>
  <si>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</si>
  <si>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</si>
  <si>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</si>
  <si>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</si>
  <si>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</si>
  <si>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</si>
  <si>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</si>
  <si>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</si>
  <si>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</si>
  <si>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</si>
  <si>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</si>
  <si>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</si>
  <si>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</si>
  <si>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</si>
  <si>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</si>
  <si>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</si>
  <si>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</si>
  <si>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</si>
  <si>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</si>
  <si>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</si>
  <si>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</si>
  <si>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</si>
  <si>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</si>
  <si>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</si>
  <si>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</si>
  <si>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</si>
  <si>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</si>
  <si>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</si>
  <si>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</si>
  <si>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</si>
  <si>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</si>
  <si>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</si>
  <si>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</si>
  <si>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</si>
  <si>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</si>
  <si>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</si>
  <si>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</si>
  <si>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</si>
  <si>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</si>
  <si>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</si>
  <si>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</si>
  <si>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</si>
  <si>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</si>
  <si>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</si>
  <si>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</si>
  <si>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</si>
  <si>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</si>
  <si>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</si>
  <si>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</si>
  <si>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</si>
  <si>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</si>
  <si>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</si>
  <si>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</si>
  <si>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</si>
  <si>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</si>
  <si>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</si>
  <si>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</si>
  <si>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</si>
  <si>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</si>
  <si>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</si>
  <si>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</si>
  <si>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</si>
  <si>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</si>
  <si>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</si>
  <si>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</si>
  <si>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</si>
  <si>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</si>
  <si>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</si>
  <si>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</si>
  <si>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</si>
  <si>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</si>
  <si>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</si>
  <si>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</si>
  <si>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</si>
  <si>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</si>
  <si>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</si>
  <si>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</si>
  <si>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</si>
  <si>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</si>
  <si>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</si>
  <si>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</si>
  <si>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</si>
  <si>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</si>
  <si>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</si>
  <si>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</si>
  <si>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</si>
  <si>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</si>
  <si>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</si>
  <si>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</si>
  <si>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</si>
  <si>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</si>
  <si>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</si>
  <si>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</si>
  <si>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</si>
  <si>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</si>
  <si>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</si>
  <si>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</si>
  <si>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</si>
  <si>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</si>
  <si>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</si>
  <si>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</si>
  <si>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</si>
  <si>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</si>
  <si>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</si>
  <si>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</si>
  <si>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</si>
  <si>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</si>
  <si>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</si>
  <si>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</si>
  <si>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</si>
  <si>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</si>
  <si>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</si>
  <si>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</si>
  <si>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</si>
  <si>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</si>
  <si>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</si>
  <si>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</si>
  <si>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</si>
  <si>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</si>
  <si>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</si>
  <si>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</si>
  <si>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</si>
  <si>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</si>
  <si>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</si>
  <si>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</si>
  <si>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</si>
  <si>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</si>
  <si>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</si>
  <si>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</si>
  <si>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</si>
  <si>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</si>
  <si>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</si>
  <si>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</si>
  <si>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</si>
  <si>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</si>
  <si>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</si>
  <si>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</si>
  <si>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</si>
  <si>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</si>
  <si>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</si>
  <si>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</si>
  <si>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</si>
  <si>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</si>
  <si>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</si>
  <si>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</si>
  <si>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</si>
  <si>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</si>
  <si>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</si>
  <si>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</si>
  <si>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</si>
  <si>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</si>
  <si>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</si>
  <si>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</si>
  <si>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</si>
  <si>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</si>
  <si>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</si>
  <si>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</si>
  <si>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</si>
  <si>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</si>
  <si>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</si>
  <si>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</si>
  <si>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</si>
  <si>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</si>
  <si>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</si>
  <si>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</si>
  <si>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</si>
  <si>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</si>
  <si>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</si>
  <si>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</si>
  <si>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</si>
  <si>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</si>
  <si>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</si>
  <si>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</si>
  <si>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</si>
  <si>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</si>
  <si>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</si>
  <si>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</si>
  <si>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</si>
  <si>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</si>
  <si>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</si>
  <si>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</si>
  <si>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</si>
  <si>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</si>
  <si>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</si>
  <si>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</si>
  <si>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</si>
  <si>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</si>
  <si>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</si>
  <si>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</si>
  <si>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</si>
  <si>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</si>
  <si>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</si>
  <si>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</si>
  <si>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</si>
  <si>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</si>
  <si>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</si>
  <si>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</si>
  <si>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</si>
  <si>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</si>
  <si>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</si>
  <si>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</si>
  <si>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</si>
  <si>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</si>
  <si>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</si>
  <si>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</si>
  <si>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</si>
  <si>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</si>
  <si>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</si>
  <si>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</si>
  <si>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</si>
  <si>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</si>
  <si>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</si>
  <si>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</si>
  <si>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</si>
  <si>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</si>
  <si>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</si>
  <si>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</si>
  <si>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</si>
  <si>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</si>
  <si>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</si>
  <si>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</si>
  <si>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</si>
  <si>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</si>
  <si>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</si>
  <si>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</si>
  <si>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</si>
  <si>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</si>
  <si>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</si>
  <si>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</si>
  <si>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</si>
  <si>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</si>
  <si>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</si>
  <si>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</si>
  <si>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</si>
  <si>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</si>
  <si>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</si>
  <si>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</si>
  <si>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</si>
  <si>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</si>
  <si>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</si>
  <si>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</si>
  <si>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</si>
  <si>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</si>
  <si>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</si>
  <si>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</si>
  <si>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</si>
  <si>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</si>
  <si>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</si>
  <si>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</si>
  <si>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</si>
  <si>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</si>
  <si>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</si>
  <si>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</si>
  <si>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</si>
  <si>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</si>
  <si>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</si>
  <si>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</si>
  <si>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</si>
  <si>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</si>
  <si>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</si>
  <si>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</si>
  <si>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</si>
  <si>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</si>
  <si>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</si>
  <si>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</si>
  <si>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</si>
  <si>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</si>
  <si>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</si>
  <si>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</si>
  <si>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</si>
  <si>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</si>
  <si>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</si>
  <si>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</si>
  <si>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</si>
  <si>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</si>
  <si>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</si>
  <si>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</si>
  <si>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</si>
  <si>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</si>
  <si>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</si>
  <si>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</si>
  <si>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</si>
  <si>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</si>
  <si>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</si>
  <si>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</si>
  <si>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</si>
  <si>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</si>
  <si>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</si>
  <si>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</si>
  <si>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</si>
  <si>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</si>
  <si>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</si>
  <si>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</si>
  <si>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</si>
  <si>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</si>
  <si>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</si>
  <si>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</si>
  <si>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</si>
  <si>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</si>
  <si>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</si>
  <si>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</si>
  <si>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</si>
  <si>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</si>
  <si>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</si>
  <si>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</si>
  <si>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</si>
  <si>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</si>
  <si>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</si>
  <si>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</si>
  <si>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</si>
  <si>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</si>
  <si>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</si>
  <si>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</si>
  <si>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</si>
  <si>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</si>
  <si>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</si>
  <si>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</si>
  <si>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</si>
  <si>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</si>
  <si>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</si>
  <si>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</si>
  <si>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</si>
  <si>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</si>
  <si>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</si>
  <si>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</si>
  <si>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</si>
  <si>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</si>
  <si>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</si>
  <si>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</si>
  <si>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</si>
  <si>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</si>
  <si>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</si>
  <si>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</si>
  <si>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</si>
  <si>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</si>
  <si>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</si>
  <si>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</si>
  <si>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</si>
  <si>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</si>
  <si>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</si>
  <si>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</si>
  <si>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</si>
  <si>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</si>
  <si>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</si>
  <si>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</si>
  <si>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</si>
  <si>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</si>
  <si>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</si>
  <si>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</si>
  <si>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</si>
  <si>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</si>
  <si>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</si>
  <si>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</si>
  <si>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</si>
  <si>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</si>
  <si>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</si>
  <si>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</si>
  <si>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</si>
  <si>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</si>
  <si>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</si>
  <si>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</si>
  <si>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</si>
  <si>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</si>
  <si>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</si>
  <si>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</si>
  <si>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</si>
  <si>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</si>
  <si>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</si>
  <si>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</si>
  <si>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</si>
  <si>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</si>
  <si>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</si>
  <si>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</si>
  <si>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</si>
  <si>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</si>
  <si>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</si>
  <si>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</si>
  <si>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</si>
  <si>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</si>
  <si>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</si>
  <si>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</si>
  <si>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</si>
  <si>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</si>
  <si>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</si>
  <si>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</si>
  <si>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</si>
  <si>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</si>
  <si>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</si>
  <si>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</si>
  <si>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</si>
  <si>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</si>
  <si>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</si>
  <si>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</si>
  <si>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</si>
  <si>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</si>
  <si>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</si>
  <si>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</si>
  <si>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</si>
  <si>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</si>
  <si>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</si>
  <si>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</si>
  <si>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</si>
  <si>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</si>
  <si>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</si>
  <si>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</si>
  <si>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</si>
  <si>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</si>
  <si>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</si>
  <si>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</si>
  <si>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</si>
  <si>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</si>
  <si>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</si>
  <si>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</si>
  <si>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</si>
  <si>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</si>
  <si>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</si>
  <si>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</si>
  <si>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</si>
  <si>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</si>
  <si>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</si>
  <si>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</si>
  <si>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</si>
  <si>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</si>
  <si>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</si>
  <si>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</si>
  <si>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</si>
  <si>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</si>
  <si>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</si>
  <si>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</si>
  <si>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</si>
  <si>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</si>
  <si>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</si>
  <si>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</si>
  <si>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</si>
  <si>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</si>
  <si>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</si>
  <si>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</si>
  <si>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</si>
  <si>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</si>
  <si>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</si>
  <si>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</si>
  <si>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</si>
  <si>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</si>
  <si>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</si>
  <si>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</si>
  <si>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</si>
  <si>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</si>
  <si>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</si>
  <si>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</si>
  <si>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</si>
  <si>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</si>
  <si>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</si>
  <si>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</si>
  <si>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</si>
  <si>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</si>
  <si>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</si>
  <si>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</si>
  <si>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</si>
  <si>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</si>
  <si>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</si>
  <si>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</si>
  <si>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</si>
  <si>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</si>
  <si>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</si>
  <si>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</si>
  <si>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</si>
  <si>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</si>
  <si>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</si>
  <si>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</si>
  <si>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</si>
  <si>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</si>
  <si>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</si>
  <si>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</si>
  <si>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</si>
  <si>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</si>
  <si>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</si>
  <si>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</si>
  <si>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</si>
  <si>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</si>
  <si>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</si>
  <si>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</si>
  <si>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</si>
  <si>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</si>
  <si>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</si>
  <si>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</si>
  <si>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</si>
  <si>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</si>
  <si>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</si>
  <si>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</si>
  <si>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</si>
  <si>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</si>
  <si>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</si>
  <si>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</si>
  <si>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</si>
  <si>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</si>
  <si>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</si>
  <si>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</si>
  <si>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</si>
  <si>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</si>
  <si>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</si>
  <si>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</si>
  <si>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</si>
  <si>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</si>
  <si>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</si>
  <si>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</si>
  <si>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</si>
  <si>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</si>
  <si>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</si>
  <si>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</si>
  <si>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</si>
  <si>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</si>
  <si>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</si>
  <si>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</si>
  <si>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</si>
  <si>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</si>
  <si>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</si>
  <si>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</si>
  <si>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</si>
  <si>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</si>
  <si>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</si>
  <si>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</si>
  <si>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</si>
  <si>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</si>
  <si>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</si>
  <si>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</si>
  <si>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</si>
  <si>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</si>
  <si>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</si>
  <si>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</si>
  <si>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</si>
  <si>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</si>
  <si>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</si>
  <si>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</si>
  <si>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</si>
  <si>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</si>
  <si>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</si>
  <si>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</si>
  <si>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</si>
  <si>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</si>
  <si>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</si>
  <si>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</si>
  <si>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</si>
  <si>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</si>
  <si>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</si>
  <si>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</si>
  <si>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</si>
  <si>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</si>
  <si>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</si>
  <si>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</si>
  <si>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</si>
  <si>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</si>
  <si>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</si>
  <si>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</si>
  <si>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</si>
  <si>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</si>
  <si>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</si>
  <si>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</si>
  <si>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</si>
  <si>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</si>
  <si>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</si>
  <si>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</si>
  <si>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</si>
  <si>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</si>
  <si>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</si>
  <si>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</si>
  <si>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</si>
  <si>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</si>
  <si>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</si>
  <si>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</si>
  <si>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</si>
  <si>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</si>
  <si>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</si>
  <si>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</si>
  <si>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</si>
  <si>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</si>
  <si>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</si>
  <si>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</si>
  <si>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</si>
  <si>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</si>
  <si>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</si>
  <si>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</si>
  <si>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</si>
  <si>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</si>
  <si>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</si>
  <si>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</si>
  <si>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</si>
  <si>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</si>
  <si>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</si>
  <si>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</si>
  <si>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</si>
  <si>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</si>
  <si>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</si>
  <si>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</si>
  <si>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</si>
  <si>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</si>
  <si>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</si>
  <si>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</si>
  <si>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</si>
  <si>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</si>
  <si>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</si>
  <si>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</si>
  <si>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</si>
  <si>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</si>
  <si>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</si>
  <si>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</si>
  <si>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</si>
  <si>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</si>
  <si>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</si>
  <si>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</si>
  <si>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</si>
  <si>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</si>
  <si>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</si>
  <si>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</si>
  <si>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</si>
  <si>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</si>
  <si>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</si>
  <si>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</si>
  <si>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</si>
  <si>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</si>
  <si>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</si>
  <si>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</si>
  <si>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</si>
  <si>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</si>
  <si>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</si>
  <si>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</si>
  <si>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</si>
  <si>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</si>
  <si>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</si>
  <si>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</si>
  <si>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</si>
  <si>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</si>
  <si>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</si>
  <si>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</si>
  <si>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</si>
  <si>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</si>
  <si>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</si>
  <si>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</si>
  <si>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</si>
  <si>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</si>
  <si>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</si>
  <si>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</si>
  <si>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</si>
  <si>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</si>
  <si>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</si>
  <si>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</si>
  <si>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</si>
  <si>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</si>
  <si>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</si>
  <si>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</si>
  <si>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</si>
  <si>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</si>
  <si>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</si>
  <si>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</si>
  <si>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</si>
  <si>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</si>
  <si>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</si>
  <si>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</si>
  <si>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</si>
  <si>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</si>
  <si>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</si>
  <si>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</si>
  <si>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</si>
  <si>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</si>
  <si>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</si>
  <si>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</si>
  <si>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</si>
  <si>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</si>
  <si>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</si>
  <si>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</si>
  <si>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</si>
  <si>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</si>
  <si>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</si>
  <si>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</si>
  <si>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</si>
  <si>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</si>
  <si>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</si>
  <si>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</si>
  <si>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</si>
  <si>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</si>
  <si>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</si>
  <si>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</si>
  <si>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</si>
  <si>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</si>
  <si>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</si>
  <si>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</si>
  <si>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</si>
  <si>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</si>
  <si>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</si>
  <si>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</si>
  <si>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</si>
  <si>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</si>
  <si>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</si>
  <si>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</si>
  <si>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</si>
  <si>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</si>
  <si>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</si>
  <si>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</si>
  <si>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</si>
  <si>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</si>
  <si>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</si>
  <si>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</si>
  <si>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</si>
  <si>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</si>
  <si>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</si>
  <si>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</si>
  <si>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</si>
  <si>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</si>
  <si>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</si>
  <si>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</si>
  <si>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</si>
  <si>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</si>
  <si>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</si>
  <si>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</si>
  <si>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</si>
  <si>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</si>
  <si>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</si>
  <si>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</si>
  <si>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</si>
  <si>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</si>
  <si>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</si>
  <si>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</si>
  <si>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</si>
  <si>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</si>
  <si>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</si>
  <si>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</si>
  <si>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</si>
  <si>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</si>
  <si>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</si>
  <si>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</si>
  <si>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</si>
  <si>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</si>
  <si>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</si>
  <si>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</si>
  <si>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</si>
  <si>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</si>
  <si>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</si>
  <si>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</si>
  <si>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</si>
  <si>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</si>
  <si>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</si>
  <si>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</si>
  <si>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</si>
  <si>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</si>
  <si>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</si>
  <si>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</si>
  <si>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</si>
  <si>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</si>
  <si>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</si>
  <si>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</si>
  <si>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</si>
  <si>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</si>
  <si>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</si>
  <si>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</si>
  <si>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</si>
  <si>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</si>
  <si>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</si>
  <si>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</si>
  <si>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</si>
  <si>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</si>
  <si>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</si>
  <si>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</si>
  <si>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</si>
  <si>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</si>
  <si>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</si>
  <si>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</si>
  <si>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</si>
  <si>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</si>
  <si>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</si>
  <si>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</si>
  <si>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</si>
  <si>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</si>
  <si>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</si>
  <si>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</si>
  <si>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</si>
  <si>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</si>
  <si>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</si>
  <si>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</si>
  <si>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</si>
  <si>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</si>
  <si>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</si>
  <si>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</si>
  <si>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</si>
  <si>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</si>
  <si>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</si>
  <si>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</si>
  <si>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</si>
  <si>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</si>
  <si>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</si>
  <si>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</si>
  <si>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</si>
  <si>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</si>
  <si>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</si>
  <si>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</si>
  <si>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</si>
  <si>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</si>
  <si>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</si>
  <si>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</si>
  <si>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</si>
  <si>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</si>
  <si>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</si>
  <si>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</si>
  <si>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</si>
  <si>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</si>
  <si>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</si>
  <si>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</si>
  <si>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</si>
  <si>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</si>
  <si>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</si>
  <si>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</si>
  <si>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</si>
  <si>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</si>
  <si>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</si>
  <si>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</si>
  <si>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</si>
  <si>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</si>
  <si>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</si>
  <si>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</si>
  <si>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</si>
  <si>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</si>
  <si>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</si>
  <si>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</si>
  <si>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</si>
  <si>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</si>
  <si>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</si>
  <si>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</si>
  <si>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</si>
  <si>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</si>
  <si>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</si>
  <si>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</si>
  <si>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</si>
  <si>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</si>
  <si>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</si>
  <si>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</si>
  <si>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</si>
  <si>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</si>
  <si>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</si>
  <si>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</si>
  <si>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</si>
  <si>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</si>
  <si>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</si>
  <si>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</si>
  <si>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</si>
  <si>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</si>
  <si>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</si>
  <si>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</si>
  <si>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</si>
  <si>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</si>
  <si>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</si>
  <si>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</si>
  <si>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</si>
  <si>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</si>
  <si>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</si>
  <si>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</si>
  <si>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</si>
  <si>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</si>
  <si>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</si>
  <si>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</si>
  <si>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</si>
  <si>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</si>
  <si>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</si>
  <si>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</si>
  <si>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</si>
  <si>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</si>
  <si>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</si>
  <si>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</si>
  <si>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</si>
  <si>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</si>
  <si>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</si>
  <si>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</si>
  <si>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</si>
  <si>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</si>
  <si>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</si>
  <si>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</si>
  <si>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</si>
  <si>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</si>
  <si>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</si>
  <si>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</si>
  <si>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</si>
  <si>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</si>
  <si>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</si>
  <si>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</si>
  <si>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</si>
  <si>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</si>
  <si>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</si>
  <si>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</si>
  <si>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</si>
  <si>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</si>
  <si>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</si>
  <si>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</si>
  <si>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</si>
  <si>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</si>
  <si>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</si>
  <si>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</si>
  <si>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</si>
  <si>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</si>
  <si>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</si>
  <si>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</si>
  <si>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</si>
  <si>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</si>
  <si>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</si>
  <si>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</si>
  <si>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</si>
  <si>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</si>
  <si>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</si>
  <si>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</si>
  <si>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</si>
  <si>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</si>
  <si>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</si>
  <si>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</si>
  <si>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</si>
  <si>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</si>
  <si>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</si>
  <si>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</si>
  <si>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</si>
  <si>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</si>
  <si>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</si>
  <si>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</si>
  <si>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</si>
  <si>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</si>
  <si>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</si>
  <si>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</si>
  <si>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</si>
  <si>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</si>
  <si>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</si>
  <si>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</si>
  <si>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</si>
  <si>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</si>
  <si>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</si>
  <si>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</si>
  <si>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</si>
  <si>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</si>
  <si>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</si>
  <si>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</si>
  <si>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</si>
  <si>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</si>
  <si>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</si>
  <si>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</si>
  <si>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</si>
  <si>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</si>
  <si>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</si>
  <si>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</si>
  <si>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</si>
  <si>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</si>
  <si>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</si>
  <si>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</si>
  <si>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</si>
  <si>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</si>
  <si>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</si>
  <si>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</si>
  <si>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</si>
  <si>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</si>
  <si>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</si>
  <si>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</si>
  <si>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</si>
  <si>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</si>
  <si>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</si>
  <si>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</si>
  <si>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</si>
  <si>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</si>
  <si>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</si>
  <si>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</si>
  <si>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</si>
  <si>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</si>
  <si>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</si>
  <si>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</si>
  <si>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</si>
  <si>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</si>
  <si>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</si>
  <si>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</si>
  <si>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</si>
  <si>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</si>
  <si>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</si>
  <si>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</si>
  <si>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</si>
  <si>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</si>
  <si>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</si>
  <si>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</si>
  <si>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</si>
  <si>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</si>
  <si>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</si>
  <si>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</si>
  <si>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</si>
  <si>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</si>
  <si>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</si>
  <si>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</si>
  <si>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</si>
  <si>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</si>
  <si>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</si>
  <si>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</si>
  <si>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</si>
  <si>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</si>
  <si>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</si>
  <si>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</si>
  <si>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</si>
  <si>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</si>
  <si>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</si>
  <si>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</si>
  <si>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</si>
  <si>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</si>
  <si>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</si>
  <si>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</si>
  <si>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</si>
  <si>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</si>
  <si>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</si>
  <si>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</si>
  <si>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</si>
  <si>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</si>
  <si>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</si>
  <si>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</si>
  <si>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</si>
  <si>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</si>
  <si>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</si>
  <si>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</si>
  <si>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</si>
  <si>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</si>
  <si>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</si>
  <si>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</si>
  <si>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</si>
  <si>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</si>
  <si>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</si>
  <si>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</si>
  <si>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</si>
  <si>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</si>
  <si>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</si>
  <si>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</si>
  <si>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</si>
  <si>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</si>
  <si>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</si>
  <si>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</si>
  <si>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</si>
  <si>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</si>
  <si>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</si>
  <si>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</si>
  <si>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</si>
  <si>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</si>
  <si>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</si>
  <si>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</si>
  <si>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</si>
  <si>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</si>
  <si>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</si>
  <si>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</si>
  <si>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</si>
  <si>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</si>
  <si>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</si>
  <si>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</si>
  <si>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</si>
  <si>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</si>
  <si>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</si>
  <si>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</si>
  <si>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</si>
  <si>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</si>
  <si>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</si>
  <si>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</si>
  <si>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</si>
  <si>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</si>
  <si>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</si>
  <si>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</si>
  <si>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</si>
  <si>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</si>
  <si>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</si>
  <si>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</si>
  <si>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</si>
  <si>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</si>
  <si>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</si>
  <si>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</si>
  <si>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</si>
  <si>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</si>
  <si>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</si>
  <si>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</si>
  <si>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</si>
  <si>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</si>
  <si>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</si>
  <si>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</si>
  <si>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</si>
  <si>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</si>
  <si>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</si>
  <si>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</si>
  <si>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</si>
  <si>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</si>
  <si>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</si>
  <si>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</si>
  <si>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</si>
  <si>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</si>
  <si>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</si>
  <si>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</si>
  <si>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</si>
  <si>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</si>
  <si>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</si>
  <si>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</si>
  <si>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</si>
  <si>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</si>
  <si>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</si>
  <si>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</si>
  <si>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</si>
  <si>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</si>
  <si>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</si>
  <si>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</si>
  <si>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</si>
  <si>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</si>
  <si>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</si>
  <si>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</si>
  <si>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</si>
  <si>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</si>
  <si>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</si>
  <si>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</si>
  <si>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</si>
  <si>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</si>
  <si>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</si>
  <si>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</si>
  <si>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</si>
  <si>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</si>
  <si>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</si>
  <si>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</si>
  <si>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</si>
  <si>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</si>
  <si>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</si>
  <si>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</si>
  <si>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</si>
  <si>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</si>
  <si>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</si>
  <si>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</si>
  <si>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</si>
  <si>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</si>
  <si>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</si>
  <si>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</si>
  <si>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</si>
  <si>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</si>
  <si>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</si>
  <si>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</si>
  <si>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</si>
  <si>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</si>
  <si>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</si>
  <si>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</si>
  <si>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</si>
  <si>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</si>
  <si>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</si>
  <si>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</si>
  <si>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</si>
  <si>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</si>
  <si>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</si>
  <si>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</si>
  <si>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</si>
  <si>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</si>
  <si>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</si>
  <si>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</si>
  <si>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</si>
  <si>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</si>
  <si>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</si>
  <si>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</si>
  <si>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</si>
  <si>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</si>
  <si>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</si>
  <si>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</si>
  <si>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</si>
  <si>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</si>
  <si>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</si>
  <si>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</si>
  <si>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</si>
  <si>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</si>
  <si>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</si>
  <si>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</si>
  <si>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</si>
  <si>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</si>
  <si>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</si>
  <si>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</si>
  <si>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</si>
  <si>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</si>
  <si>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</si>
  <si>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</si>
  <si>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</si>
  <si>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</si>
  <si>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</si>
  <si>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</si>
  <si>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</si>
  <si>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</si>
  <si>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</si>
  <si>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</si>
  <si>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</si>
  <si>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</si>
  <si>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</si>
  <si>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</si>
  <si>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</si>
  <si>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</si>
  <si>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</si>
  <si>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</si>
  <si>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</si>
  <si>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</si>
  <si>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</si>
  <si>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郑燚</t>
  </si>
  <si>
    <t>崔锴</t>
  </si>
  <si>
    <t>北京恒隆兴置业有限公司</t>
    <phoneticPr fontId="7" type="noConversion"/>
  </si>
  <si>
    <t>中诚信托</t>
    <phoneticPr fontId="7" type="noConversion"/>
  </si>
  <si>
    <t>抵押</t>
  </si>
  <si>
    <t>房地产抵押价值</t>
  </si>
  <si>
    <t>北京市</t>
  </si>
  <si>
    <t>企业</t>
  </si>
  <si>
    <t>出让</t>
  </si>
  <si>
    <r>
      <rPr>
        <sz val="12"/>
        <color theme="9" tint="-0.249977111117893"/>
        <rFont val="宋体"/>
        <family val="3"/>
        <charset val="134"/>
      </rPr>
      <t>北京市房山区拱辰街道</t>
    </r>
    <r>
      <rPr>
        <sz val="12"/>
        <color theme="9" tint="-0.249977111117893"/>
        <rFont val="Arial"/>
        <family val="2"/>
      </rPr>
      <t>16-03-04</t>
    </r>
    <r>
      <rPr>
        <sz val="12"/>
        <color theme="9" tint="-0.249977111117893"/>
        <rFont val="宋体"/>
        <family val="3"/>
        <charset val="134"/>
      </rPr>
      <t>、</t>
    </r>
    <r>
      <rPr>
        <sz val="12"/>
        <color theme="9" tint="-0.249977111117893"/>
        <rFont val="Arial"/>
        <family val="2"/>
      </rPr>
      <t>16-01-05</t>
    </r>
    <r>
      <rPr>
        <sz val="12"/>
        <color theme="9" tint="-0.249977111117893"/>
        <rFont val="宋体"/>
        <family val="3"/>
        <charset val="134"/>
      </rPr>
      <t>地块</t>
    </r>
    <phoneticPr fontId="7" type="noConversion"/>
  </si>
  <si>
    <r>
      <rPr>
        <sz val="12"/>
        <color theme="9" tint="-0.249977111117893"/>
        <rFont val="宋体"/>
        <family val="3"/>
        <charset val="134"/>
      </rPr>
      <t>商业</t>
    </r>
    <r>
      <rPr>
        <sz val="12"/>
        <color theme="9" tint="-0.249977111117893"/>
        <rFont val="Arial"/>
        <family val="2"/>
      </rPr>
      <t>36.5</t>
    </r>
    <r>
      <rPr>
        <sz val="12"/>
        <color theme="9" tint="-0.249977111117893"/>
        <rFont val="宋体"/>
        <family val="3"/>
        <charset val="134"/>
      </rPr>
      <t>年、办公及地下车库</t>
    </r>
    <r>
      <rPr>
        <sz val="12"/>
        <color theme="9" tint="-0.249977111117893"/>
        <rFont val="Arial"/>
        <family val="2"/>
      </rPr>
      <t>46.5</t>
    </r>
    <r>
      <rPr>
        <sz val="12"/>
        <color theme="9" tint="-0.249977111117893"/>
        <rFont val="宋体"/>
        <family val="3"/>
        <charset val="134"/>
      </rPr>
      <t>年</t>
    </r>
    <phoneticPr fontId="7" type="noConversion"/>
  </si>
  <si>
    <t>测绘报告</t>
    <phoneticPr fontId="7" type="noConversion"/>
  </si>
  <si>
    <t>商业项目</t>
  </si>
  <si>
    <t>无</t>
  </si>
  <si>
    <t>现房</t>
  </si>
  <si>
    <t>地下</t>
  </si>
  <si>
    <t>地上</t>
  </si>
  <si>
    <t>车库</t>
  </si>
  <si>
    <t>车库—商业</t>
  </si>
  <si>
    <t>办公楼</t>
  </si>
  <si>
    <t>下沉商业广场</t>
  </si>
  <si>
    <t>下沉商业广场</t>
    <phoneticPr fontId="17" type="noConversion"/>
  </si>
  <si>
    <t>G15-101</t>
    <phoneticPr fontId="4" type="noConversion"/>
  </si>
  <si>
    <t>是</t>
  </si>
  <si>
    <r>
      <t>G15</t>
    </r>
    <r>
      <rPr>
        <sz val="10"/>
        <color indexed="8"/>
        <rFont val="宋体"/>
        <family val="3"/>
        <charset val="134"/>
      </rPr>
      <t>其他</t>
    </r>
    <phoneticPr fontId="4" type="noConversion"/>
  </si>
  <si>
    <t>北区商业-122</t>
    <phoneticPr fontId="4" type="noConversion"/>
  </si>
  <si>
    <t>其他商业</t>
    <phoneticPr fontId="4" type="noConversion"/>
  </si>
  <si>
    <t>地下车库</t>
    <phoneticPr fontId="4" type="noConversion"/>
  </si>
  <si>
    <t>成新度</t>
  </si>
  <si>
    <t>标黄行5月底前取得大产权证，其余3月底前取得</t>
    <phoneticPr fontId="144" type="noConversion"/>
  </si>
  <si>
    <t>项目名称2</t>
  </si>
  <si>
    <t>楼栋名称2</t>
  </si>
  <si>
    <t>单元2</t>
  </si>
  <si>
    <t>房号2</t>
  </si>
  <si>
    <t>房间全称</t>
  </si>
  <si>
    <t>标准总价2</t>
  </si>
  <si>
    <t>建筑面积2</t>
  </si>
  <si>
    <t>装修标准</t>
  </si>
  <si>
    <t>销售状态2</t>
  </si>
  <si>
    <t>北京恒大滨河左岸-二期</t>
  </si>
  <si>
    <t>G15</t>
  </si>
  <si>
    <t>北京恒大滨河左岸-二期-G15-101</t>
  </si>
  <si>
    <t>豪装</t>
  </si>
  <si>
    <t>待售</t>
  </si>
  <si>
    <t>北京恒大滨河左岸-二期-G15-102</t>
  </si>
  <si>
    <t>北京恒大滨河左岸-二期-G15-103</t>
  </si>
  <si>
    <t>北京恒大滨河左岸-二期-G15-104</t>
  </si>
  <si>
    <t>北京恒大滨河左岸-二期-G15-105</t>
  </si>
  <si>
    <t>北京恒大滨河左岸-二期-G15-106</t>
  </si>
  <si>
    <t>北京恒大滨河左岸-二期-G15-107</t>
  </si>
  <si>
    <t>北京恒大滨河左岸-二期-G15-108</t>
  </si>
  <si>
    <t>北京恒大滨河左岸-二期-G15-109</t>
  </si>
  <si>
    <t>北京恒大滨河左岸-二期-G15-110</t>
  </si>
  <si>
    <t>北京恒大滨河左岸-二期-G15-111</t>
  </si>
  <si>
    <t>北京恒大滨河左岸-二期-G15-112</t>
  </si>
  <si>
    <t>北京恒大滨河左岸-二期-G15-113</t>
  </si>
  <si>
    <t>北京恒大滨河左岸-二期-G15-114</t>
  </si>
  <si>
    <t>北京恒大滨河左岸-二期-G15-115</t>
  </si>
  <si>
    <t>北京恒大滨河左岸-二期-G15-116</t>
  </si>
  <si>
    <t>北京恒大滨河左岸-二期-G15-201</t>
  </si>
  <si>
    <t>北京恒大滨河左岸-二期-G15-202</t>
  </si>
  <si>
    <t>北京恒大滨河左岸-二期-G15-203</t>
  </si>
  <si>
    <t>北京恒大滨河左岸-二期-G15-204</t>
  </si>
  <si>
    <t>北京恒大滨河左岸-二期-G15-205</t>
  </si>
  <si>
    <t>北京恒大滨河左岸-二期-G15-206</t>
  </si>
  <si>
    <t>北京恒大滨河左岸-二期-G15-207</t>
  </si>
  <si>
    <t>北京恒大滨河左岸-二期-G15-208</t>
  </si>
  <si>
    <t>北京恒大滨河左岸-二期-G15-209</t>
  </si>
  <si>
    <t>北京恒大滨河左岸-二期-G15-210</t>
  </si>
  <si>
    <t>北京恒大滨河左岸-二期-G15-211</t>
  </si>
  <si>
    <t>北京恒大滨河左岸-二期-G15-212</t>
  </si>
  <si>
    <t>北京恒大滨河左岸-二期-G15-213</t>
  </si>
  <si>
    <t>北京恒大滨河左岸-二期-G15-214</t>
  </si>
  <si>
    <t>北京恒大滨河左岸-二期-G15-215</t>
  </si>
  <si>
    <t>北京恒大滨河左岸-二期-G15-216</t>
  </si>
  <si>
    <t>北京恒大滨河左岸-二期-G15-217</t>
  </si>
  <si>
    <t>北京恒大滨河左岸-二期-G15-218</t>
  </si>
  <si>
    <t>北京恒大滨河左岸-二期-G15-219</t>
  </si>
  <si>
    <t>北京恒大滨河左岸-二期-G15-221</t>
  </si>
  <si>
    <t>北京恒大滨河左岸-二期-G15-301</t>
  </si>
  <si>
    <t>北京恒大滨河左岸-二期-G15-302</t>
  </si>
  <si>
    <t>北京恒大滨河左岸-二期-G15-303</t>
  </si>
  <si>
    <t>北京恒大滨河左岸-二期-G15-304</t>
  </si>
  <si>
    <t>北京恒大滨河左岸-二期-G15-305</t>
  </si>
  <si>
    <t>北京恒大滨河左岸-二期-G15-306</t>
  </si>
  <si>
    <t>北京恒大滨河左岸-二期-G15-307</t>
  </si>
  <si>
    <t>北京恒大滨河左岸-二期-G15-308</t>
  </si>
  <si>
    <t>北京恒大滨河左岸-二期-G15-309</t>
  </si>
  <si>
    <t>北京恒大滨河左岸-二期-G15-310</t>
  </si>
  <si>
    <t>北京恒大滨河左岸-二期-G15-311</t>
  </si>
  <si>
    <t>北京恒大滨河左岸-二期-G15-312</t>
  </si>
  <si>
    <t>北京恒大滨河左岸-二期-G15-313</t>
  </si>
  <si>
    <t>北京恒大滨河左岸-二期-G15-314</t>
  </si>
  <si>
    <t>北京恒大滨河左岸-二期-G15-315</t>
  </si>
  <si>
    <t>北京恒大滨河左岸-二期-G15-316</t>
  </si>
  <si>
    <t>北京恒大滨河左岸-二期-G15-317</t>
  </si>
  <si>
    <t>北京恒大滨河左岸-二期-G15-318</t>
  </si>
  <si>
    <t>北京恒大滨河左岸-二期-G15-319</t>
  </si>
  <si>
    <t>北京恒大滨河左岸-二期-G15-321</t>
  </si>
  <si>
    <t>北京恒大滨河左岸-二期-G15-401</t>
  </si>
  <si>
    <t>北京恒大滨河左岸-二期-G15-402</t>
  </si>
  <si>
    <t>北京恒大滨河左岸-二期-G15-403</t>
  </si>
  <si>
    <t>北京恒大滨河左岸-二期-G15-404</t>
  </si>
  <si>
    <t>北京恒大滨河左岸-二期-G15-405</t>
  </si>
  <si>
    <t>北京恒大滨河左岸-二期-G15-406</t>
  </si>
  <si>
    <t>北京恒大滨河左岸-二期-G15-407</t>
  </si>
  <si>
    <t>北京恒大滨河左岸-二期-G15-408</t>
  </si>
  <si>
    <t>北京恒大滨河左岸-二期-G15-409</t>
  </si>
  <si>
    <t>北京恒大滨河左岸-二期-G15-410</t>
  </si>
  <si>
    <t>北京恒大滨河左岸-二期-G15-411</t>
  </si>
  <si>
    <t>北京恒大滨河左岸-二期-G15-412</t>
  </si>
  <si>
    <t>北京恒大滨河左岸-二期-G15-413</t>
  </si>
  <si>
    <t>北京恒大滨河左岸-二期-G15-414</t>
  </si>
  <si>
    <t>北京恒大滨河左岸-二期-G15-415</t>
  </si>
  <si>
    <t>北京恒大滨河左岸-二期-G15-416</t>
  </si>
  <si>
    <t>北京恒大滨河左岸-二期-G15-417</t>
  </si>
  <si>
    <t>北京恒大滨河左岸-二期-G15-418</t>
  </si>
  <si>
    <t>北京恒大滨河左岸-二期-G15-419</t>
  </si>
  <si>
    <t>北京恒大滨河左岸-二期-G15-421</t>
  </si>
  <si>
    <t>北京恒大滨河左岸-二期-G15-501</t>
  </si>
  <si>
    <t>北京恒大滨河左岸-二期-G15-502</t>
  </si>
  <si>
    <t>北京恒大滨河左岸-二期-G15-503</t>
  </si>
  <si>
    <t>北京恒大滨河左岸-二期-G15-504</t>
  </si>
  <si>
    <t>北京恒大滨河左岸-二期-G15-505</t>
  </si>
  <si>
    <t>北京恒大滨河左岸-二期-G15-506</t>
  </si>
  <si>
    <t>北京恒大滨河左岸-二期-G15-507</t>
  </si>
  <si>
    <t>北京恒大滨河左岸-二期-G15-508</t>
  </si>
  <si>
    <t>北京恒大滨河左岸-二期-G15-509</t>
  </si>
  <si>
    <t>北京恒大滨河左岸-二期-G15-510</t>
  </si>
  <si>
    <t>北京恒大滨河左岸-二期-G15-511</t>
  </si>
  <si>
    <t>北京恒大滨河左岸-二期-G15-512</t>
  </si>
  <si>
    <t>北京恒大滨河左岸-二期-G15-513</t>
  </si>
  <si>
    <t>北京恒大滨河左岸-二期-G15-514</t>
  </si>
  <si>
    <t>北京恒大滨河左岸-二期-G15-515</t>
  </si>
  <si>
    <t>北京恒大滨河左岸-二期-G15-516</t>
  </si>
  <si>
    <t>北京恒大滨河左岸-二期-G15-517</t>
  </si>
  <si>
    <t>北京恒大滨河左岸-二期-G15-518</t>
  </si>
  <si>
    <t>北京恒大滨河左岸-二期-G15-519</t>
  </si>
  <si>
    <t>北京恒大滨河左岸-二期-G15-521</t>
  </si>
  <si>
    <t>北京恒大滨河左岸-商铺</t>
  </si>
  <si>
    <t>商业G15</t>
  </si>
  <si>
    <t>北京恒大滨河左岸-商铺-商业G15-015</t>
  </si>
  <si>
    <t>毛坯</t>
  </si>
  <si>
    <t>16_01_05地块</t>
  </si>
  <si>
    <t>北京恒大滨河左岸-商铺-16_01_05地块--122</t>
  </si>
  <si>
    <t>北京恒大滨河左岸-商铺-16_01_05地块--123</t>
  </si>
  <si>
    <t>北京恒大滨河左岸-商铺-16_01_05地块--124</t>
  </si>
  <si>
    <t>北京恒大滨河左岸-商铺-16_01_05地块--125</t>
  </si>
  <si>
    <t>北京恒大滨河左岸-商铺-16_01_05地块--126</t>
  </si>
  <si>
    <t>北京恒大滨河左岸-商铺-16_01_05地块--127</t>
  </si>
  <si>
    <t>北京恒大滨河左岸-商铺-16_01_05地块--128</t>
  </si>
  <si>
    <t>北京恒大滨河左岸-商铺-16_01_05地块--129</t>
  </si>
  <si>
    <t>16_03_04地块</t>
  </si>
  <si>
    <t>北京恒大滨河左岸-商铺-16_03_04地块--056</t>
  </si>
  <si>
    <t>49.68</t>
  </si>
  <si>
    <t>负一层</t>
    <phoneticPr fontId="144" type="noConversion"/>
  </si>
  <si>
    <t>北京恒大滨河左岸-商铺-16_03_04地块--057</t>
  </si>
  <si>
    <t>47.32</t>
  </si>
  <si>
    <t>北京恒大滨河左岸-商铺-16_03_04地块--058</t>
  </si>
  <si>
    <t>35.06</t>
  </si>
  <si>
    <t>北京恒大滨河左岸-商铺-16_03_04地块--059</t>
  </si>
  <si>
    <t>北京恒大滨河左岸-商铺-16_03_04地块--060</t>
  </si>
  <si>
    <t>36.81</t>
  </si>
  <si>
    <t>北京恒大滨河左岸-商铺-16_03_04地块--061</t>
  </si>
  <si>
    <t>74.21</t>
  </si>
  <si>
    <t>北京恒大滨河左岸-商铺-16_03_04地块--062</t>
  </si>
  <si>
    <t>113.29</t>
  </si>
  <si>
    <t>北京恒大滨河左岸-商铺-16_03_04地块--063</t>
  </si>
  <si>
    <t>57.65</t>
  </si>
  <si>
    <t>北京恒大滨河左岸-商铺-16_03_04地块--064</t>
  </si>
  <si>
    <t>90.83</t>
  </si>
  <si>
    <t>北京恒大滨河左岸-商铺-16_03_04地块--065</t>
  </si>
  <si>
    <t>北京恒大滨河左岸-商铺-16_03_04地块--066</t>
  </si>
  <si>
    <t>北京恒大滨河左岸-商铺-16_03_04地块--067</t>
  </si>
  <si>
    <t>北京恒大滨河左岸-商铺-16_03_04地块--068</t>
  </si>
  <si>
    <t>70.74</t>
  </si>
  <si>
    <t>北京恒大滨河左岸-商铺-16_03_04地块--069</t>
  </si>
  <si>
    <t>北京恒大滨河左岸-商铺-16_03_04地块--070</t>
  </si>
  <si>
    <t>92.58</t>
  </si>
  <si>
    <t>北京恒大滨河左岸-商铺-16_03_04地块--071</t>
  </si>
  <si>
    <t>北京恒大滨河左岸-商铺-16_03_04地块--072</t>
  </si>
  <si>
    <t>北京恒大滨河左岸-商铺-16_03_04地块--073</t>
  </si>
  <si>
    <t>55.89</t>
  </si>
  <si>
    <t>北京恒大滨河左岸-商铺-16_03_04地块--074</t>
  </si>
  <si>
    <t>58.51</t>
  </si>
  <si>
    <t>北京恒大滨河左岸-商铺-16_03_04地块--094</t>
  </si>
  <si>
    <t>51.20</t>
  </si>
  <si>
    <t>北京恒大滨河左岸-商铺-16_03_04地块--0142</t>
  </si>
  <si>
    <t>76.95</t>
  </si>
  <si>
    <t>北京恒大滨河左岸-商铺-16_03_04地块--0143</t>
  </si>
  <si>
    <t>70.03</t>
  </si>
  <si>
    <t>北京恒大滨河左岸-商铺-16_03_04地块--0144</t>
  </si>
  <si>
    <t>58.35</t>
  </si>
  <si>
    <t>北京恒大滨河左岸-商铺-16_03_04地块--0145</t>
  </si>
  <si>
    <t>67.52</t>
  </si>
  <si>
    <t>北京恒大滨河左岸-商铺-16_03_04地块--0146</t>
  </si>
  <si>
    <t>31.47</t>
  </si>
  <si>
    <t>北京恒大滨河左岸-商铺-16_03_04地块--0147</t>
  </si>
  <si>
    <t>53.19</t>
  </si>
  <si>
    <t>北京恒大滨河左岸-商铺-16_03_04地块--0148</t>
  </si>
  <si>
    <t>38.49</t>
  </si>
  <si>
    <t>北京恒大滨河左岸-商铺-16_03_04地块--0149</t>
  </si>
  <si>
    <t>55.56</t>
  </si>
  <si>
    <t>北京恒大滨河左岸-商铺-16_03_04地块--0150</t>
  </si>
  <si>
    <t>48.38</t>
  </si>
  <si>
    <t>北京恒大滨河左岸-商铺-16_03_04地块--0151</t>
  </si>
  <si>
    <t>59.38</t>
  </si>
  <si>
    <t>北京恒大滨河左岸-商铺-16_03_04地块--0152</t>
  </si>
  <si>
    <t>62.29</t>
  </si>
  <si>
    <t>北京恒大滨河左岸-商铺-16_03_04地块--52</t>
  </si>
  <si>
    <t>50.08</t>
  </si>
  <si>
    <t>负二层</t>
    <phoneticPr fontId="144" type="noConversion"/>
  </si>
  <si>
    <t>北京恒大滨河左岸-商铺-16_03_04地块--53</t>
  </si>
  <si>
    <t>47.70</t>
  </si>
  <si>
    <t>北京恒大滨河左岸-商铺-16_03_04地块--54</t>
  </si>
  <si>
    <t>35.34</t>
  </si>
  <si>
    <t>北京恒大滨河左岸-商铺-16_03_04地块--55</t>
  </si>
  <si>
    <t>北京恒大滨河左岸-商铺-16_03_04地块--56</t>
  </si>
  <si>
    <t>37.11</t>
  </si>
  <si>
    <t>北京恒大滨河左岸-商铺-16_03_04地块--57</t>
  </si>
  <si>
    <t>74.80</t>
  </si>
  <si>
    <t>北京恒大滨河左岸-商铺-16_03_04地块--58</t>
  </si>
  <si>
    <t>114.20</t>
  </si>
  <si>
    <t>北京恒大滨河左岸-商铺-16_03_04地块--59</t>
  </si>
  <si>
    <t>58.11</t>
  </si>
  <si>
    <t>北京恒大滨河左岸-商铺-16_03_04地块--60</t>
  </si>
  <si>
    <t>91.56</t>
  </si>
  <si>
    <t>北京恒大滨河左岸-商铺-16_03_04地块--61</t>
  </si>
  <si>
    <t>北京恒大滨河左岸-商铺-16_03_04地块--62</t>
  </si>
  <si>
    <t>北京恒大滨河左岸-商铺-16_03_04地块--63</t>
  </si>
  <si>
    <t>北京恒大滨河左岸-商铺-16_03_04地块--64</t>
  </si>
  <si>
    <t>71.31</t>
  </si>
  <si>
    <t>北京恒大滨河左岸-商铺-16_03_04地块--65</t>
  </si>
  <si>
    <t>北京恒大滨河左岸-商铺-16_03_04地块--66</t>
  </si>
  <si>
    <t>93.33</t>
  </si>
  <si>
    <t>北京恒大滨河左岸-商铺-16_03_04地块--67</t>
  </si>
  <si>
    <t>北京恒大滨河左岸-商铺-16_03_04地块--68</t>
  </si>
  <si>
    <t>北京恒大滨河左岸-商铺-16_03_04地块--69</t>
  </si>
  <si>
    <t>56.34</t>
  </si>
  <si>
    <t>北京恒大滨河左岸-商铺-16_03_04地块--70</t>
  </si>
  <si>
    <t>北京恒大滨河左岸-商铺-16_03_04地块--71</t>
  </si>
  <si>
    <t>74.84</t>
  </si>
  <si>
    <t>北京恒大滨河左岸-商铺-16_03_04地块--72</t>
  </si>
  <si>
    <t>北京恒大滨河左岸-商铺-16_03_04地块--73</t>
  </si>
  <si>
    <t>58.28</t>
  </si>
  <si>
    <t>北京恒大滨河左岸-商铺-16_03_04地块--74</t>
  </si>
  <si>
    <t>58.38</t>
  </si>
  <si>
    <t>北京恒大滨河左岸-商铺-16_03_04地块--75</t>
  </si>
  <si>
    <t>28.22</t>
  </si>
  <si>
    <t>北京恒大滨河左岸-商铺-16_03_04地块--76</t>
  </si>
  <si>
    <t>29.10</t>
  </si>
  <si>
    <t>北京恒大滨河左岸-商铺-16_03_04地块--77</t>
  </si>
  <si>
    <t>51.22</t>
  </si>
  <si>
    <t>北京恒大滨河左岸-商铺-16_03_04地块--78</t>
  </si>
  <si>
    <t>48.60</t>
  </si>
  <si>
    <t>北京恒大滨河左岸-商铺-16_03_04地块--79</t>
  </si>
  <si>
    <t>59.67</t>
  </si>
  <si>
    <t>北京恒大滨河左岸-商铺-16_03_04地块--80</t>
  </si>
  <si>
    <t>97.26</t>
  </si>
  <si>
    <t>北京恒大滨河左岸-商铺-16_03_04地块--81</t>
  </si>
  <si>
    <t>88.73</t>
  </si>
  <si>
    <t>北京恒大滨河左岸-商铺-16_03_04地块--82</t>
  </si>
  <si>
    <t>56.01</t>
  </si>
  <si>
    <t>北京恒大滨河左岸-商铺-16_03_04地块--83</t>
  </si>
  <si>
    <t>48.87</t>
  </si>
  <si>
    <t>北京恒大滨河左岸-商铺-16_03_04地块--84</t>
  </si>
  <si>
    <t>60.07</t>
  </si>
  <si>
    <t>北京恒大滨河左岸-商铺-16_03_04地块--85</t>
  </si>
  <si>
    <t>63.08</t>
  </si>
  <si>
    <t>北京恒大滨河左岸-商铺-16_03_04地块--86</t>
  </si>
  <si>
    <t>53.61</t>
  </si>
  <si>
    <t>北京恒大滨河左岸-商铺-16_03_04地块--87</t>
  </si>
  <si>
    <t>31.72</t>
  </si>
  <si>
    <t>北京恒大滨河左岸-商铺-16_03_04地块--88</t>
  </si>
  <si>
    <t>68.08</t>
  </si>
  <si>
    <t>北京恒大滨河左岸-商铺-16_03_04地块--89</t>
  </si>
  <si>
    <t>58.82</t>
  </si>
  <si>
    <t>北京恒大滨河左岸-商铺-16_03_04地块--90</t>
  </si>
  <si>
    <t>73.32</t>
  </si>
  <si>
    <t>北京恒大滨河左岸-商铺-16_03_04地块--91</t>
  </si>
  <si>
    <t>77.59</t>
  </si>
  <si>
    <t>北京恒大滨河左岸-商铺-16_03_04地块--92</t>
  </si>
  <si>
    <t>38.80</t>
  </si>
  <si>
    <t>北京恒大滨河左岸-商铺-16_03_04地块--95</t>
  </si>
  <si>
    <t>83.17</t>
  </si>
  <si>
    <t>北京恒大滨河左岸-车位</t>
  </si>
  <si>
    <t>南区车位-G15车位</t>
  </si>
  <si>
    <t>北京恒大滨河左岸-车位-南区车位-G15车位--3001</t>
  </si>
  <si>
    <t>北京恒大滨河左岸-车位-南区车位-G15车位--3002</t>
  </si>
  <si>
    <t>北京恒大滨河左岸-车位-南区车位-G15车位--3003</t>
  </si>
  <si>
    <t>北京恒大滨河左岸-车位-南区车位-G15车位--3004</t>
  </si>
  <si>
    <t>北京恒大滨河左岸-车位-南区车位-G15车位--3005</t>
  </si>
  <si>
    <t>北京恒大滨河左岸-车位-南区车位-G15车位--3006</t>
  </si>
  <si>
    <t>北京恒大滨河左岸-车位-南区车位-G15车位--3007</t>
  </si>
  <si>
    <t>北京恒大滨河左岸-车位-南区车位-G15车位--3008</t>
  </si>
  <si>
    <t>北京恒大滨河左岸-车位-南区车位-G15车位--3009</t>
  </si>
  <si>
    <t>北京恒大滨河左岸-车位-南区车位-G15车位--3010</t>
  </si>
  <si>
    <t>北京恒大滨河左岸-车位-南区车位-G15车位--3011</t>
  </si>
  <si>
    <t>北京恒大滨河左岸-车位-南区车位-G15车位--3012</t>
  </si>
  <si>
    <t>北京恒大滨河左岸-车位-南区车位-G15车位--3013</t>
  </si>
  <si>
    <t>北京恒大滨河左岸-车位-南区车位-G15车位--3014</t>
  </si>
  <si>
    <t>北京恒大滨河左岸-车位-南区车位-G15车位--3015</t>
  </si>
  <si>
    <t>北京恒大滨河左岸-车位-南区车位-G15车位--3016</t>
  </si>
  <si>
    <t>北京恒大滨河左岸-车位-南区车位-G15车位--3017</t>
  </si>
  <si>
    <t>北京恒大滨河左岸-车位-南区车位-G15车位--3018</t>
  </si>
  <si>
    <t>北京恒大滨河左岸-车位-南区车位-G15车位--3019</t>
  </si>
  <si>
    <t>北京恒大滨河左岸-车位-南区车位-G15车位--3020</t>
  </si>
  <si>
    <t>北京恒大滨河左岸-车位-南区车位-G15车位--3021</t>
  </si>
  <si>
    <t>北京恒大滨河左岸-车位-南区车位-G15车位--3022</t>
  </si>
  <si>
    <t>北京恒大滨河左岸-车位-南区车位-G15车位--3023</t>
  </si>
  <si>
    <t>北京恒大滨河左岸-车位-南区车位-G15车位--3024</t>
  </si>
  <si>
    <t>北京恒大滨河左岸-车位-南区车位-G15车位--3025</t>
  </si>
  <si>
    <t>南区车位-南区16_03_04地块</t>
  </si>
  <si>
    <t>北京恒大滨河左岸-车位-南区车位-南区16_03_04地块--1002</t>
  </si>
  <si>
    <t>北京恒大滨河左岸-车位-南区车位-南区16_03_04地块--1007</t>
  </si>
  <si>
    <t>北京恒大滨河左岸-车位-南区车位-南区16_03_04地块--1009</t>
  </si>
  <si>
    <t>北京恒大滨河左岸-车位-南区车位-南区16_03_04地块--1010</t>
  </si>
  <si>
    <t>北京恒大滨河左岸-车位-南区车位-南区16_03_04地块--1011</t>
  </si>
  <si>
    <t>北京恒大滨河左岸-车位-南区车位-南区16_03_04地块--1012</t>
  </si>
  <si>
    <t>北京恒大滨河左岸-车位-南区车位-南区16_03_04地块--1014</t>
  </si>
  <si>
    <t>北京恒大滨河左岸-车位-南区车位-南区16_03_04地块--1015</t>
  </si>
  <si>
    <t>北京恒大滨河左岸-车位-南区车位-南区16_03_04地块--1021</t>
  </si>
  <si>
    <t>北京恒大滨河左岸-车位-南区车位-南区16_03_04地块--1024</t>
  </si>
  <si>
    <t>北京恒大滨河左岸-车位-南区车位-南区16_03_04地块--1027</t>
  </si>
  <si>
    <t>北京恒大滨河左岸-车位-南区车位-南区16_03_04地块--1029</t>
  </si>
  <si>
    <t>北京恒大滨河左岸-车位-南区车位-南区16_03_04地块--1030</t>
  </si>
  <si>
    <t>北京恒大滨河左岸-车位-南区车位-南区16_03_04地块--1036</t>
  </si>
  <si>
    <t>北京恒大滨河左岸-车位-南区车位-南区16_03_04地块--1037</t>
  </si>
  <si>
    <t>北京恒大滨河左岸-车位-南区车位-南区16_03_04地块--1038</t>
  </si>
  <si>
    <t>北京恒大滨河左岸-车位-南区车位-南区16_03_04地块--1039</t>
  </si>
  <si>
    <t>北京恒大滨河左岸-车位-南区车位-南区16_03_04地块--1040</t>
  </si>
  <si>
    <t>北京恒大滨河左岸-车位-南区车位-南区16_03_04地块--1041</t>
  </si>
  <si>
    <t>北京恒大滨河左岸-车位-南区车位-南区16_03_04地块--1042</t>
  </si>
  <si>
    <t>北京恒大滨河左岸-车位-南区车位-南区16_03_04地块--1044</t>
  </si>
  <si>
    <t>北京恒大滨河左岸-车位-南区车位-南区16_03_04地块--1045</t>
  </si>
  <si>
    <t>北京恒大滨河左岸-车位-南区车位-南区16_03_04地块--1046</t>
  </si>
  <si>
    <t>北京恒大滨河左岸-车位-南区车位-南区16_03_04地块--1047</t>
  </si>
  <si>
    <t>北京恒大滨河左岸-车位-南区车位-南区16_03_04地块--1048</t>
  </si>
  <si>
    <t>北京恒大滨河左岸-车位-南区车位-南区16_03_04地块--1049</t>
  </si>
  <si>
    <t>北京恒大滨河左岸-车位-南区车位-南区16_03_04地块--1050</t>
  </si>
  <si>
    <t>北京恒大滨河左岸-车位-南区车位-南区16_03_04地块--1051</t>
  </si>
  <si>
    <t>北京恒大滨河左岸-车位-南区车位-南区16_03_04地块--1052</t>
  </si>
  <si>
    <t>北京恒大滨河左岸-车位-南区车位-南区16_03_04地块--1053</t>
  </si>
  <si>
    <t>北京恒大滨河左岸-车位-南区车位-南区16_03_04地块--1054</t>
  </si>
  <si>
    <t>北京恒大滨河左岸-车位-南区车位-南区16_03_04地块--1055</t>
  </si>
  <si>
    <t>北京恒大滨河左岸-车位-南区车位-南区16_03_04地块--1056</t>
  </si>
  <si>
    <t>北京恒大滨河左岸-车位-南区车位-南区16_03_04地块--1057</t>
  </si>
  <si>
    <t>北京恒大滨河左岸-车位-南区车位-南区16_03_04地块--1058</t>
  </si>
  <si>
    <t>北京恒大滨河左岸-车位-南区车位-南区16_03_04地块--1059</t>
  </si>
  <si>
    <t>北京恒大滨河左岸-车位-南区车位-南区16_03_04地块--1060</t>
  </si>
  <si>
    <t>北京恒大滨河左岸-车位-南区车位-南区16_03_04地块--1061</t>
  </si>
  <si>
    <t>北京恒大滨河左岸-车位-南区车位-南区16_03_04地块--1062</t>
  </si>
  <si>
    <t>北京恒大滨河左岸-车位-南区车位-南区16_03_04地块--1063</t>
  </si>
  <si>
    <t>北京恒大滨河左岸-车位-南区车位-南区16_03_04地块--1064</t>
  </si>
  <si>
    <t>北京恒大滨河左岸-车位-南区车位-南区16_03_04地块--1065</t>
  </si>
  <si>
    <t>北京恒大滨河左岸-车位-南区车位-南区16_03_04地块--1067</t>
  </si>
  <si>
    <t>北京恒大滨河左岸-车位-南区车位-南区16_03_04地块--1069</t>
  </si>
  <si>
    <t>北京恒大滨河左岸-车位-南区车位-南区16_03_04地块--1070</t>
  </si>
  <si>
    <t>北京恒大滨河左岸-车位-南区车位-南区16_03_04地块--1071</t>
  </si>
  <si>
    <t>北京恒大滨河左岸-车位-南区车位-南区16_03_04地块--1072</t>
  </si>
  <si>
    <t>北京恒大滨河左岸-车位-南区车位-南区16_03_04地块--1073</t>
  </si>
  <si>
    <t>北京恒大滨河左岸-车位-南区车位-南区16_03_04地块--1074</t>
  </si>
  <si>
    <t>北京恒大滨河左岸-车位-南区车位-南区16_03_04地块--1075</t>
  </si>
  <si>
    <t>北京恒大滨河左岸-车位-南区车位-南区16_03_04地块--1076</t>
  </si>
  <si>
    <t>北京恒大滨河左岸-车位-南区车位-南区16_03_04地块--1077</t>
  </si>
  <si>
    <t>北京恒大滨河左岸-车位-南区车位-南区16_03_04地块--1080</t>
  </si>
  <si>
    <t>北京恒大滨河左岸-车位-南区车位-南区16_03_04地块--1085</t>
  </si>
  <si>
    <t>北京恒大滨河左岸-车位-南区车位-南区16_03_04地块--1086</t>
  </si>
  <si>
    <t>北京恒大滨河左岸-车位-南区车位-南区16_03_04地块--1087</t>
  </si>
  <si>
    <t>北京恒大滨河左岸-车位-南区车位-南区16_03_04地块--1088</t>
  </si>
  <si>
    <t>北京恒大滨河左岸-车位-南区车位-南区16_03_04地块--1089</t>
  </si>
  <si>
    <t>北京恒大滨河左岸-车位-南区车位-南区16_03_04地块--1094</t>
  </si>
  <si>
    <t>北京恒大滨河左岸-车位-南区车位-南区16_03_04地块--1095</t>
  </si>
  <si>
    <t>北京恒大滨河左岸-车位-南区车位-南区16_03_04地块--1099</t>
  </si>
  <si>
    <t>北京恒大滨河左岸-车位-南区车位-南区16_03_04地块--1100</t>
  </si>
  <si>
    <t>北京恒大滨河左岸-车位-南区车位-南区16_03_04地块--1101</t>
  </si>
  <si>
    <t>北京恒大滨河左岸-车位-南区车位-南区16_03_04地块--1102</t>
  </si>
  <si>
    <t>北京恒大滨河左岸-车位-南区车位-南区16_03_04地块--1103</t>
  </si>
  <si>
    <t>北京恒大滨河左岸-车位-南区车位-南区16_03_04地块--1104</t>
  </si>
  <si>
    <t>北京恒大滨河左岸-车位-南区车位-南区16_03_04地块--1108</t>
  </si>
  <si>
    <t>北京恒大滨河左岸-车位-南区车位-南区16_03_04地块--1110</t>
  </si>
  <si>
    <t>北京恒大滨河左岸-车位-南区车位-南区16_03_04地块--1112</t>
  </si>
  <si>
    <t>北京恒大滨河左岸-车位-南区车位-南区16_03_04地块--1113</t>
  </si>
  <si>
    <t>北京恒大滨河左岸-车位-南区车位-南区16_03_04地块--1114</t>
  </si>
  <si>
    <t>北京恒大滨河左岸-车位-南区车位-南区16_03_04地块--1115</t>
  </si>
  <si>
    <t>北京恒大滨河左岸-车位-南区车位-南区16_03_04地块--1116</t>
  </si>
  <si>
    <t>北京恒大滨河左岸-车位-南区车位-南区16_03_04地块--1117</t>
  </si>
  <si>
    <t>北京恒大滨河左岸-车位-南区车位-南区16_03_04地块--1119</t>
  </si>
  <si>
    <t>北京恒大滨河左岸-车位-南区车位-南区16_03_04地块--1120</t>
  </si>
  <si>
    <t>北京恒大滨河左岸-车位-南区车位-南区16_03_04地块--1121</t>
  </si>
  <si>
    <t>北京恒大滨河左岸-车位-南区车位-南区16_03_04地块--1122</t>
  </si>
  <si>
    <t>北京恒大滨河左岸-车位-南区车位-南区16_03_04地块--1123</t>
  </si>
  <si>
    <t>北京恒大滨河左岸-车位-南区车位-南区16_03_04地块--1124</t>
  </si>
  <si>
    <t>北京恒大滨河左岸-车位-南区车位-南区16_03_04地块--1125</t>
  </si>
  <si>
    <t>北京恒大滨河左岸-车位-南区车位-南区16_03_04地块--1126</t>
  </si>
  <si>
    <t>北京恒大滨河左岸-车位-南区车位-南区16_03_04地块--1127</t>
  </si>
  <si>
    <t>北京恒大滨河左岸-车位-南区车位-南区16_03_04地块--1128</t>
  </si>
  <si>
    <t>北京恒大滨河左岸-车位-南区车位-南区16_03_04地块--1129</t>
  </si>
  <si>
    <t>北京恒大滨河左岸-车位-南区车位-南区16_03_04地块--1130</t>
  </si>
  <si>
    <t>北京恒大滨河左岸-车位-南区车位-南区16_03_04地块--1131</t>
  </si>
  <si>
    <t>北京恒大滨河左岸-车位-南区车位-南区16_03_04地块--1132</t>
  </si>
  <si>
    <t>北京恒大滨河左岸-车位-南区车位-南区16_03_04地块--1133</t>
  </si>
  <si>
    <t>北京恒大滨河左岸-车位-南区车位-南区16_03_04地块--1134</t>
  </si>
  <si>
    <t>北京恒大滨河左岸-车位-南区车位-南区16_03_04地块--1135</t>
  </si>
  <si>
    <t>北京恒大滨河左岸-车位-南区车位-南区16_03_04地块--1136</t>
  </si>
  <si>
    <t>北京恒大滨河左岸-车位-南区车位-南区16_03_04地块--1137</t>
  </si>
  <si>
    <t>北京恒大滨河左岸-车位-南区车位-南区16_03_04地块--1138</t>
  </si>
  <si>
    <t>北京恒大滨河左岸-车位-南区车位-南区16_03_04地块--1222</t>
  </si>
  <si>
    <t>北京恒大滨河左岸-车位-南区车位-南区16_03_04地块--2001</t>
  </si>
  <si>
    <t>北京恒大滨河左岸-车位-南区车位-南区16_03_04地块--2005</t>
  </si>
  <si>
    <t>北京恒大滨河左岸-车位-南区车位-南区16_03_04地块--2006</t>
  </si>
  <si>
    <t>北京恒大滨河左岸-车位-南区车位-南区16_03_04地块--2007</t>
  </si>
  <si>
    <t>北京恒大滨河左岸-车位-南区车位-南区16_03_04地块--2008</t>
  </si>
  <si>
    <t>北京恒大滨河左岸-车位-南区车位-南区16_03_04地块--2009</t>
  </si>
  <si>
    <t>北京恒大滨河左岸-车位-南区车位-南区16_03_04地块--2010</t>
  </si>
  <si>
    <t>北京恒大滨河左岸-车位-南区车位-南区16_03_04地块--2011</t>
  </si>
  <si>
    <t>北京恒大滨河左岸-车位-南区车位-南区16_03_04地块--2012</t>
  </si>
  <si>
    <t>北京恒大滨河左岸-车位-南区车位-南区16_03_04地块--2013</t>
  </si>
  <si>
    <t>北京恒大滨河左岸-车位-南区车位-南区16_03_04地块--2014</t>
  </si>
  <si>
    <t>北京恒大滨河左岸-车位-南区车位-南区16_03_04地块--2015</t>
  </si>
  <si>
    <t>北京恒大滨河左岸-车位-南区车位-南区16_03_04地块--2016</t>
  </si>
  <si>
    <t>北京恒大滨河左岸-车位-南区车位-南区16_03_04地块--2017</t>
  </si>
  <si>
    <t>北京恒大滨河左岸-车位-南区车位-南区16_03_04地块--2018</t>
  </si>
  <si>
    <t>北京恒大滨河左岸-车位-南区车位-南区16_03_04地块--2019</t>
  </si>
  <si>
    <t>北京恒大滨河左岸-车位-南区车位-南区16_03_04地块--2020</t>
  </si>
  <si>
    <t>北京恒大滨河左岸-车位-南区车位-南区16_03_04地块--2021</t>
  </si>
  <si>
    <t>北京恒大滨河左岸-车位-南区车位-南区16_03_04地块--2022</t>
  </si>
  <si>
    <t>北京恒大滨河左岸-车位-南区车位-南区16_03_04地块--2023</t>
  </si>
  <si>
    <t>北京恒大滨河左岸-车位-南区车位-南区16_03_04地块--2024</t>
  </si>
  <si>
    <t>北京恒大滨河左岸-车位-南区车位-南区16_03_04地块--2025</t>
  </si>
  <si>
    <t>北京恒大滨河左岸-车位-南区车位-南区16_03_04地块--2026</t>
  </si>
  <si>
    <t>北京恒大滨河左岸-车位-南区车位-南区16_03_04地块--2027</t>
  </si>
  <si>
    <t>北京恒大滨河左岸-车位-南区车位-南区16_03_04地块--2028</t>
  </si>
  <si>
    <t>北京恒大滨河左岸-车位-南区车位-南区16_03_04地块--2029</t>
  </si>
  <si>
    <t>北京恒大滨河左岸-车位-南区车位-南区16_03_04地块--2030</t>
  </si>
  <si>
    <t>北京恒大滨河左岸-车位-南区车位-南区16_03_04地块--2031</t>
  </si>
  <si>
    <t>北京恒大滨河左岸-车位-南区车位-南区16_03_04地块--2032</t>
  </si>
  <si>
    <t>北京恒大滨河左岸-车位-南区车位-南区16_03_04地块--2033</t>
  </si>
  <si>
    <t>北京恒大滨河左岸-车位-南区车位-南区16_03_04地块--2034</t>
  </si>
  <si>
    <t>北京恒大滨河左岸-车位-南区车位-南区16_03_04地块--2035</t>
  </si>
  <si>
    <t>北京恒大滨河左岸-车位-南区车位-南区16_03_04地块--2036</t>
  </si>
  <si>
    <t>北京恒大滨河左岸-车位-南区车位-南区16_03_04地块--2037</t>
  </si>
  <si>
    <t>北京恒大滨河左岸-车位-南区车位-南区16_03_04地块--2038</t>
  </si>
  <si>
    <t>北京恒大滨河左岸-车位-南区车位-南区16_03_04地块--2039</t>
  </si>
  <si>
    <t>北京恒大滨河左岸-车位-南区车位-南区16_03_04地块--2040</t>
  </si>
  <si>
    <t>北京恒大滨河左岸-车位-南区车位-南区16_03_04地块--2042</t>
  </si>
  <si>
    <t>北京恒大滨河左岸-车位-南区车位-南区16_03_04地块--2043</t>
  </si>
  <si>
    <t>北京恒大滨河左岸-车位-南区车位-南区16_03_04地块--2044</t>
  </si>
  <si>
    <t>北京恒大滨河左岸-车位-南区车位-南区16_03_04地块--2045</t>
  </si>
  <si>
    <t>北京恒大滨河左岸-车位-南区车位-南区16_03_04地块--2046</t>
  </si>
  <si>
    <t>北京恒大滨河左岸-车位-南区车位-南区16_03_04地块--2047</t>
  </si>
  <si>
    <t>北京恒大滨河左岸-车位-南区车位-南区16_03_04地块--2048</t>
  </si>
  <si>
    <t>北京恒大滨河左岸-车位-南区车位-南区16_03_04地块--2049</t>
  </si>
  <si>
    <t>北京恒大滨河左岸-车位-南区车位-南区16_03_04地块--2050</t>
  </si>
  <si>
    <t>北京恒大滨河左岸-车位-南区车位-南区16_03_04地块--2051</t>
  </si>
  <si>
    <t>北京恒大滨河左岸-车位-南区车位-南区16_03_04地块--2052</t>
  </si>
  <si>
    <t>北京恒大滨河左岸-车位-南区车位-南区16_03_04地块--2053</t>
  </si>
  <si>
    <t>北京恒大滨河左岸-车位-南区车位-南区16_03_04地块--2054</t>
  </si>
  <si>
    <t>北京恒大滨河左岸-车位-南区车位-南区16_03_04地块--2055</t>
  </si>
  <si>
    <t>北京恒大滨河左岸-车位-南区车位-南区16_03_04地块--2056</t>
  </si>
  <si>
    <t>北京恒大滨河左岸-车位-南区车位-南区16_03_04地块--2057</t>
  </si>
  <si>
    <t>北京恒大滨河左岸-车位-南区车位-南区16_03_04地块--2058</t>
  </si>
  <si>
    <t>北京恒大滨河左岸-车位-南区车位-南区16_03_04地块--2059</t>
  </si>
  <si>
    <t>北京恒大滨河左岸-车位-南区车位-南区16_03_04地块--2060</t>
  </si>
  <si>
    <t>北京恒大滨河左岸-车位-南区车位-南区16_03_04地块--2061</t>
  </si>
  <si>
    <t>北京恒大滨河左岸-车位-南区车位-南区16_03_04地块--2062</t>
  </si>
  <si>
    <t>北京恒大滨河左岸-车位-南区车位-南区16_03_04地块--2063</t>
  </si>
  <si>
    <t>北京恒大滨河左岸-车位-南区车位-南区16_03_04地块--2064</t>
  </si>
  <si>
    <t>北京恒大滨河左岸-车位-南区车位-南区16_03_04地块--2065</t>
  </si>
  <si>
    <t>北京恒大滨河左岸-车位-南区车位-南区16_03_04地块--2066</t>
  </si>
  <si>
    <t>北京恒大滨河左岸-车位-南区车位-南区16_03_04地块--2067</t>
  </si>
  <si>
    <t>北京恒大滨河左岸-车位-南区车位-南区16_03_04地块--2068</t>
  </si>
  <si>
    <t>北京恒大滨河左岸-车位-南区车位-南区16_03_04地块--2069</t>
  </si>
  <si>
    <t>北京恒大滨河左岸-车位-南区车位-南区16_03_04地块--2070</t>
  </si>
  <si>
    <t>北京恒大滨河左岸-车位-南区车位-南区16_03_04地块--2071</t>
  </si>
  <si>
    <t>北京恒大滨河左岸-车位-南区车位-南区16_03_04地块--2072</t>
  </si>
  <si>
    <t>北京恒大滨河左岸-车位-南区车位-南区16_03_04地块--2073</t>
  </si>
  <si>
    <t>北京恒大滨河左岸-车位-南区车位-南区16_03_04地块--2074</t>
  </si>
  <si>
    <t>北京恒大滨河左岸-车位-南区车位-南区16_03_04地块--2075</t>
  </si>
  <si>
    <t>北京恒大滨河左岸-车位-南区车位-南区16_03_04地块--2076</t>
  </si>
  <si>
    <t>北京恒大滨河左岸-车位-南区车位-南区16_03_04地块--2077</t>
  </si>
  <si>
    <t>北京恒大滨河左岸-车位-南区车位-南区16_03_04地块--2078</t>
  </si>
  <si>
    <t>北京恒大滨河左岸-车位-南区车位-南区16_03_04地块--2079</t>
  </si>
  <si>
    <t>北京恒大滨河左岸-车位-南区车位-南区16_03_04地块--2080</t>
  </si>
  <si>
    <t>北京恒大滨河左岸-车位-南区车位-南区16_03_04地块--2081</t>
  </si>
  <si>
    <t>北京恒大滨河左岸-车位-南区车位-南区16_03_04地块--2082</t>
  </si>
  <si>
    <t>北京恒大滨河左岸-车位-南区车位-南区16_03_04地块--2083</t>
  </si>
  <si>
    <t>北京恒大滨河左岸-车位-南区车位-南区16_03_04地块--2084</t>
  </si>
  <si>
    <t>北京恒大滨河左岸-车位-南区车位-南区16_03_04地块--2085</t>
  </si>
  <si>
    <t>北京恒大滨河左岸-车位-南区车位-南区16_03_04地块--2086</t>
  </si>
  <si>
    <t>北京恒大滨河左岸-车位-南区车位-南区16_03_04地块--2087</t>
  </si>
  <si>
    <t>北京恒大滨河左岸-车位-南区车位-南区16_03_04地块--2088</t>
  </si>
  <si>
    <t>北京恒大滨河左岸-车位-南区车位-南区16_03_04地块--2089</t>
  </si>
  <si>
    <t>北京恒大滨河左岸-车位-南区车位-南区16_03_04地块--2090</t>
  </si>
  <si>
    <t>北京恒大滨河左岸-车位-南区车位-南区16_03_04地块--2091</t>
  </si>
  <si>
    <t>北京恒大滨河左岸-车位-南区车位-南区16_03_04地块--2092</t>
  </si>
  <si>
    <t>北京恒大滨河左岸-车位-南区车位-南区16_03_04地块--2093</t>
  </si>
  <si>
    <t>北京恒大滨河左岸-车位-南区车位-南区16_03_04地块--2094</t>
  </si>
  <si>
    <t>北京恒大滨河左岸-车位-南区车位-南区16_03_04地块--2095</t>
  </si>
  <si>
    <t>北京恒大滨河左岸-车位-南区车位-南区16_03_04地块--2096</t>
  </si>
  <si>
    <t>北京恒大滨河左岸-车位-南区车位-南区16_03_04地块--2097</t>
  </si>
  <si>
    <t>北京恒大滨河左岸-车位-南区车位-南区16_03_04地块--2098</t>
  </si>
  <si>
    <t>北京恒大滨河左岸-车位-南区车位-南区16_03_04地块--2099</t>
  </si>
  <si>
    <t>北京恒大滨河左岸-车位-南区车位-南区16_03_04地块--2100</t>
  </si>
  <si>
    <t>北京恒大滨河左岸-车位-南区车位-南区16_03_04地块--2101</t>
  </si>
  <si>
    <t>北京恒大滨河左岸-车位-南区车位-南区16_03_04地块--2102</t>
  </si>
  <si>
    <t>北京恒大滨河左岸-车位-南区车位-南区16_03_04地块--2103</t>
  </si>
  <si>
    <t>北京恒大滨河左岸-车位-南区车位-南区16_03_04地块--2104</t>
  </si>
  <si>
    <t>北京恒大滨河左岸-车位-南区车位-南区16_03_04地块--2105</t>
  </si>
  <si>
    <t>北京恒大滨河左岸-车位-南区车位-南区16_03_04地块--2106</t>
  </si>
  <si>
    <t>北京恒大滨河左岸-车位-南区车位-南区16_03_04地块--2107</t>
  </si>
  <si>
    <t>北京恒大滨河左岸-车位-南区车位-南区16_03_04地块--2108</t>
  </si>
  <si>
    <t>北京恒大滨河左岸-车位-南区车位-南区16_03_04地块--2109</t>
  </si>
  <si>
    <t>北京恒大滨河左岸-车位-南区车位-南区16_03_04地块--2110</t>
  </si>
  <si>
    <t>北京恒大滨河左岸-车位-南区车位-南区16_03_04地块--2111</t>
  </si>
  <si>
    <t>北京恒大滨河左岸-车位-南区车位-南区16_03_04地块--2112</t>
  </si>
  <si>
    <t>北京恒大滨河左岸-车位-南区车位-南区16_03_04地块--2113</t>
  </si>
  <si>
    <t>北京恒大滨河左岸-车位-南区车位-南区16_03_04地块--2114</t>
  </si>
  <si>
    <t>北京恒大滨河左岸-车位-南区车位-南区16_03_04地块--2115</t>
  </si>
  <si>
    <t>北京恒大滨河左岸-车位-南区车位-南区16_03_04地块--2116</t>
  </si>
  <si>
    <t>北京恒大滨河左岸-车位-南区车位-南区16_03_04地块--2117</t>
  </si>
  <si>
    <t>北京恒大滨河左岸-车位-南区车位-南区16_03_04地块--2118</t>
  </si>
  <si>
    <t>北京恒大滨河左岸-车位-南区车位-南区16_03_04地块--2119</t>
  </si>
  <si>
    <t>北京恒大滨河左岸-车位-南区车位-南区16_03_04地块--2120</t>
  </si>
  <si>
    <t>北京恒大滨河左岸-车位-南区车位-南区16_03_04地块--2121</t>
  </si>
  <si>
    <t>北京恒大滨河左岸-车位-南区车位-南区16_03_04地块--2122</t>
  </si>
  <si>
    <t>北京恒大滨河左岸-车位-南区车位-南区16_03_04地块--2123</t>
  </si>
  <si>
    <t>北京恒大滨河左岸-车位-南区车位-南区16_03_04地块--2124</t>
  </si>
  <si>
    <t>北京恒大滨河左岸-车位-南区车位-南区16_03_04地块--2125</t>
  </si>
  <si>
    <t>北京恒大滨河左岸-车位-南区车位-南区16_03_04地块--2126</t>
  </si>
  <si>
    <t>北京恒大滨河左岸-车位-南区车位-南区16_03_04地块--2127</t>
  </si>
  <si>
    <t>北京恒大滨河左岸-车位-南区车位-南区16_03_04地块--2128</t>
  </si>
  <si>
    <t>北京恒大滨河左岸-车位-南区车位-南区16_03_04地块--2129</t>
  </si>
  <si>
    <t>北京恒大滨河左岸-车位-南区车位-南区16_03_04地块--2130</t>
  </si>
  <si>
    <t>北京恒大滨河左岸-车位-南区车位-南区16_03_04地块--2131</t>
  </si>
  <si>
    <t>北京恒大滨河左岸-车位-南区车位-南区16_03_04地块--2132</t>
  </si>
  <si>
    <t>北京恒大滨河左岸-车位-南区车位-南区16_03_04地块--2133</t>
  </si>
  <si>
    <t>北京恒大滨河左岸-车位-南区车位-南区16_03_04地块--2134</t>
  </si>
  <si>
    <t>北京恒大滨河左岸-车位-南区车位-南区16_03_04地块--2135</t>
  </si>
  <si>
    <t>北京恒大滨河左岸-车位-南区车位-南区16_03_04地块--2136</t>
  </si>
  <si>
    <t>北京恒大滨河左岸-车位-南区车位-南区16_03_04地块--2137</t>
  </si>
  <si>
    <t>北京恒大滨河左岸-车位-南区车位-南区16_03_04地块--2138</t>
  </si>
  <si>
    <t>北京恒大滨河左岸-车位-南区车位-南区16_03_04地块--2139</t>
  </si>
  <si>
    <t>北京恒大滨河左岸-车位-南区车位-南区16_03_04地块--2142</t>
  </si>
  <si>
    <t>北京恒大滨河左岸-车位-南区车位-南区16_03_04地块--2143</t>
  </si>
  <si>
    <t>北京恒大滨河左岸-车位-南区车位-南区16_03_04地块--2144</t>
  </si>
  <si>
    <t>北京恒大滨河左岸-车位-南区车位-南区16_03_04地块--2145</t>
  </si>
  <si>
    <t>北京恒大滨河左岸-车位-南区车位-南区16_03_04地块--2146</t>
  </si>
  <si>
    <t>北京恒大滨河左岸-车位-南区车位-南区16_03_04地块--2147</t>
  </si>
  <si>
    <t>北京恒大滨河左岸-车位-南区车位-南区16_03_04地块--2148</t>
  </si>
  <si>
    <t>北京恒大滨河左岸-车位-南区车位-南区16_03_04地块--2149</t>
  </si>
  <si>
    <t>北京恒大滨河左岸-车位-南区车位-南区16_03_04地块--2150</t>
  </si>
  <si>
    <t>北京恒大滨河左岸-车位-南区车位-南区16_03_04地块--2151</t>
  </si>
  <si>
    <t>北京恒大滨河左岸-车位-南区车位-南区16_03_04地块--2152</t>
  </si>
  <si>
    <t>北京恒大滨河左岸-车位-南区车位-南区16_03_04地块--2153</t>
  </si>
  <si>
    <t>北京恒大滨河左岸-车位-南区车位-南区16_03_04地块--2154</t>
  </si>
  <si>
    <t>北京恒大滨河左岸-车位-南区车位-南区16_03_04地块--2156</t>
  </si>
  <si>
    <t>北京恒大滨河左岸-车位-南区车位-南区16_03_04地块--2157</t>
  </si>
  <si>
    <t>北京恒大滨河左岸-车位-南区车位-南区16_03_04地块--2158</t>
  </si>
  <si>
    <t>北京恒大滨河左岸-车位-南区车位-南区16_03_04地块--2159</t>
  </si>
  <si>
    <t>北京恒大滨河左岸-车位-南区车位-南区16_03_04地块--2160</t>
  </si>
  <si>
    <t>北京恒大滨河左岸-车位-南区车位-南区16_03_04地块--2161</t>
  </si>
  <si>
    <t>北京恒大滨河左岸-车位-南区车位-南区16_03_04地块--2162</t>
  </si>
  <si>
    <t>北京恒大滨河左岸-车位-南区车位-南区16_03_04地块--2163</t>
  </si>
  <si>
    <t>北京恒大滨河左岸-车位-南区车位-南区16_03_04地块--2164</t>
  </si>
  <si>
    <t>北京恒大滨河左岸-车位-南区车位-南区16_03_04地块--2165</t>
  </si>
  <si>
    <t>北京恒大滨河左岸-车位-南区车位-南区16_03_04地块--2166</t>
  </si>
  <si>
    <t>北京恒大滨河左岸-车位-南区车位-南区16_03_04地块--2167</t>
  </si>
  <si>
    <t>北京恒大滨河左岸-车位-南区车位-南区16_03_04地块--2168</t>
  </si>
  <si>
    <t>北京恒大滨河左岸-车位-南区车位-南区16_03_04地块--2169</t>
  </si>
  <si>
    <t>北京恒大滨河左岸-车位-南区车位-南区16_03_04地块--2170</t>
  </si>
  <si>
    <t>北京恒大滨河左岸-车位-南区车位-南区16_03_04地块--2171</t>
  </si>
  <si>
    <t>北京恒大滨河左岸-车位-南区车位-南区16_03_04地块--2172</t>
  </si>
  <si>
    <t>北京恒大滨河左岸-车位-南区车位-南区16_03_04地块--2173</t>
  </si>
  <si>
    <t>北京恒大滨河左岸-车位-南区车位-南区16_03_04地块--2174</t>
  </si>
  <si>
    <t>北京恒大滨河左岸-车位-南区车位-南区16_03_04地块--2175</t>
  </si>
  <si>
    <t>北京恒大滨河左岸-车位-南区车位-南区16_03_04地块--2176</t>
  </si>
  <si>
    <t>北京恒大滨河左岸-车位-南区车位-南区16_03_04地块--2177</t>
  </si>
  <si>
    <t>北京恒大滨河左岸-车位-南区车位-南区16_03_04地块--2178</t>
  </si>
  <si>
    <t>北京恒大滨河左岸-车位-南区车位-南区16_03_04地块--2179</t>
  </si>
  <si>
    <t>北京恒大滨河左岸-车位-南区车位-南区16_03_04地块--2180</t>
  </si>
  <si>
    <t>北京恒大滨河左岸-车位-南区车位-南区16_03_04地块--2181</t>
  </si>
  <si>
    <t>北京恒大滨河左岸-车位-南区车位-南区16_03_04地块--2182</t>
  </si>
  <si>
    <t>北京恒大滨河左岸-车位-南区车位-南区16_03_04地块--2183</t>
  </si>
  <si>
    <t>北京恒大滨河左岸-车位-南区车位-南区16_03_04地块--2184</t>
  </si>
  <si>
    <t>北京恒大滨河左岸-车位-南区车位-南区16_03_04地块--2185</t>
  </si>
  <si>
    <t>北京恒大滨河左岸-车位-南区车位-南区16_03_04地块--2186</t>
  </si>
  <si>
    <t>北京恒大滨河左岸-车位-南区车位-南区16_03_04地块--2187</t>
  </si>
  <si>
    <t>北京恒大滨河左岸-车位-南区车位-南区16_03_04地块--2188</t>
  </si>
  <si>
    <t>北京恒大滨河左岸-车位-南区车位-南区16_03_04地块--2189</t>
  </si>
  <si>
    <t>北京恒大滨河左岸-车位-南区车位-南区16_03_04地块--2190</t>
  </si>
  <si>
    <t>北京恒大滨河左岸-车位-南区车位-南区16_03_04地块--2191</t>
  </si>
  <si>
    <t>北京恒大滨河左岸-车位-南区车位-南区16_03_04地块--2192</t>
  </si>
  <si>
    <t>北京恒大滨河左岸-车位-南区车位-南区16_03_04地块--2193</t>
  </si>
  <si>
    <t>北京恒大滨河左岸-车位-南区车位-南区16_03_04地块--2194</t>
  </si>
  <si>
    <t>北京恒大滨河左岸-车位-南区车位-南区16_03_04地块--2195</t>
  </si>
  <si>
    <t>北京恒大滨河左岸-车位-南区车位-南区16_03_04地块--2196</t>
  </si>
  <si>
    <t>北京恒大滨河左岸-车位-南区车位-南区16_03_04地块--2197</t>
  </si>
  <si>
    <t>北京恒大滨河左岸-车位-南区车位-南区16_03_04地块--2198</t>
  </si>
  <si>
    <t>北京恒大滨河左岸-车位-南区车位-南区16_03_04地块--2199</t>
  </si>
  <si>
    <t>北京恒大滨河左岸-车位-南区车位-南区16_03_04地块--2200</t>
  </si>
  <si>
    <t>北京恒大滨河左岸-车位-南区车位-南区16_03_04地块--2201</t>
  </si>
  <si>
    <t>北京恒大滨河左岸-车位-南区车位-南区16_03_04地块--2202</t>
  </si>
  <si>
    <t>北京恒大滨河左岸-车位-南区车位-南区16_03_04地块--2203</t>
  </si>
  <si>
    <t>北京恒大滨河左岸-车位-南区车位-南区16_03_04地块--2204</t>
  </si>
  <si>
    <t>北京恒大滨河左岸-车位-南区车位-南区16_03_04地块--2205</t>
  </si>
  <si>
    <t>北京恒大滨河左岸-车位-南区车位-南区16_03_04地块--2206</t>
  </si>
  <si>
    <t>北京恒大滨河左岸-车位-南区车位-南区16_03_04地块--2207</t>
  </si>
  <si>
    <t>北京恒大滨河左岸-车位-南区车位-南区16_03_04地块--2208</t>
  </si>
  <si>
    <t>北京恒大滨河左岸-车位-南区车位-南区16_03_04地块--2209</t>
  </si>
  <si>
    <t>北京恒大滨河左岸-车位-南区车位-南区16_03_04地块--2210</t>
  </si>
  <si>
    <t>北京恒大滨河左岸-车位-南区车位-南区16_03_04地块--2211</t>
  </si>
  <si>
    <t>北京恒大滨河左岸-车位-南区车位-南区16_03_04地块--2212</t>
  </si>
  <si>
    <t>北京恒大滨河左岸-车位-南区车位-南区16_03_04地块--2213</t>
  </si>
  <si>
    <t>北京恒大滨河左岸-车位-南区车位-南区16_03_04地块--2214</t>
  </si>
  <si>
    <t>北京恒大滨河左岸-车位-南区车位-南区16_03_04地块--2215</t>
  </si>
  <si>
    <t>北京恒大滨河左岸-车位-南区车位-南区16_03_04地块--2216</t>
  </si>
  <si>
    <t>北京恒大滨河左岸-车位-南区车位-南区16_03_04地块--2217</t>
  </si>
  <si>
    <t>北京恒大滨河左岸-车位-南区车位-南区16_03_04地块--2218</t>
  </si>
  <si>
    <t>北京恒大滨河左岸-车位-南区车位-南区16_03_04地块--2219</t>
  </si>
  <si>
    <t>北京恒大滨河左岸-车位-南区车位-南区16_03_04地块--2220</t>
  </si>
  <si>
    <t>北京恒大滨河左岸-车位-南区车位-南区16_03_04地块--2221</t>
  </si>
  <si>
    <t>北京恒大滨河左岸-车位-南区车位-南区16_03_04地块--2222</t>
  </si>
  <si>
    <t>北京恒大滨河左岸-车位-南区车位-南区16_03_04地块--2223</t>
  </si>
  <si>
    <t>北京恒大滨河左岸-车位-南区车位-南区16_03_04地块--2224</t>
  </si>
  <si>
    <t>北京恒大滨河左岸-车位-南区车位-南区16_03_04地块--2225</t>
  </si>
  <si>
    <t>北京恒大滨河左岸-车位-南区车位-南区16_03_04地块--2226</t>
  </si>
  <si>
    <t>北京恒大滨河左岸-车位-南区车位-南区16_03_04地块--2227</t>
  </si>
  <si>
    <t>北京恒大滨河左岸-车位-南区车位-南区16_03_04地块--2228</t>
  </si>
  <si>
    <t>北京恒大滨河左岸-车位-南区车位-南区16_03_04地块--2229</t>
  </si>
  <si>
    <t>北京恒大滨河左岸-车位-南区车位-南区16_03_04地块--2230</t>
  </si>
  <si>
    <t>北京恒大滨河左岸-车位-南区车位-南区16_03_04地块--2231</t>
  </si>
  <si>
    <t>北京恒大滨河左岸-车位-南区车位-南区16_03_04地块--2232</t>
  </si>
  <si>
    <t>北京恒大滨河左岸-车位-南区车位-南区16_03_04地块--2233</t>
  </si>
  <si>
    <t>北京恒大滨河左岸-车位-南区车位-南区16_03_04地块--2234</t>
  </si>
  <si>
    <t>北京恒大滨河左岸-车位-南区车位-南区16_03_04地块--2235</t>
  </si>
  <si>
    <t>北京恒大滨河左岸-车位-南区车位-南区16_03_04地块--2236</t>
  </si>
  <si>
    <t>北京恒大滨河左岸-车位-南区车位-南区16_03_04地块--2237</t>
  </si>
  <si>
    <t>北京恒大滨河左岸-车位-南区车位-南区16_03_04地块--2238</t>
  </si>
  <si>
    <t>北京恒大滨河左岸-车位-南区车位-南区16_03_04地块--2239</t>
  </si>
  <si>
    <t>北京恒大滨河左岸-车位-南区车位-南区16_03_04地块--2240</t>
  </si>
  <si>
    <t>北京恒大滨河左岸-车位-南区车位-南区16_03_04地块--2241</t>
  </si>
  <si>
    <t>北京恒大滨河左岸-车位-南区车位-南区16_03_04地块--2242</t>
  </si>
  <si>
    <t>北京恒大滨河左岸-车位-南区车位-南区16_03_04地块--2243</t>
  </si>
  <si>
    <t>北京恒大滨河左岸-车位-南区车位-南区16_03_04地块--2244</t>
  </si>
  <si>
    <t>北京恒大滨河左岸-车位-南区车位-南区16_03_04地块--2245</t>
  </si>
  <si>
    <t>北京恒大滨河左岸-车位-南区车位-南区16_03_04地块--2246</t>
  </si>
  <si>
    <t>北京恒大滨河左岸-车位-南区车位-南区16_03_04地块--2247</t>
  </si>
  <si>
    <t>北京恒大滨河左岸-车位-南区车位-南区16_03_04地块--2248</t>
  </si>
  <si>
    <t>北京恒大滨河左岸-车位-南区车位-南区16_03_04地块--2249</t>
  </si>
  <si>
    <t>北京恒大滨河左岸-车位-南区车位-南区16_03_04地块--2250</t>
  </si>
  <si>
    <t>北京恒大滨河左岸-车位-南区车位-南区16_03_04地块--2251</t>
  </si>
  <si>
    <t>北京恒大滨河左岸-车位-南区车位-南区16_03_04地块--2252</t>
  </si>
  <si>
    <t>北京恒大滨河左岸-车位-南区车位-南区16_03_04地块--2253</t>
  </si>
  <si>
    <t>北京恒大滨河左岸-车位-南区车位-南区16_03_04地块--2254</t>
  </si>
  <si>
    <t>北京恒大滨河左岸-车位-南区车位-南区16_03_04地块--3026</t>
  </si>
  <si>
    <t>北京恒大滨河左岸-车位-南区车位-南区16_03_04地块--3027</t>
  </si>
  <si>
    <t>北京恒大滨河左岸-车位-南区车位-南区16_03_04地块--3028</t>
  </si>
  <si>
    <t>北京恒大滨河左岸-车位-南区车位-南区16_03_04地块--3029</t>
  </si>
  <si>
    <t>北京恒大滨河左岸-车位-南区车位-南区16_03_04地块--3030</t>
  </si>
  <si>
    <t>北京恒大滨河左岸-车位-南区车位-南区16_03_04地块--3031</t>
  </si>
  <si>
    <t>北京恒大滨河左岸-车位-南区车位-南区16_03_04地块--3032</t>
  </si>
  <si>
    <t>北京恒大滨河左岸-车位-南区车位-南区16_03_04地块--3033</t>
  </si>
  <si>
    <t>北京恒大滨河左岸-车位-南区车位-南区16_03_04地块--3034</t>
  </si>
  <si>
    <t>北京恒大滨河左岸-车位-南区车位-南区16_03_04地块--3035</t>
  </si>
  <si>
    <t>北京恒大滨河左岸-车位-南区车位-南区16_03_04地块--3037</t>
  </si>
  <si>
    <t>北京恒大滨河左岸-车位-南区车位-南区16_03_04地块--3038</t>
  </si>
  <si>
    <t>北京恒大滨河左岸-车位-南区车位-南区16_03_04地块--3040</t>
  </si>
  <si>
    <t>北京恒大滨河左岸-车位-南区车位-南区16_03_04地块--3041</t>
  </si>
  <si>
    <t>北京恒大滨河左岸-车位-南区车位-南区16_03_04地块--3042</t>
  </si>
  <si>
    <t>北京恒大滨河左岸-车位-南区车位-南区16_03_04地块--3043</t>
  </si>
  <si>
    <t>北京恒大滨河左岸-车位-南区车位-南区16_03_04地块--3044</t>
  </si>
  <si>
    <t>北京恒大滨河左岸-车位-南区车位-南区16_03_04地块--3045</t>
  </si>
  <si>
    <t>北京恒大滨河左岸-车位-南区车位-南区16_03_04地块--3046</t>
  </si>
  <si>
    <t>北京恒大滨河左岸-车位-南区车位-南区16_03_04地块--3047</t>
  </si>
  <si>
    <t>北京恒大滨河左岸-车位-南区车位-南区16_03_04地块--3048</t>
  </si>
  <si>
    <t>北京恒大滨河左岸-车位-南区车位-南区16_03_04地块--3049</t>
  </si>
  <si>
    <t>北京恒大滨河左岸-车位-南区车位-南区16_03_04地块--3050</t>
  </si>
  <si>
    <t>北京恒大滨河左岸-车位-南区车位-南区16_03_04地块--3051</t>
  </si>
  <si>
    <t>北京恒大滨河左岸-车位-南区车位-南区16_03_04地块--3052</t>
  </si>
  <si>
    <t>北京恒大滨河左岸-车位-南区车位-南区16_03_04地块--3053</t>
  </si>
  <si>
    <t>北京恒大滨河左岸-车位-南区车位-南区16_03_04地块--3054</t>
  </si>
  <si>
    <t>北京恒大滨河左岸-车位-南区车位-南区16_03_04地块--3055</t>
  </si>
  <si>
    <t>北京恒大滨河左岸-车位-南区车位-南区16_03_04地块--3056</t>
  </si>
  <si>
    <t>北京恒大滨河左岸-车位-南区车位-南区16_03_04地块--3057</t>
  </si>
  <si>
    <t>北京恒大滨河左岸-车位-南区车位-南区16_03_04地块--3058</t>
  </si>
  <si>
    <t>北京恒大滨河左岸-车位-南区车位-南区16_03_04地块--3059</t>
  </si>
  <si>
    <t>北京恒大滨河左岸-车位-南区车位-南区16_03_04地块--3060</t>
  </si>
  <si>
    <t>北京恒大滨河左岸-车位-南区车位-南区16_03_04地块--3061</t>
  </si>
  <si>
    <t>北京恒大滨河左岸-车位-南区车位-南区16_03_04地块--3062</t>
  </si>
  <si>
    <t>北京恒大滨河左岸-车位-南区车位-南区16_03_04地块--3063</t>
  </si>
  <si>
    <t>北京恒大滨河左岸-车位-南区车位-南区16_03_04地块--3064</t>
  </si>
  <si>
    <t>北京恒大滨河左岸-车位-南区车位-南区16_03_04地块--3065</t>
  </si>
  <si>
    <t>北京恒大滨河左岸-车位-南区车位-南区16_03_04地块--3066</t>
  </si>
  <si>
    <t>北京恒大滨河左岸-车位-南区车位-南区16_03_04地块--3067</t>
  </si>
  <si>
    <t>北京恒大滨河左岸-车位-南区车位-南区16_03_04地块--3068</t>
  </si>
  <si>
    <t>北京恒大滨河左岸-车位-南区车位-南区16_03_04地块--3069</t>
  </si>
  <si>
    <t>北京恒大滨河左岸-车位-南区车位-南区16_03_04地块--3070</t>
  </si>
  <si>
    <t>北京恒大滨河左岸-车位-南区车位-南区16_03_04地块--3071</t>
  </si>
  <si>
    <t>北京恒大滨河左岸-车位-南区车位-南区16_03_04地块--3072</t>
  </si>
  <si>
    <t>北京恒大滨河左岸-车位-南区车位-南区16_03_04地块--3073</t>
  </si>
  <si>
    <t>北京恒大滨河左岸-车位-南区车位-南区16_03_04地块--3074</t>
  </si>
  <si>
    <t>北京恒大滨河左岸-车位-南区车位-南区16_03_04地块--3075</t>
  </si>
  <si>
    <t>北京恒大滨河左岸-车位-南区车位-南区16_03_04地块--3076</t>
  </si>
  <si>
    <t>北京恒大滨河左岸-车位-南区车位-南区16_03_04地块--3077</t>
  </si>
  <si>
    <t>北京恒大滨河左岸-车位-南区车位-南区16_03_04地块--3078</t>
  </si>
  <si>
    <t>北京恒大滨河左岸-车位-南区车位-南区16_03_04地块--3079</t>
  </si>
  <si>
    <t>北京恒大滨河左岸-车位-南区车位-南区16_03_04地块--3080</t>
  </si>
  <si>
    <t>北京恒大滨河左岸-车位-南区车位-南区16_03_04地块--3081</t>
  </si>
  <si>
    <t>北京恒大滨河左岸-车位-南区车位-南区16_03_04地块--3082</t>
  </si>
  <si>
    <t>北京恒大滨河左岸-车位-南区车位-南区16_03_04地块--3083</t>
  </si>
  <si>
    <t>北京恒大滨河左岸-车位-南区车位-南区16_03_04地块--3084</t>
  </si>
  <si>
    <t>北京恒大滨河左岸-车位-南区车位-南区16_03_04地块--3085</t>
  </si>
  <si>
    <t>北京恒大滨河左岸-车位-南区车位-南区16_03_04地块--3086</t>
  </si>
  <si>
    <t>北京恒大滨河左岸-车位-南区车位-南区16_03_04地块--3087</t>
  </si>
  <si>
    <t>北京恒大滨河左岸-车位-南区车位-南区16_03_04地块--3088</t>
  </si>
  <si>
    <t>北京恒大滨河左岸-车位-南区车位-南区16_03_04地块--3090</t>
  </si>
  <si>
    <t>北京恒大滨河左岸-车位-南区车位-南区16_03_04地块--3091</t>
  </si>
  <si>
    <t>北京恒大滨河左岸-车位-南区车位-南区16_03_04地块--3092</t>
  </si>
  <si>
    <t>北京恒大滨河左岸-车位-南区车位-南区16_03_04地块--3093</t>
  </si>
  <si>
    <t>北京恒大滨河左岸-车位-南区车位-南区16_03_04地块--3094</t>
  </si>
  <si>
    <t>北京恒大滨河左岸-车位-南区车位-南区16_03_04地块--3095</t>
  </si>
  <si>
    <t>北京恒大滨河左岸-车位-南区车位-南区16_03_04地块--3096</t>
  </si>
  <si>
    <t>北京恒大滨河左岸-车位-南区车位-南区16_03_04地块--3097</t>
  </si>
  <si>
    <t>北京恒大滨河左岸-车位-南区车位-南区16_03_04地块--3098</t>
  </si>
  <si>
    <t>北京恒大滨河左岸-车位-南区车位-南区16_03_04地块--3099</t>
  </si>
  <si>
    <t>北京恒大滨河左岸-车位-南区车位-南区16_03_04地块--3100</t>
  </si>
  <si>
    <t>北京恒大滨河左岸-车位-南区车位-南区16_03_04地块--3101</t>
  </si>
  <si>
    <t>北京恒大滨河左岸-车位-南区车位-南区16_03_04地块--3102</t>
  </si>
  <si>
    <t>北京恒大滨河左岸-车位-南区车位-南区16_03_04地块--3103</t>
  </si>
  <si>
    <t>北京恒大滨河左岸-车位-南区车位-南区16_03_04地块--3104</t>
  </si>
  <si>
    <t>北京恒大滨河左岸-车位-南区车位-南区16_03_04地块--3105</t>
  </si>
  <si>
    <t>北京恒大滨河左岸-车位-南区车位-南区16_03_04地块--3106</t>
  </si>
  <si>
    <t>北京恒大滨河左岸-车位-南区车位-南区16_03_04地块--3107</t>
  </si>
  <si>
    <t>北京恒大滨河左岸-车位-南区车位-南区16_03_04地块--3108</t>
  </si>
  <si>
    <t>北京恒大滨河左岸-车位-南区车位-南区16_03_04地块--3109</t>
  </si>
  <si>
    <t>北京恒大滨河左岸-车位-南区车位-南区16_03_04地块--3110</t>
  </si>
  <si>
    <t>北京恒大滨河左岸-车位-南区车位-南区16_03_04地块--3111</t>
  </si>
  <si>
    <t>北京恒大滨河左岸-车位-南区车位-南区16_03_04地块--3112</t>
  </si>
  <si>
    <t>北京恒大滨河左岸-车位-南区车位-南区16_03_04地块--3113</t>
  </si>
  <si>
    <t>北京恒大滨河左岸-车位-南区车位-南区16_03_04地块--3114</t>
  </si>
  <si>
    <t>北京恒大滨河左岸-车位-南区车位-南区16_03_04地块--3115</t>
  </si>
  <si>
    <t>北京恒大滨河左岸-车位-南区车位-南区16_03_04地块--3116</t>
  </si>
  <si>
    <t>北京恒大滨河左岸-车位-南区车位-南区16_03_04地块--3117</t>
  </si>
  <si>
    <t>北京恒大滨河左岸-车位-南区车位-南区16_03_04地块--3118</t>
  </si>
  <si>
    <t>北京恒大滨河左岸-车位-南区车位-南区16_03_04地块--3119</t>
  </si>
  <si>
    <t>北京恒大滨河左岸-车位-南区车位-南区16_03_04地块--3120</t>
  </si>
  <si>
    <t>北京恒大滨河左岸-车位-南区车位-南区16_03_04地块--3121</t>
  </si>
  <si>
    <t>北京恒大滨河左岸-车位-南区车位-南区16_03_04地块--3122</t>
  </si>
  <si>
    <t>北京恒大滨河左岸-车位-南区车位-南区16_03_04地块--3123</t>
  </si>
  <si>
    <t>北京恒大滨河左岸-车位-南区车位-南区16_03_04地块--3124</t>
  </si>
  <si>
    <t>北京恒大滨河左岸-车位-南区车位-南区16_03_04地块--3125</t>
  </si>
  <si>
    <t>北京恒大滨河左岸-车位-南区车位-南区16_03_04地块--3126</t>
  </si>
  <si>
    <t>北京恒大滨河左岸-车位-南区车位-南区16_03_04地块--3127</t>
  </si>
  <si>
    <t>北京恒大滨河左岸-车位-南区车位-南区16_03_04地块--3128</t>
  </si>
  <si>
    <t>北京恒大滨河左岸-车位-南区车位-南区16_03_04地块--3129</t>
  </si>
  <si>
    <t>北京恒大滨河左岸-车位-南区车位-南区16_03_04地块--3130</t>
  </si>
  <si>
    <t>北京恒大滨河左岸-车位-南区车位-南区16_03_04地块--3131</t>
  </si>
  <si>
    <t>北京恒大滨河左岸-车位-南区车位-南区16_03_04地块--3132</t>
  </si>
  <si>
    <t>北京恒大滨河左岸-车位-南区车位-南区16_03_04地块--3133</t>
  </si>
  <si>
    <t>北京恒大滨河左岸-车位-南区车位-南区16_03_04地块--3134</t>
  </si>
  <si>
    <t>北京恒大滨河左岸-车位-南区车位-南区16_03_04地块--3135</t>
  </si>
  <si>
    <t>北京恒大滨河左岸-车位-南区车位-南区16_03_04地块--3136</t>
  </si>
  <si>
    <t>北京恒大滨河左岸-车位-南区车位-南区16_03_04地块--3137</t>
  </si>
  <si>
    <t>北京恒大滨河左岸-车位-南区车位-南区16_03_04地块--3138</t>
  </si>
  <si>
    <t>北京恒大滨河左岸-车位-南区车位-南区16_03_04地块--3139</t>
  </si>
  <si>
    <t>北京恒大滨河左岸-车位-南区车位-南区16_03_04地块--3140</t>
  </si>
  <si>
    <t>北京恒大滨河左岸-车位-南区车位-南区16_03_04地块--3141</t>
  </si>
  <si>
    <t>北京恒大滨河左岸-车位-南区车位-南区16_03_04地块--3142</t>
  </si>
  <si>
    <t>北京恒大滨河左岸-车位-南区车位-南区16_03_04地块--3143</t>
  </si>
  <si>
    <t>北京恒大滨河左岸-车位-南区车位-南区16_03_04地块--3144</t>
  </si>
  <si>
    <t>北京恒大滨河左岸-车位-南区车位-南区16_03_04地块--3145</t>
  </si>
  <si>
    <t>北京恒大滨河左岸-车位-南区车位-南区16_03_04地块--3146</t>
  </si>
  <si>
    <t>北京恒大滨河左岸-车位-南区车位-南区16_03_04地块--3147</t>
  </si>
  <si>
    <t>北京恒大滨河左岸-车位-南区车位-南区16_03_04地块--3148</t>
  </si>
  <si>
    <t>北京恒大滨河左岸-车位-南区车位-南区16_03_04地块--3149</t>
  </si>
  <si>
    <t>北京恒大滨河左岸-车位-南区车位-南区16_03_04地块--3150</t>
  </si>
  <si>
    <t>北京恒大滨河左岸-车位-南区车位-南区16_03_04地块--3151</t>
  </si>
  <si>
    <t>北京恒大滨河左岸-车位-南区车位-南区16_03_04地块--3152</t>
  </si>
  <si>
    <t>北京恒大滨河左岸-车位-南区车位-南区16_03_04地块--3153</t>
  </si>
  <si>
    <t>北京恒大滨河左岸-车位-南区车位-南区16_03_04地块--3154</t>
  </si>
  <si>
    <t>北京恒大滨河左岸-车位-南区车位-南区16_03_04地块--3155</t>
  </si>
  <si>
    <t>北京恒大滨河左岸-车位-南区车位-南区16_03_04地块--3156</t>
  </si>
  <si>
    <t>北京恒大滨河左岸-车位-南区车位-南区16_03_04地块--3157</t>
  </si>
  <si>
    <t>北京恒大滨河左岸-车位-南区车位-南区16_03_04地块--3158</t>
  </si>
  <si>
    <t>北京恒大滨河左岸-车位-南区车位-南区16_03_04地块--3159</t>
  </si>
  <si>
    <t>北京恒大滨河左岸-车位-南区车位-南区16_03_04地块--3160</t>
  </si>
  <si>
    <t>北京恒大滨河左岸-车位-南区车位-南区16_03_04地块--3161</t>
  </si>
  <si>
    <t>北京恒大滨河左岸-车位-南区车位-南区16_03_04地块--3162</t>
  </si>
  <si>
    <t>北京恒大滨河左岸-车位-南区车位-南区16_03_04地块--3163</t>
  </si>
  <si>
    <t>北京恒大滨河左岸-车位-南区车位-南区16_03_04地块--3164</t>
  </si>
  <si>
    <t>北京恒大滨河左岸-车位-南区车位-南区16_03_04地块--3165</t>
  </si>
  <si>
    <t>北京恒大滨河左岸-车位-南区车位-南区16_03_04地块--3166</t>
  </si>
  <si>
    <t>北京恒大滨河左岸-车位-南区车位-南区16_03_04地块--3167</t>
  </si>
  <si>
    <t>北京恒大滨河左岸-车位-南区车位-南区16_03_04地块--3168</t>
  </si>
  <si>
    <t>北京恒大滨河左岸-车位-南区车位-南区16_03_04地块--3169</t>
  </si>
  <si>
    <t>北京恒大滨河左岸-车位-南区车位-南区16_03_04地块--3170</t>
  </si>
  <si>
    <t>北京恒大滨河左岸-车位-南区车位-南区16_03_04地块--3171</t>
  </si>
  <si>
    <t>北京恒大滨河左岸-车位-南区车位-南区16_03_04地块--3172</t>
  </si>
  <si>
    <t>北京恒大滨河左岸-车位-南区车位-南区16_03_04地块--3173</t>
  </si>
  <si>
    <t>北京恒大滨河左岸-车位-南区车位-南区16_03_04地块--3174</t>
  </si>
  <si>
    <t>北京恒大滨河左岸-车位-南区车位-南区16_03_04地块--3175</t>
  </si>
  <si>
    <t>北京恒大滨河左岸-车位-南区车位-南区16_03_04地块--3176</t>
  </si>
  <si>
    <t>北京恒大滨河左岸-车位-南区车位-南区16_03_04地块--3177</t>
  </si>
  <si>
    <t>北京恒大滨河左岸-车位-南区车位-南区16_03_04地块--3178</t>
  </si>
  <si>
    <t>北京恒大滨河左岸-车位-南区车位-南区16_03_04地块--3179</t>
  </si>
  <si>
    <t>北京恒大滨河左岸-车位-南区车位-南区16_03_04地块--3180</t>
  </si>
  <si>
    <t>北京恒大滨河左岸-车位-南区车位-南区16_03_04地块--3181</t>
  </si>
  <si>
    <t>北京恒大滨河左岸-车位-南区车位-南区16_03_04地块--3182</t>
  </si>
  <si>
    <t>北京恒大滨河左岸-车位-南区车位-南区16_03_04地块--3183</t>
  </si>
  <si>
    <t>北京恒大滨河左岸-车位-南区车位-南区16_03_04地块--3184</t>
  </si>
  <si>
    <t>北京恒大滨河左岸-车位-南区车位-南区16_03_04地块--3185</t>
  </si>
  <si>
    <t>北京恒大滨河左岸-车位-南区车位-南区16_03_04地块--3186</t>
  </si>
  <si>
    <t>北京恒大滨河左岸-车位-南区车位-南区16_03_04地块--3187</t>
  </si>
  <si>
    <t>北京恒大滨河左岸-车位-南区车位-南区16_03_04地块--3189</t>
  </si>
  <si>
    <t>北京恒大滨河左岸-车位-南区车位-南区16_03_04地块--3190</t>
  </si>
  <si>
    <t>北京恒大滨河左岸-车位-南区车位-南区16_03_04地块--3191</t>
  </si>
  <si>
    <t>北京恒大滨河左岸-车位-南区车位-南区16_03_04地块--3192</t>
  </si>
  <si>
    <t>北京恒大滨河左岸-车位-南区车位-南区16_03_04地块--3195</t>
  </si>
  <si>
    <t>北京恒大滨河左岸-车位-南区车位-南区16_03_04地块--3196</t>
  </si>
  <si>
    <t>北京恒大滨河左岸-车位-南区车位-南区16_03_04地块--3197</t>
  </si>
  <si>
    <t>北京恒大滨河左岸-车位-南区车位-南区16_03_04地块--3199</t>
  </si>
  <si>
    <t>北京恒大滨河左岸-车位-南区车位-南区16_03_04地块--3201</t>
  </si>
  <si>
    <t>北京恒大滨河左岸-车位-南区车位-南区16_03_04地块--3202</t>
  </si>
  <si>
    <t>北京恒大滨河左岸-车位-南区车位-南区16_03_04地块--3205</t>
  </si>
  <si>
    <t>北京恒大滨河左岸-车位-南区车位-南区16_03_04地块--3208</t>
  </si>
  <si>
    <t>北京恒大滨河左岸-车位-南区车位-南区16_03_04地块--3211</t>
  </si>
  <si>
    <t>北京恒大滨河左岸-车位-南区车位-南区16_03_04地块--3216</t>
  </si>
  <si>
    <t>北京恒大滨河左岸-车位-南区车位-南区16_03_04地块--3217</t>
  </si>
  <si>
    <t>北京恒大滨河左岸-车位-南区车位-南区16_03_04地块--3218</t>
  </si>
  <si>
    <t>北京恒大滨河左岸-车位-南区车位-南区16_03_04地块--3219</t>
  </si>
  <si>
    <t>北京恒大滨河左岸-车位-南区车位-南区16_03_04地块--3222</t>
  </si>
  <si>
    <t>北京恒大滨河左岸-车位-南区车位-南区16_03_04地块--3224</t>
  </si>
  <si>
    <t>北京恒大滨河左岸-车位-南区车位-南区16_03_04地块--3225</t>
  </si>
  <si>
    <t>北京恒大滨河左岸-车位-南区车位-南区16_03_04地块--3226</t>
  </si>
  <si>
    <t>北京恒大滨河左岸-车位-南区车位-南区16_03_04地块--3228</t>
  </si>
  <si>
    <t>北京恒大滨河左岸-车位-南区车位-南区16_03_04地块--3229</t>
  </si>
  <si>
    <t>北京恒大滨河左岸-车位-南区车位-南区16_03_04地块--3230</t>
  </si>
  <si>
    <t>北京恒大滨河左岸-车位-南区车位-南区16_03_04地块--3231</t>
  </si>
  <si>
    <t>北京恒大滨河左岸-车位-南区车位-南区16_03_04地块--3232</t>
  </si>
  <si>
    <t>北京恒大滨河左岸-车位-南区车位-南区16_03_04地块--3233</t>
  </si>
  <si>
    <t>北京恒大滨河左岸-车位-南区车位-南区16_03_04地块--3234</t>
  </si>
  <si>
    <t>北京恒大滨河左岸-车位-南区车位-南区16_03_04地块--3235</t>
  </si>
  <si>
    <t>北京恒大滨河左岸-车位-南区车位-南区16_03_04地块--3236</t>
  </si>
  <si>
    <t>北京恒大滨河左岸-车位-南区车位-南区16_03_04地块--3237</t>
  </si>
  <si>
    <t>北京恒大滨河左岸-车位-南区车位-南区16_03_04地块--3238</t>
  </si>
  <si>
    <t>北京恒大滨河左岸-车位-南区车位-南区16_03_04地块--3239</t>
  </si>
  <si>
    <t>北京恒大滨河左岸-车位-南区车位-南区16_03_04地块--3240</t>
  </si>
  <si>
    <t>北京恒大滨河左岸-车位-南区车位-南区16_03_04地块--3241</t>
  </si>
  <si>
    <t>北京恒大滨河左岸-车位-南区车位-南区16_03_04地块--3242</t>
  </si>
  <si>
    <t>北京恒大滨河左岸-车位-南区车位-南区16_03_04地块--3243</t>
  </si>
  <si>
    <t>北京恒大滨河左岸-车位-南区车位-南区16_03_04地块--3244</t>
  </si>
  <si>
    <t>北京恒大滨河左岸-车位-南区车位-南区16_03_04地块--3245</t>
  </si>
  <si>
    <t>北京恒大滨河左岸-车位-南区车位-南区16_03_04地块--3246</t>
  </si>
  <si>
    <t>北京恒大滨河左岸-车位-南区车位-南区16_03_04地块--3247</t>
  </si>
  <si>
    <t>北京恒大滨河左岸-车位-南区车位-南区16_03_04地块--3248</t>
  </si>
  <si>
    <t>北京恒大滨河左岸-车位-南区车位-南区16_03_04地块--3249</t>
  </si>
  <si>
    <t>北京恒大滨河左岸-车位-南区车位-南区16_03_04地块--3250</t>
  </si>
  <si>
    <t>北京恒大滨河左岸-车位-南区车位-南区16_03_04地块--3251</t>
  </si>
  <si>
    <t>北京恒大滨河左岸-车位-南区车位-南区16_03_04地块--3252</t>
  </si>
  <si>
    <t>北京恒大滨河左岸-车位-南区车位-南区16_03_04地块--3253</t>
  </si>
  <si>
    <t>北京恒大滨河左岸-车位-南区车位-南区16_03_04地块--3254</t>
  </si>
  <si>
    <t>北京恒大滨河左岸-车位-南区车位-南区16_03_04地块--3255</t>
  </si>
  <si>
    <t>北京恒大滨河左岸-车位-南区车位-南区16_03_04地块--3256</t>
  </si>
  <si>
    <t>北京恒大滨河左岸-车位-南区车位-南区16_03_04地块--3258</t>
  </si>
  <si>
    <t>北京恒大滨河左岸-车位-南区车位-南区16_03_04地块--3259</t>
  </si>
  <si>
    <t>北京恒大滨河左岸-车位-南区车位-南区16_03_04地块--3260</t>
  </si>
  <si>
    <t>北京恒大滨河左岸-车位-南区车位-南区16_03_04地块--3261</t>
  </si>
  <si>
    <t>北京恒大滨河左岸-车位-南区车位-南区16_03_04地块--3266</t>
  </si>
  <si>
    <t>北京恒大滨河左岸-车位-南区车位-南区16_03_04地块--3267</t>
  </si>
  <si>
    <t>北京恒大滨河左岸-车位-南区车位-南区16_03_04地块--3268</t>
  </si>
  <si>
    <t>北京恒大滨河左岸-车位-南区车位-南区16_03_04地块--3269</t>
  </si>
  <si>
    <t>北京恒大滨河左岸-车位-南区车位-南区16_03_04地块--3270</t>
  </si>
  <si>
    <t>北京恒大滨河左岸-车位-南区车位-南区16_03_04地块--3271</t>
  </si>
  <si>
    <t>北京恒大滨河左岸-车位-南区车位-南区16_03_04地块--3272</t>
  </si>
  <si>
    <t>北京恒大滨河左岸-车位-南区车位-南区16_03_04地块--3273</t>
  </si>
  <si>
    <t>北京恒大滨河左岸-车位-南区车位-南区16_03_04地块--3274</t>
  </si>
  <si>
    <t>北京恒大滨河左岸-车位-南区车位-南区16_03_04地块--3275</t>
  </si>
  <si>
    <t>北京恒大滨河左岸-车位-南区车位-南区16_03_04地块--3276</t>
  </si>
  <si>
    <t>北京恒大滨河左岸-车位-南区车位-南区16_03_04地块--3277</t>
  </si>
  <si>
    <t>北京恒大滨河左岸-车位-南区车位-南区16_03_04地块--3278</t>
  </si>
  <si>
    <t>北京恒大滨河左岸-车位-南区车位-南区16_03_04地块--3279</t>
  </si>
  <si>
    <t>北京恒大滨河左岸-车位-南区车位-南区16_03_04地块--3280</t>
  </si>
  <si>
    <t>北京恒大滨河左岸-车位-南区车位-南区16_03_04地块--3281</t>
  </si>
  <si>
    <t>北京恒大滨河左岸-车位-南区车位-南区16_03_04地块--3283</t>
  </si>
  <si>
    <t>北京恒大滨河左岸-车位-南区车位-南区16_03_04地块--3285</t>
  </si>
  <si>
    <t>北京恒大滨河左岸-车位-南区车位-南区16_03_04地块--3286</t>
  </si>
  <si>
    <t>北京恒大滨河左岸-车位-南区车位-南区16_03_04地块--3287</t>
  </si>
  <si>
    <t>北京恒大滨河左岸-车位-南区车位-南区16_03_04地块--3288</t>
  </si>
  <si>
    <t>北京恒大滨河左岸-车位-南区车位-南区16_03_04地块--3289</t>
  </si>
  <si>
    <t>北京恒大滨河左岸-车位-南区车位-南区16_03_04地块--3290</t>
  </si>
  <si>
    <t>北京恒大滨河左岸-车位-南区车位-南区16_03_04地块--3291</t>
  </si>
  <si>
    <t>北京恒大滨河左岸-车位-南区车位-南区16_03_04地块--3292</t>
  </si>
  <si>
    <t>北京恒大滨河左岸-车位-南区车位-南区16_03_04地块--3293</t>
  </si>
  <si>
    <t>北京恒大滨河左岸-车位-南区车位-南区16_03_04地块--3294</t>
  </si>
  <si>
    <t>北京恒大滨河左岸-车位-南区车位-南区16_03_04地块--3295</t>
  </si>
  <si>
    <t>北京恒大滨河左岸-车位-南区车位-南区16_03_04地块--3296</t>
  </si>
  <si>
    <t>北京恒大滨河左岸-车位-南区车位-南区16_03_04地块--3297</t>
  </si>
  <si>
    <t>北京恒大滨河左岸-车位-南区车位-南区16_03_04地块--3298</t>
  </si>
  <si>
    <t>北京恒大滨河左岸-车位-南区车位-南区16_03_04地块--3299</t>
  </si>
  <si>
    <t>北京恒大滨河左岸-车位-南区车位-南区16_03_04地块--3300</t>
  </si>
  <si>
    <t>北京恒大滨河左岸-车位-南区车位-南区16_03_04地块--3301</t>
  </si>
  <si>
    <t>北京恒大滨河左岸-车位-南区车位-南区16_03_04地块--3302</t>
  </si>
  <si>
    <t>北京恒大滨河左岸-车位-南区车位-南区16_03_04地块--3303</t>
  </si>
  <si>
    <t>北京恒大滨河左岸-车位-南区车位-南区16_03_04地块--3304</t>
  </si>
  <si>
    <t>北京恒大滨河左岸-车位-南区车位-南区16_03_04地块--3305</t>
  </si>
  <si>
    <t>北京恒大滨河左岸-车位-南区车位-南区16_03_04地块--3306</t>
  </si>
  <si>
    <t>北京恒大滨河左岸-车位-南区车位-南区16_03_04地块--3307</t>
  </si>
  <si>
    <t>北京恒大滨河左岸-车位-南区车位-南区16_03_04地块--3308</t>
  </si>
  <si>
    <t>北京恒大滨河左岸-车位-南区车位-南区16_03_04地块--3309</t>
  </si>
  <si>
    <t>北京恒大滨河左岸-车位-南区车位-南区16_03_04地块--3310</t>
  </si>
  <si>
    <t>北京恒大滨河左岸-车位-南区车位-南区16_03_04地块--3311</t>
  </si>
  <si>
    <t>北京恒大滨河左岸-车位-南区车位-南区16_03_04地块--3312</t>
  </si>
  <si>
    <t>北京恒大滨河左岸-车位-南区车位-南区16_03_04地块--3313</t>
  </si>
  <si>
    <t>北京恒大滨河左岸-车位-南区车位-南区16_03_04地块--3314</t>
  </si>
  <si>
    <t>北京恒大滨河左岸-车位-南区车位-南区16_03_04地块--3315</t>
  </si>
  <si>
    <t>北京恒大滨河左岸-车位-南区车位-南区16_03_04地块--3316</t>
  </si>
  <si>
    <t>北京恒大滨河左岸-车位-南区车位-南区16_03_04地块--3317</t>
  </si>
  <si>
    <t>北京恒大滨河左岸-车位-南区车位-南区16_03_04地块--3318</t>
  </si>
  <si>
    <t>北京恒大滨河左岸-车位-南区车位-南区16_03_04地块--3319</t>
  </si>
  <si>
    <t>北京恒大滨河左岸-车位-南区车位-南区16_03_04地块--3320</t>
  </si>
  <si>
    <t>北京恒大滨河左岸-车位-南区车位-南区16_03_04地块--3321</t>
  </si>
  <si>
    <t>北京恒大滨河左岸-车位-南区车位-南区16_03_04地块--3322</t>
  </si>
  <si>
    <t>北京恒大滨河左岸-车位-南区车位-南区16_03_04地块--3323</t>
  </si>
  <si>
    <t>北京恒大滨河左岸-车位-南区车位-南区16_03_04地块--3324</t>
  </si>
  <si>
    <t>北京恒大滨河左岸-车位-南区车位-南区16_03_04地块--3325</t>
  </si>
  <si>
    <t>北京恒大滨河左岸-车位-南区车位-南区16_03_04地块--3326</t>
  </si>
  <si>
    <t>北京恒大滨河左岸-车位-南区车位-南区16_03_04地块--3327</t>
  </si>
  <si>
    <t>北京恒大滨河左岸-车位-南区车位-南区16_03_04地块--3328</t>
  </si>
  <si>
    <t>北京恒大滨河左岸-车位-南区车位-南区16_03_04地块--3329</t>
  </si>
  <si>
    <t>北京恒大滨河左岸-车位-南区车位-南区16_03_04地块--3330</t>
  </si>
  <si>
    <t>北京恒大滨河左岸-车位-南区车位-南区16_03_04地块--3331</t>
  </si>
  <si>
    <t>北京恒大滨河左岸-车位-南区车位-南区16_03_04地块--3332</t>
  </si>
  <si>
    <t>北京恒大滨河左岸-车位-南区车位-南区16_03_04地块--3333</t>
  </si>
  <si>
    <t>北京恒大滨河左岸-车位-南区车位-南区16_03_04地块--3334</t>
  </si>
  <si>
    <t>北京恒大滨河左岸-车位-南区车位-南区16_03_04地块--3335</t>
  </si>
  <si>
    <t>北京恒大滨河左岸-车位-南区车位-南区16_03_04地块--3336</t>
  </si>
  <si>
    <t>北京恒大滨河左岸-车位-南区车位-南区16_03_04地块--3337</t>
  </si>
  <si>
    <t>北京恒大滨河左岸-车位-南区车位-南区16_03_04地块--3338</t>
  </si>
  <si>
    <t>北京恒大滨河左岸-车位-南区车位-南区16_03_04地块--3339</t>
  </si>
  <si>
    <t>北京恒大滨河左岸-车位-南区车位-南区16_03_04地块--3340</t>
  </si>
  <si>
    <t>北京恒大滨河左岸-车位-南区车位-南区16_03_04地块--3341</t>
  </si>
  <si>
    <t>北京恒大滨河左岸-车位-南区车位-南区16_03_04地块--3342</t>
  </si>
  <si>
    <t>北京恒大滨河左岸-车位-南区车位-南区16_03_04地块--3343</t>
  </si>
  <si>
    <t>北京恒大滨河左岸-车位-南区车位-南区16_03_04地块--3344</t>
  </si>
  <si>
    <t>北京恒大滨河左岸-车位-南区车位-南区16_03_04地块--3345</t>
  </si>
  <si>
    <t>北京恒大滨河左岸-车位-南区车位-南区16_03_04地块--3346</t>
  </si>
  <si>
    <t>北京恒大滨河左岸-车位-南区车位-南区16_03_04地块--3347</t>
  </si>
  <si>
    <t>北京恒大滨河左岸-车位-南区车位-南区16_03_04地块--3348</t>
  </si>
  <si>
    <t>北京恒大滨河左岸-车位-南区车位-南区16_03_04地块--3349</t>
  </si>
  <si>
    <t>北京恒大滨河左岸-车位-南区车位-南区16_03_04地块--3350</t>
  </si>
  <si>
    <t>北京恒大滨河左岸-车位-南区车位-南区16_03_04地块--3351</t>
  </si>
  <si>
    <t>北京恒大滨河左岸-车位-南区车位-南区16_03_04地块--3352</t>
  </si>
  <si>
    <t>北京恒大滨河左岸-车位-南区车位-南区16_03_04地块--3353</t>
  </si>
  <si>
    <t>北京恒大滨河左岸-车位-南区车位-南区16_03_04地块--3354</t>
  </si>
  <si>
    <t>北京恒大滨河左岸-车位-南区车位-南区16_03_04地块--3355</t>
  </si>
  <si>
    <t>北京恒大滨河左岸-车位-南区车位-南区16_03_04地块--3356</t>
  </si>
  <si>
    <t>北京恒大滨河左岸-车位-南区车位-南区16_03_04地块--3357</t>
  </si>
  <si>
    <t>北京恒大滨河左岸-车位-南区车位-南区16_03_04地块--3358</t>
  </si>
  <si>
    <t>北京恒大滨河左岸-车位-南区车位-南区16_03_04地块--3359</t>
  </si>
  <si>
    <t>北京恒大滨河左岸-车位-南区车位-南区16_03_04地块--3362</t>
  </si>
  <si>
    <t>北京恒大滨河左岸-车位-南区车位-南区16_03_04地块--3363</t>
  </si>
  <si>
    <t>北京恒大滨河左岸-车位-南区车位-南区16_03_04地块--3364</t>
  </si>
  <si>
    <t>北京恒大滨河左岸-车位-南区车位-南区16_03_04地块--3365</t>
  </si>
  <si>
    <t>北京恒大滨河左岸-车位-南区车位-南区16_03_04地块--3366</t>
  </si>
  <si>
    <t>北京恒大滨河左岸-车位-南区车位-南区16_03_04地块--3367</t>
  </si>
  <si>
    <t>北京恒大滨河左岸-车位-南区车位-南区16_03_04地块--3368</t>
  </si>
  <si>
    <t>北京恒大滨河左岸-车位-南区车位-南区16_03_04地块--3369</t>
  </si>
  <si>
    <t>北京恒大滨河左岸-车位-南区车位-南区16_03_04地块--3370</t>
  </si>
  <si>
    <t>北京恒大滨河左岸-车位-南区车位-南区16_03_04地块--3371</t>
  </si>
  <si>
    <t>北京恒大滨河左岸-车位-南区车位-南区16_03_04地块--3372</t>
  </si>
  <si>
    <t>北京恒大滨河左岸-车位-南区车位-南区16_03_04地块--3373</t>
  </si>
  <si>
    <t>北京恒大滨河左岸-车位-南区车位-南区16_03_04地块--3375</t>
  </si>
  <si>
    <t>北京恒大滨河左岸-车位-南区车位-南区16_03_04地块--3376</t>
  </si>
  <si>
    <t>北京恒大滨河左岸-车位-南区车位-南区16_03_04地块--3377</t>
  </si>
  <si>
    <t>北京恒大滨河左岸-车位-南区车位-南区16_03_04地块--3378</t>
  </si>
  <si>
    <t>北京恒大滨河左岸-车位-南区车位-南区16_03_04地块--3379</t>
  </si>
  <si>
    <t>北京恒大滨河左岸-车位-南区车位-南区16_03_04地块--3380</t>
  </si>
  <si>
    <t>北京恒大滨河左岸-车位-南区车位-南区16_03_04地块--3381</t>
  </si>
  <si>
    <t>北京恒大滨河左岸-车位-南区车位-南区16_03_04地块--3382</t>
  </si>
  <si>
    <t>北京恒大滨河左岸-车位-南区车位-南区16_03_04地块--3383</t>
  </si>
  <si>
    <t>北京恒大滨河左岸-车位-南区车位-南区16_03_04地块--3384</t>
  </si>
  <si>
    <t>北京恒大滨河左岸-车位-南区车位-南区16_03_04地块--3387</t>
  </si>
  <si>
    <t>北京恒大滨河左岸-车位-南区车位-南区16_03_04地块--3388</t>
  </si>
  <si>
    <t>北京恒大滨河左岸-车位-南区车位-南区16_03_04地块--3389</t>
  </si>
  <si>
    <t>北京恒大滨河左岸-车位-南区车位-南区16_03_04地块--3390</t>
  </si>
  <si>
    <t>北京恒大滨河左岸-车位-南区车位-南区16_03_04地块--3392</t>
  </si>
  <si>
    <t>北京恒大滨河左岸-车位-南区车位-南区16_03_04地块--3394</t>
  </si>
  <si>
    <t>北京恒大滨河左岸-车位-南区车位-南区16_03_04地块--3395</t>
  </si>
  <si>
    <t>北京恒大滨河左岸-车位-南区车位-南区16_03_04地块--3396</t>
  </si>
  <si>
    <t>北京恒大滨河左岸-车位-南区车位-南区16_03_04地块--3397</t>
  </si>
  <si>
    <t>北京恒大滨河左岸-车位-南区车位-南区16_03_04地块--3398</t>
  </si>
  <si>
    <t>北京恒大滨河左岸-车位-南区车位-南区16_03_04地块--3399</t>
  </si>
  <si>
    <t>北京恒大滨河左岸-车位-南区车位-南区16_03_04地块--3400</t>
  </si>
  <si>
    <t>北京恒大滨河左岸-车位-南区车位-南区16_03_04地块--3401</t>
  </si>
  <si>
    <t>北京恒大滨河左岸-车位-南区车位-南区16_03_04地块--3402</t>
  </si>
  <si>
    <t>北京恒大滨河左岸-车位-南区车位-南区16_03_04地块--3403</t>
  </si>
  <si>
    <t>北京恒大滨河左岸-车位-南区车位-南区16_03_04地块--3404</t>
  </si>
  <si>
    <t>北京恒大滨河左岸-车位-南区车位-南区16_03_04地块--3405</t>
  </si>
  <si>
    <t>北京恒大滨河左岸-车位-南区车位-南区16_03_04地块--3406</t>
  </si>
  <si>
    <t>北京恒大滨河左岸-车位-南区车位-南区16_03_04地块--3407</t>
  </si>
  <si>
    <t>北京恒大滨河左岸-车位-南区车位-南区16_03_04地块--3408</t>
  </si>
  <si>
    <t>北京恒大滨河左岸-车位-南区车位-南区16_03_04地块--3409</t>
  </si>
  <si>
    <t>北京恒大滨河左岸-车位-南区车位-南区16_03_04地块--3410</t>
  </si>
  <si>
    <t>北京恒大滨河左岸-车位-南区车位-南区16_03_04地块--3411</t>
  </si>
  <si>
    <t>北京恒大滨河左岸-车位-南区车位-南区16_03_04地块--3412</t>
  </si>
  <si>
    <t>北京恒大滨河左岸-车位-南区车位-南区16_03_04地块--3413</t>
  </si>
  <si>
    <t>北京恒大滨河左岸-车位-南区车位-南区16_03_04地块--3414</t>
  </si>
  <si>
    <t>北京恒大滨河左岸-车位-南区车位-南区16_03_04地块--3415</t>
  </si>
  <si>
    <t>北京恒大滨河左岸-车位-南区车位-南区16_03_04地块--3416</t>
  </si>
  <si>
    <t>北京恒大滨河左岸-车位-南区车位-南区16_03_04地块--3417</t>
  </si>
  <si>
    <t>北京恒大滨河左岸-车位-南区车位-南区16_03_04地块--3418</t>
  </si>
  <si>
    <t>北京恒大滨河左岸-车位-南区车位-南区16_03_04地块--3419</t>
  </si>
  <si>
    <t>北京恒大滨河左岸-车位-南区车位-南区16_03_04地块--3420</t>
  </si>
  <si>
    <t>北京恒大滨河左岸-车位-南区车位-南区16_03_04地块--3421</t>
  </si>
  <si>
    <t>北京恒大滨河左岸-车位-南区车位-南区16_03_04地块--3422</t>
  </si>
  <si>
    <t>北京恒大滨河左岸-车位-南区车位-南区16_03_04地块--3423</t>
  </si>
  <si>
    <t>北京恒大滨河左岸-车位-南区车位-南区16_03_04地块--3424</t>
  </si>
  <si>
    <t>北京恒大滨河左岸-车位-南区车位-南区16_03_04地块--3425</t>
  </si>
  <si>
    <t>北京恒大滨河左岸-车位-南区车位-南区16_03_04地块--3426</t>
  </si>
  <si>
    <t>北京恒大滨河左岸-车位-南区车位-南区16_03_04地块--3427</t>
  </si>
  <si>
    <t>北京恒大滨河左岸-车位-南区车位-南区16_03_04地块--3428</t>
  </si>
  <si>
    <t>北京恒大滨河左岸-车位-南区车位-南区16_03_04地块--3429</t>
  </si>
  <si>
    <t>北京恒大滨河左岸-车位-南区车位-南区16_03_04地块--3430</t>
  </si>
  <si>
    <t>北京恒大滨河左岸-车位-南区车位-南区16_03_04地块--3431</t>
  </si>
  <si>
    <t>北京恒大滨河左岸-车位-南区车位-南区16_03_04地块--3432</t>
  </si>
  <si>
    <t>北京恒大滨河左岸-车位-南区车位-南区16_03_04地块--3433</t>
  </si>
  <si>
    <t>北京恒大滨河左岸-车位-南区车位-南区16_03_04地块--3434</t>
  </si>
  <si>
    <t>北京恒大滨河左岸-车位-南区车位-南区16_03_04地块--3435</t>
  </si>
  <si>
    <t>北京恒大滨河左岸-车位-南区车位-南区16_03_04地块--3436</t>
  </si>
  <si>
    <t>北京恒大滨河左岸-车位-南区车位-南区16_03_04地块--3437</t>
  </si>
  <si>
    <t>北京恒大滨河左岸-车位-南区车位-南区16_03_04地块--3438</t>
  </si>
  <si>
    <t>北京恒大滨河左岸-车位-南区车位-南区16_03_04地块--3439</t>
  </si>
  <si>
    <t>北京恒大滨河左岸-车位-南区车位-南区16_03_04地块--3440</t>
  </si>
  <si>
    <t>北京恒大滨河左岸-车位-南区车位-南区16_03_04地块--3441</t>
  </si>
  <si>
    <t>北京恒大滨河左岸-车位-南区车位-南区16_03_04地块--3442</t>
  </si>
  <si>
    <t>北京恒大滨河左岸-车位-南区车位-南区16_03_04地块--3443</t>
  </si>
  <si>
    <t>北京恒大滨河左岸-车位-南区车位-南区16_03_04地块--3444</t>
  </si>
  <si>
    <t>北京恒大滨河左岸-车位-南区车位-南区16_03_04地块--3445</t>
  </si>
  <si>
    <t>北京恒大滨河左岸-车位-南区车位-南区16_03_04地块--3446</t>
  </si>
  <si>
    <t>北京恒大滨河左岸-车位-南区车位-南区16_03_04地块--3447</t>
  </si>
  <si>
    <t>北京恒大滨河左岸-车位-南区车位-南区16_03_04地块--3448</t>
  </si>
  <si>
    <t>北京恒大滨河左岸-车位-南区车位-南区16_03_04地块--3449</t>
  </si>
  <si>
    <t>北京恒大滨河左岸-车位-南区车位-南区16_03_04地块--3450</t>
  </si>
  <si>
    <t>北京恒大滨河左岸-车位-南区车位-南区16_03_04地块--3451</t>
  </si>
  <si>
    <t>北京恒大滨河左岸-车位-南区车位-南区16_03_04地块--3452</t>
  </si>
  <si>
    <t>北京恒大滨河左岸-车位-南区车位-南区16_03_04地块--3453</t>
  </si>
  <si>
    <t>北京恒大滨河左岸-车位-南区车位-南区16_03_04地块--3454</t>
  </si>
  <si>
    <t>北京恒大滨河左岸-车位-南区车位-南区16_03_04地块--3455</t>
  </si>
  <si>
    <t>北京恒大滨河左岸-车位-南区车位-南区16_03_04地块--3456</t>
  </si>
  <si>
    <t>北京恒大滨河左岸-车位-南区车位-南区16_03_04地块--3457</t>
  </si>
  <si>
    <t>北京恒大滨河左岸-车位-南区车位-南区16_03_04地块--3458</t>
  </si>
  <si>
    <t>北京恒大滨河左岸-车位-南区车位-南区16_03_04地块--3459</t>
  </si>
  <si>
    <t>北京恒大滨河左岸-车位-南区车位-南区16_03_04地块--3460</t>
  </si>
  <si>
    <t>北京恒大滨河左岸-车位-南区车位-南区16_03_04地块--3461</t>
  </si>
  <si>
    <t>北京恒大滨河左岸-车位-南区车位-南区16_03_04地块--3462</t>
  </si>
  <si>
    <t>北京恒大滨河左岸-车位-南区车位-南区16_03_04地块--3463</t>
  </si>
  <si>
    <t>北京恒大滨河左岸-车位-南区车位-南区16_03_04地块--3464</t>
  </si>
  <si>
    <t>北京恒大滨河左岸-车位-南区车位-南区16_03_04地块--3465</t>
  </si>
  <si>
    <t>北京恒大滨河左岸-车位-南区车位-南区16_03_04地块--3466</t>
  </si>
  <si>
    <t>北京恒大滨河左岸-车位-南区车位-南区16_03_04地块--3467</t>
  </si>
  <si>
    <t>北京恒大滨河左岸-车位-南区车位-南区16_03_04地块--3468</t>
  </si>
  <si>
    <t>北京恒大滨河左岸-车位-南区车位-南区16_03_04地块--3469</t>
  </si>
  <si>
    <t>北京恒大滨河左岸-车位-南区车位-南区16_03_04地块--3470</t>
  </si>
  <si>
    <t>北京恒大滨河左岸-车位-南区车位-南区16_03_04地块--3471</t>
  </si>
  <si>
    <t>北京恒大滨河左岸-车位-南区车位-南区16_03_04地块--3472</t>
  </si>
  <si>
    <t>北京恒大滨河左岸-车位-南区车位-南区16_03_04地块--3473</t>
  </si>
  <si>
    <t>北京恒大滨河左岸-车位-南区车位-南区16_03_04地块--3475</t>
  </si>
  <si>
    <t>北京恒大滨河左岸-车位-南区车位-南区16_03_04地块--3476</t>
  </si>
  <si>
    <t>北京恒大滨河左岸-车位-南区车位-南区16_03_04地块--3477</t>
  </si>
  <si>
    <t>北京恒大滨河左岸-车位-南区车位-南区16_03_04地块--3478</t>
  </si>
  <si>
    <t>北京恒大滨河左岸-车位-南区车位-南区16_03_04地块--3479</t>
  </si>
  <si>
    <t>北京恒大滨河左岸-车位-南区车位-南区16_03_04地块--3480</t>
  </si>
  <si>
    <t>北京恒大滨河左岸-车位-南区车位-南区16_03_04地块--3481</t>
  </si>
  <si>
    <t>北京恒大滨河左岸-车位-南区车位-南区16_03_04地块--3482</t>
  </si>
  <si>
    <t>北京恒大滨河左岸-车位-南区车位-南区16_03_04地块--3483</t>
  </si>
  <si>
    <t>北京恒大滨河左岸-车位-南区车位-南区16_03_04地块--3484</t>
  </si>
  <si>
    <t>北京恒大滨河左岸-车位-南区车位-南区16_03_04地块--3485</t>
  </si>
  <si>
    <t>北京恒大滨河左岸-车位-南区车位-南区16_03_04地块--3486</t>
  </si>
  <si>
    <t>北京恒大滨河左岸-车位-南区车位-南区16_03_04地块--3487</t>
  </si>
  <si>
    <t>北京恒大滨河左岸-车位-南区车位-南区16_03_04地块--3488</t>
  </si>
  <si>
    <t>北京恒大滨河左岸-车位-南区车位-南区16_03_04地块--3489</t>
  </si>
  <si>
    <t>北京恒大滨河左岸-车位-南区车位-南区16_03_04地块--3490</t>
  </si>
  <si>
    <t>北京恒大滨河左岸-车位-南区车位-南区16_03_04地块--3491</t>
  </si>
  <si>
    <t>北京恒大滨河左岸-车位-南区车位-南区16_03_04地块--3492</t>
  </si>
  <si>
    <t>北京恒大滨河左岸-车位-南区车位-南区16_03_04地块--3493</t>
  </si>
  <si>
    <t>北京恒大滨河左岸-车位-南区车位-南区16_03_04地块--3494</t>
  </si>
  <si>
    <t>北京恒大滨河左岸-车位-南区车位-南区16_03_04地块--3495</t>
  </si>
  <si>
    <t>北京恒大滨河左岸-车位-南区车位-南区16_03_04地块--3496</t>
  </si>
  <si>
    <t>北京恒大滨河左岸-车位-南区车位-南区16_03_04地块--3497</t>
  </si>
  <si>
    <t>北京恒大滨河左岸-车位-南区车位-南区16_03_04地块--3498</t>
  </si>
  <si>
    <t>北京恒大滨河左岸-车位-南区车位-南区16_03_04地块--3499</t>
  </si>
  <si>
    <t>北京恒大滨河左岸-车位-南区车位-南区16_03_04地块--3500</t>
  </si>
  <si>
    <t>北京恒大滨河左岸-车位-南区车位-南区16_03_04地块--4001</t>
  </si>
  <si>
    <t>北京恒大滨河左岸-车位-南区车位-南区16_03_04地块--4002</t>
  </si>
  <si>
    <t>北京恒大滨河左岸-车位-南区车位-南区16_03_04地块--4003</t>
  </si>
  <si>
    <t>北京恒大滨河左岸-车位-南区车位-南区16_03_04地块--4004</t>
  </si>
  <si>
    <t>北京恒大滨河左岸-车位-南区车位-南区16_03_04地块--4005</t>
  </si>
  <si>
    <t>北京恒大滨河左岸-车位-南区车位-南区16_03_04地块--4006</t>
  </si>
  <si>
    <t>北京恒大滨河左岸-车位-南区车位-南区16_03_04地块--4007</t>
  </si>
  <si>
    <t>北京恒大滨河左岸-车位-南区车位-南区16_03_04地块--4008</t>
  </si>
  <si>
    <t>北京恒大滨河左岸-车位-南区车位-南区16_03_04地块--4009</t>
  </si>
  <si>
    <t>北京恒大滨河左岸-车位-南区车位-南区16_03_04地块--4010</t>
  </si>
  <si>
    <t>北京恒大滨河左岸-车位-南区车位-南区16_03_04地块--4011</t>
  </si>
  <si>
    <t>北京恒大滨河左岸-车位-南区车位-南区16_03_04地块--4012</t>
  </si>
  <si>
    <t>北京恒大滨河左岸-车位-南区车位-南区16_03_04地块--4014</t>
  </si>
  <si>
    <t>北京恒大滨河左岸-车位-南区车位-南区16_03_04地块--4015</t>
  </si>
  <si>
    <t>北京恒大滨河左岸-车位-南区车位-南区16_03_04地块--4016</t>
  </si>
  <si>
    <t>北京恒大滨河左岸-车位-南区车位-南区16_03_04地块--4017</t>
  </si>
  <si>
    <t>北京恒大滨河左岸-车位-南区车位-南区16_03_04地块--4018</t>
  </si>
  <si>
    <t>北京恒大滨河左岸-车位-南区车位-南区16_03_04地块--4019</t>
  </si>
  <si>
    <t>北京恒大滨河左岸-车位-南区车位-南区16_03_04地块--4021</t>
  </si>
  <si>
    <t>北京恒大滨河左岸-车位-南区车位-南区16_03_04地块--4022</t>
  </si>
  <si>
    <t>北京恒大滨河左岸-车位-南区车位-南区16_03_04地块--4023</t>
  </si>
  <si>
    <t>北京恒大滨河左岸-车位-南区车位-南区16_03_04地块--4024</t>
  </si>
  <si>
    <t>北京恒大滨河左岸-车位-南区车位-南区16_03_04地块--4025</t>
  </si>
  <si>
    <t>北京恒大滨河左岸-车位-南区车位-南区16_03_04地块--4026</t>
  </si>
  <si>
    <t>北京恒大滨河左岸-车位-南区车位-南区16_03_04地块--4027</t>
  </si>
  <si>
    <t>北京恒大滨河左岸-车位-南区车位-南区16_03_04地块--4028</t>
  </si>
  <si>
    <t>北京恒大滨河左岸-车位-南区车位-南区16_03_04地块--4029</t>
  </si>
  <si>
    <t>北京恒大滨河左岸-车位-南区车位-南区16_03_04地块--4030</t>
  </si>
  <si>
    <t>北京恒大滨河左岸-车位-南区车位-南区16_03_04地块--4032</t>
  </si>
  <si>
    <t>北京恒大滨河左岸-车位-南区车位-南区16_03_04地块--4033</t>
  </si>
  <si>
    <t>北京恒大滨河左岸-车位-南区车位-南区16_03_04地块--4034</t>
  </si>
  <si>
    <t>北京恒大滨河左岸-车位-南区车位-南区16_03_04地块--4035</t>
  </si>
  <si>
    <t>北京恒大滨河左岸-车位-南区车位-南区16_03_04地块--4036</t>
  </si>
  <si>
    <t>北京恒大滨河左岸-车位-南区车位-南区16_03_04地块--4037</t>
  </si>
  <si>
    <t>北京恒大滨河左岸-车位-南区车位-南区16_03_04地块--4038</t>
  </si>
  <si>
    <t>北京恒大滨河左岸-车位-南区车位-南区16_03_04地块--4039</t>
  </si>
  <si>
    <t>北京恒大滨河左岸-车位-南区车位-南区16_03_04地块--4040</t>
  </si>
  <si>
    <t>北京恒大滨河左岸-车位-南区车位-南区16_03_04地块--4041</t>
  </si>
  <si>
    <t>北京恒大滨河左岸-车位-南区车位-南区16_03_04地块--4042</t>
  </si>
  <si>
    <t>北京恒大滨河左岸-车位-南区车位-南区16_03_04地块--4043</t>
  </si>
  <si>
    <t>北京恒大滨河左岸-车位-南区车位-南区16_03_04地块--4044</t>
  </si>
  <si>
    <t>北京恒大滨河左岸-车位-南区车位-南区16_03_04地块--4045</t>
  </si>
  <si>
    <t>北京恒大滨河左岸-车位-南区车位-南区16_03_04地块--4046</t>
  </si>
  <si>
    <t>北京恒大滨河左岸-车位-南区车位-南区16_03_04地块--4047</t>
  </si>
  <si>
    <t>北京恒大滨河左岸-车位-南区车位-南区16_03_04地块--4048</t>
  </si>
  <si>
    <t>北京恒大滨河左岸-车位-南区车位-南区16_03_04地块--4049</t>
  </si>
  <si>
    <t>北京恒大滨河左岸-车位-南区车位-南区16_03_04地块--4050</t>
  </si>
  <si>
    <t>北京恒大滨河左岸-车位-南区车位-南区16_03_04地块--4051</t>
  </si>
  <si>
    <t>北京恒大滨河左岸-车位-南区车位-南区16_03_04地块--4052</t>
  </si>
  <si>
    <t>北京恒大滨河左岸-车位-南区车位-南区16_03_04地块--4053</t>
  </si>
  <si>
    <t>北京恒大滨河左岸-车位-南区车位-南区16_03_04地块--4054</t>
  </si>
  <si>
    <t>北京恒大滨河左岸-车位-南区车位-南区16_03_04地块--4055</t>
  </si>
  <si>
    <t>北京恒大滨河左岸-车位-南区车位-南区16_03_04地块--4057</t>
  </si>
  <si>
    <t>北京恒大滨河左岸-车位-南区车位-南区16_03_04地块--4058</t>
  </si>
  <si>
    <t>北京恒大滨河左岸-车位-南区车位-南区16_03_04地块--4059</t>
  </si>
  <si>
    <t>北京恒大滨河左岸-车位-南区车位-南区16_03_04地块--4060</t>
  </si>
  <si>
    <t>北京恒大滨河左岸-车位-南区车位-南区16_03_04地块--4061</t>
  </si>
  <si>
    <t>北京恒大滨河左岸-车位-南区车位-南区16_03_04地块--4062</t>
  </si>
  <si>
    <t>北京恒大滨河左岸-车位-南区车位-南区16_03_04地块--4063</t>
  </si>
  <si>
    <t>北京恒大滨河左岸-车位-南区车位-南区16_03_04地块--4064</t>
  </si>
  <si>
    <t>北京恒大滨河左岸-车位-南区车位-南区16_03_04地块--4065</t>
  </si>
  <si>
    <t>北京恒大滨河左岸-车位-南区车位-南区16_03_04地块--4066</t>
  </si>
  <si>
    <t>北京恒大滨河左岸-车位-南区车位-南区16_03_04地块--4067</t>
  </si>
  <si>
    <t>北京恒大滨河左岸-车位-南区车位-南区16_03_04地块--4068</t>
  </si>
  <si>
    <t>南区车位-南区16_03_04地块_3层</t>
  </si>
  <si>
    <t>北京恒大滨河左岸-车位-南区车位-南区16_03_04地块_3层--3501</t>
  </si>
  <si>
    <t>北京恒大滨河左岸-车位-南区车位-南区16_03_04地块_3层--3502</t>
  </si>
  <si>
    <t>北京恒大滨河左岸-车位-南区车位-南区16_03_04地块_3层--3503</t>
  </si>
  <si>
    <t>北京恒大滨河左岸-车位-南区车位-南区16_03_04地块_3层--3504</t>
  </si>
  <si>
    <t>北京恒大滨河左岸-车位-南区车位-南区16_03_04地块_3层--3505</t>
  </si>
  <si>
    <t>北京恒大滨河左岸-车位-南区车位-南区16_03_04地块_3层--3506</t>
  </si>
  <si>
    <t>北京恒大滨河左岸-车位-南区车位-南区16_03_04地块_3层--3507</t>
  </si>
  <si>
    <t>北京恒大滨河左岸-车位-南区车位-南区16_03_04地块_3层--3508</t>
  </si>
  <si>
    <t>北京恒大滨河左岸-车位-南区车位-南区16_03_04地块_3层--3509</t>
  </si>
  <si>
    <t>北京恒大滨河左岸-车位-南区车位-南区16_03_04地块_3层--3510</t>
  </si>
  <si>
    <t>北京恒大滨河左岸-车位-南区车位-南区16_03_04地块_3层--3512</t>
  </si>
  <si>
    <t>北京恒大滨河左岸-车位-南区车位-南区16_03_04地块_3层--3513</t>
  </si>
  <si>
    <t>北京恒大滨河左岸-车位-南区车位-南区16_03_04地块_3层--3514</t>
  </si>
  <si>
    <t>北京恒大滨河左岸-车位-南区车位-南区16_03_04地块_3层--3515</t>
  </si>
  <si>
    <t>北京恒大滨河左岸-车位-南区车位-南区16_03_04地块_3层--3516</t>
  </si>
  <si>
    <t>北京恒大滨河左岸-车位-南区车位-南区16_03_04地块_3层--3517</t>
  </si>
  <si>
    <t>北京恒大滨河左岸-车位-南区车位-南区16_03_04地块_3层--3518</t>
  </si>
  <si>
    <t>北京恒大滨河左岸-车位-南区车位-南区16_03_04地块_3层--3519</t>
  </si>
  <si>
    <t>北京恒大滨河左岸-车位-南区车位-南区16_03_04地块_3层--3520</t>
  </si>
  <si>
    <t>北京恒大滨河左岸-车位-南区车位-南区16_03_04地块_3层--3521</t>
  </si>
  <si>
    <t>北京恒大滨河左岸-车位-南区车位-南区16_03_04地块_3层--3522</t>
  </si>
  <si>
    <t>北京恒大滨河左岸-车位-南区车位-南区16_03_04地块_3层--3523</t>
  </si>
  <si>
    <t>北京恒大滨河左岸-车位-南区车位-南区16_03_04地块_3层--3524</t>
  </si>
  <si>
    <t>北京恒大滨河左岸-车位-南区车位-南区16_03_04地块_3层--3525</t>
  </si>
  <si>
    <t>北京恒大滨河左岸-车位-南区车位-南区16_03_04地块_3层--3526</t>
  </si>
  <si>
    <t>北京恒大滨河左岸-车位-南区车位-南区16_03_04地块_3层--3527</t>
  </si>
  <si>
    <t>北京恒大滨河左岸-车位-南区车位-南区16_03_04地块_3层--3528</t>
  </si>
  <si>
    <t>北京恒大滨河左岸-车位-南区车位-南区16_03_04地块_3层--3529</t>
  </si>
  <si>
    <t>北京恒大滨河左岸-车位-南区车位-南区16_03_04地块_3层--3530</t>
  </si>
  <si>
    <t>北京恒大滨河左岸-车位-南区车位-南区16_03_04地块_3层--3531</t>
  </si>
  <si>
    <t>北京恒大滨河左岸-车位-南区车位-南区16_03_04地块_3层--3532</t>
  </si>
  <si>
    <t>北京恒大滨河左岸-车位-南区车位-南区16_03_04地块_3层--3533</t>
  </si>
  <si>
    <t>北京恒大滨河左岸-车位-南区车位-南区16_03_04地块_3层--3534</t>
  </si>
  <si>
    <t>北京恒大滨河左岸-车位-南区车位-南区16_03_04地块_3层--3535</t>
  </si>
  <si>
    <t>北京恒大滨河左岸-车位-南区车位-南区16_03_04地块_3层--3536</t>
  </si>
  <si>
    <t>北京恒大滨河左岸-车位-南区车位-南区16_03_04地块_3层--3537</t>
  </si>
  <si>
    <t>北京恒大滨河左岸-车位-南区车位-南区16_03_04地块_3层--3538</t>
  </si>
  <si>
    <t>北京恒大滨河左岸-车位-南区车位-南区16_03_04地块_3层--3539</t>
  </si>
  <si>
    <t>北京恒大滨河左岸-车位-南区车位-南区16_03_04地块_3层--3540</t>
  </si>
  <si>
    <t>北京恒大滨河左岸-车位-南区车位-南区16_03_04地块_3层--3541</t>
  </si>
  <si>
    <t>北京恒大滨河左岸-车位-南区车位-南区16_03_04地块_3层--3543</t>
  </si>
  <si>
    <t>北京恒大滨河左岸-车位-南区车位-南区16_03_04地块_3层--3544</t>
  </si>
  <si>
    <t>北京恒大滨河左岸-车位-南区车位-南区16_03_04地块_3层--3545</t>
  </si>
  <si>
    <t>北京恒大滨河左岸-车位-南区车位-南区16_03_04地块_3层--3546</t>
  </si>
  <si>
    <t>北京恒大滨河左岸-车位-南区车位-南区16_03_04地块_3层--3547</t>
  </si>
  <si>
    <t>北京恒大滨河左岸-车位-南区车位-南区16_03_04地块_3层--3548</t>
  </si>
  <si>
    <t>北京恒大滨河左岸-车位-南区车位-南区16_03_04地块_3层--3549</t>
  </si>
  <si>
    <t>北京恒大滨河左岸-车位-南区车位-南区16_03_04地块_3层--3550</t>
  </si>
  <si>
    <t>北京恒大滨河左岸-车位-南区车位-南区16_03_04地块_3层--3551</t>
  </si>
  <si>
    <t>北京恒大滨河左岸-车位-南区车位-南区16_03_04地块_3层--3552</t>
  </si>
  <si>
    <t>北京恒大滨河左岸-车位-南区车位-南区16_03_04地块_3层--3553</t>
  </si>
  <si>
    <t>北京恒大滨河左岸-车位-南区车位-南区16_03_04地块_3层--3554</t>
  </si>
  <si>
    <t>北京恒大滨河左岸-车位-南区车位-南区16_03_04地块_3层--3555</t>
  </si>
  <si>
    <t>北京恒大滨河左岸-车位-南区车位-南区16_03_04地块_3层--3556</t>
  </si>
  <si>
    <t>北京恒大滨河左岸-车位-南区车位-南区16_03_04地块_3层--3557</t>
  </si>
  <si>
    <t>北京恒大滨河左岸-车位-南区车位-南区16_03_04地块_3层--3558</t>
  </si>
  <si>
    <t>北京恒大滨河左岸-车位-南区车位-南区16_03_04地块_3层--3559</t>
  </si>
  <si>
    <t>北京恒大滨河左岸-车位-南区车位-南区16_03_04地块_3层--3560</t>
  </si>
  <si>
    <t>北京恒大滨河左岸-车位-南区车位-南区16_03_04地块_3层--3561</t>
  </si>
  <si>
    <t>北京恒大滨河左岸-车位-南区车位-南区16_03_04地块_3层--3562</t>
  </si>
  <si>
    <t>北京恒大滨河左岸-车位-南区车位-南区16_03_04地块_3层--3563</t>
  </si>
  <si>
    <t>北京恒大滨河左岸-车位-南区车位-南区16_03_04地块_3层--3564</t>
  </si>
  <si>
    <t>北京恒大滨河左岸-车位-南区车位-南区16_03_04地块_3层--3565</t>
  </si>
  <si>
    <t>北京恒大滨河左岸-车位-南区车位-南区16_03_04地块_3层--3566</t>
  </si>
  <si>
    <t>北京恒大滨河左岸-车位-南区车位-南区16_03_04地块_3层--3567</t>
  </si>
  <si>
    <t>北京恒大滨河左岸-车位-南区车位-南区16_03_04地块_3层--3568</t>
  </si>
  <si>
    <t>北京恒大滨河左岸-车位-南区车位-南区16_03_04地块_3层--3569</t>
  </si>
  <si>
    <t>北京恒大滨河左岸-车位-南区车位-南区16_03_04地块_3层--3570</t>
  </si>
  <si>
    <t>北京恒大滨河左岸-车位-南区车位-南区16_03_04地块_3层--3571</t>
  </si>
  <si>
    <t>北京恒大滨河左岸-车位-南区车位-南区16_03_04地块_3层--3572</t>
  </si>
  <si>
    <t>北京恒大滨河左岸-车位-南区车位-南区16_03_04地块_3层--3573</t>
  </si>
  <si>
    <t>北京恒大滨河左岸-车位-南区车位-南区16_03_04地块_3层--3574</t>
  </si>
  <si>
    <t>北区16_01_05地块</t>
  </si>
  <si>
    <t>北京恒大滨河左岸-车位-北区16_01_05地块-1001</t>
  </si>
  <si>
    <t>北京恒大滨河左岸-车位-北区16_01_05地块-1002</t>
  </si>
  <si>
    <t>北京恒大滨河左岸-车位-北区16_01_05地块-1003</t>
  </si>
  <si>
    <t>北京恒大滨河左岸-车位-北区16_01_05地块-1004</t>
  </si>
  <si>
    <t>北京恒大滨河左岸-车位-北区16_01_05地块-1005</t>
  </si>
  <si>
    <t>北京恒大滨河左岸-车位-北区16_01_05地块-1006</t>
  </si>
  <si>
    <t>北京恒大滨河左岸-车位-北区16_01_05地块-1007</t>
  </si>
  <si>
    <t>北京恒大滨河左岸-车位-北区16_01_05地块-1008</t>
  </si>
  <si>
    <t>北京恒大滨河左岸-车位-北区16_01_05地块-1009</t>
  </si>
  <si>
    <t>北京恒大滨河左岸-车位-北区16_01_05地块-1010</t>
  </si>
  <si>
    <t>北京恒大滨河左岸-车位-北区16_01_05地块-1011</t>
  </si>
  <si>
    <t>北京恒大滨河左岸-车位-北区16_01_05地块-1012</t>
  </si>
  <si>
    <t>北京恒大滨河左岸-车位-北区16_01_05地块-1013</t>
  </si>
  <si>
    <t>北京恒大滨河左岸-车位-北区16_01_05地块-1014</t>
  </si>
  <si>
    <t>北京恒大滨河左岸-车位-北区16_01_05地块-1016</t>
  </si>
  <si>
    <t>北京恒大滨河左岸-车位-北区16_01_05地块-1018</t>
  </si>
  <si>
    <t>北京恒大滨河左岸-车位-北区16_01_05地块-1019</t>
  </si>
  <si>
    <t>北京恒大滨河左岸-车位-北区16_01_05地块-1020</t>
  </si>
  <si>
    <t>北京恒大滨河左岸-车位-北区16_01_05地块-1021</t>
  </si>
  <si>
    <t>北京恒大滨河左岸-车位-北区16_01_05地块-1022</t>
  </si>
  <si>
    <t>北京恒大滨河左岸-车位-北区16_01_05地块-1025</t>
  </si>
  <si>
    <t>北京恒大滨河左岸-车位-北区16_01_05地块-1026</t>
  </si>
  <si>
    <t>北京恒大滨河左岸-车位-北区16_01_05地块-1028</t>
  </si>
  <si>
    <t>北京恒大滨河左岸-车位-北区16_01_05地块-1031</t>
  </si>
  <si>
    <t>北京恒大滨河左岸-车位-北区16_01_05地块-1032</t>
  </si>
  <si>
    <t>北京恒大滨河左岸-车位-北区16_01_05地块-1033</t>
  </si>
  <si>
    <t>北京恒大滨河左岸-车位-北区16_01_05地块-1034</t>
  </si>
  <si>
    <t>北京恒大滨河左岸-车位-北区16_01_05地块-1035</t>
  </si>
  <si>
    <t>北京恒大滨河左岸-车位-北区16_01_05地块-1036</t>
  </si>
  <si>
    <t>北京恒大滨河左岸-车位-北区16_01_05地块-1037</t>
  </si>
  <si>
    <t>北京恒大滨河左岸-车位-北区16_01_05地块-1038</t>
  </si>
  <si>
    <t>北京恒大滨河左岸-车位-北区16_01_05地块-1039</t>
  </si>
  <si>
    <t>北京恒大滨河左岸-车位-北区16_01_05地块-1040</t>
  </si>
  <si>
    <t>北京恒大滨河左岸-车位-北区16_01_05地块-1041</t>
  </si>
  <si>
    <t>北京恒大滨河左岸-车位-北区16_01_05地块-1042</t>
  </si>
  <si>
    <t>北京恒大滨河左岸-车位-北区16_01_05地块-1043</t>
  </si>
  <si>
    <t>北京恒大滨河左岸-车位-北区16_01_05地块-1044</t>
  </si>
  <si>
    <t>北京恒大滨河左岸-车位-北区16_01_05地块-1045</t>
  </si>
  <si>
    <t>北京恒大滨河左岸-车位-北区16_01_05地块-1046</t>
  </si>
  <si>
    <t>北京恒大滨河左岸-车位-北区16_01_05地块-1047</t>
  </si>
  <si>
    <t>北京恒大滨河左岸-车位-北区16_01_05地块-1048</t>
  </si>
  <si>
    <t>北京恒大滨河左岸-车位-北区16_01_05地块-1049</t>
  </si>
  <si>
    <t>北京恒大滨河左岸-车位-北区16_01_05地块-1050</t>
  </si>
  <si>
    <t>北京恒大滨河左岸-车位-北区16_01_05地块-1052</t>
  </si>
  <si>
    <t>北京恒大滨河左岸-车位-北区16_01_05地块-1053</t>
  </si>
  <si>
    <t>北京恒大滨河左岸-车位-北区16_01_05地块-1054</t>
  </si>
  <si>
    <t>北京恒大滨河左岸-车位-北区16_01_05地块-1055</t>
  </si>
  <si>
    <t>北京恒大滨河左岸-车位-北区16_01_05地块-1056</t>
  </si>
  <si>
    <t>北京恒大滨河左岸-车位-北区16_01_05地块-1057</t>
  </si>
  <si>
    <t>北京恒大滨河左岸-车位-北区16_01_05地块-1058</t>
  </si>
  <si>
    <t>北京恒大滨河左岸-车位-北区16_01_05地块-1059</t>
  </si>
  <si>
    <t>北京恒大滨河左岸-车位-北区16_01_05地块-1060</t>
  </si>
  <si>
    <t>北京恒大滨河左岸-车位-北区16_01_05地块-1061</t>
  </si>
  <si>
    <t>北京恒大滨河左岸-车位-北区16_01_05地块-1062</t>
  </si>
  <si>
    <t>北京恒大滨河左岸-车位-北区16_01_05地块-1063</t>
  </si>
  <si>
    <t>北京恒大滨河左岸-车位-北区16_01_05地块-1064</t>
  </si>
  <si>
    <t>北京恒大滨河左岸-车位-北区16_01_05地块-1065</t>
  </si>
  <si>
    <t>北京恒大滨河左岸-车位-北区16_01_05地块-1066</t>
  </si>
  <si>
    <t>北京恒大滨河左岸-车位-北区16_01_05地块-1068</t>
  </si>
  <si>
    <t>北京恒大滨河左岸-车位-北区16_01_05地块-1069</t>
  </si>
  <si>
    <t>北京恒大滨河左岸-车位-北区16_01_05地块-1070</t>
  </si>
  <si>
    <t>北京恒大滨河左岸-车位-北区16_01_05地块-1071</t>
  </si>
  <si>
    <t>北京恒大滨河左岸-车位-北区16_01_05地块-1072</t>
  </si>
  <si>
    <t>北京恒大滨河左岸-车位-北区16_01_05地块-1073</t>
  </si>
  <si>
    <t>北京恒大滨河左岸-车位-北区16_01_05地块-1074</t>
  </si>
  <si>
    <t>北京恒大滨河左岸-车位-北区16_01_05地块-1075</t>
  </si>
  <si>
    <t>北京恒大滨河左岸-车位-北区16_01_05地块-1076</t>
  </si>
  <si>
    <t>北京恒大滨河左岸-车位-北区16_01_05地块-1077</t>
  </si>
  <si>
    <t>北京恒大滨河左岸-车位-北区16_01_05地块-1078</t>
  </si>
  <si>
    <t>北京恒大滨河左岸-车位-北区16_01_05地块-1079</t>
  </si>
  <si>
    <t>北京恒大滨河左岸-车位-北区16_01_05地块-1080</t>
  </si>
  <si>
    <t>北京恒大滨河左岸-车位-北区16_01_05地块-1082</t>
  </si>
  <si>
    <t>北京恒大滨河左岸-车位-北区16_01_05地块-1083</t>
  </si>
  <si>
    <t>北京恒大滨河左岸-车位-北区16_01_05地块-1084</t>
  </si>
  <si>
    <t>北京恒大滨河左岸-车位-北区16_01_05地块-1085</t>
  </si>
  <si>
    <t>北京恒大滨河左岸-车位-北区16_01_05地块-1088</t>
  </si>
  <si>
    <t>北京恒大滨河左岸-车位-北区16_01_05地块-1089</t>
  </si>
  <si>
    <t>北京恒大滨河左岸-车位-北区16_01_05地块-1090</t>
  </si>
  <si>
    <t>北京恒大滨河左岸-车位-北区16_01_05地块-1091</t>
  </si>
  <si>
    <t>北京恒大滨河左岸-车位-北区16_01_05地块-1092</t>
  </si>
  <si>
    <t>北京恒大滨河左岸-车位-北区16_01_05地块-1093</t>
  </si>
  <si>
    <t>北京恒大滨河左岸-车位-北区16_01_05地块-2001</t>
  </si>
  <si>
    <t>北京恒大滨河左岸-车位-北区16_01_05地块-2002</t>
  </si>
  <si>
    <t>北京恒大滨河左岸-车位-北区16_01_05地块-2003</t>
  </si>
  <si>
    <t>北京恒大滨河左岸-车位-北区16_01_05地块-2004</t>
  </si>
  <si>
    <t>北京恒大滨河左岸-车位-北区16_01_05地块-2005</t>
  </si>
  <si>
    <t>北京恒大滨河左岸-车位-北区16_01_05地块-2006</t>
  </si>
  <si>
    <t>北京恒大滨河左岸-车位-北区16_01_05地块-2007</t>
  </si>
  <si>
    <t>北京恒大滨河左岸-车位-北区16_01_05地块-2009</t>
  </si>
  <si>
    <t>北京恒大滨河左岸-车位-北区16_01_05地块-2010</t>
  </si>
  <si>
    <t>北京恒大滨河左岸-车位-北区16_01_05地块-2011</t>
  </si>
  <si>
    <t>北京恒大滨河左岸-车位-北区16_01_05地块-2012</t>
  </si>
  <si>
    <t>北京恒大滨河左岸-车位-北区16_01_05地块-2013</t>
  </si>
  <si>
    <t>北京恒大滨河左岸-车位-北区16_01_05地块-2014</t>
  </si>
  <si>
    <t>北京恒大滨河左岸-车位-北区16_01_05地块-2015</t>
  </si>
  <si>
    <t>北京恒大滨河左岸-车位-北区16_01_05地块-2016</t>
  </si>
  <si>
    <t>北京恒大滨河左岸-车位-北区16_01_05地块-2017</t>
  </si>
  <si>
    <t>北京恒大滨河左岸-车位-北区16_01_05地块-2018</t>
  </si>
  <si>
    <t>北京恒大滨河左岸-车位-北区16_01_05地块-2019</t>
  </si>
  <si>
    <t>北京恒大滨河左岸-车位-北区16_01_05地块-2020</t>
  </si>
  <si>
    <t>北京恒大滨河左岸-车位-北区16_01_05地块-2021</t>
  </si>
  <si>
    <t>北京恒大滨河左岸-车位-北区16_01_05地块-2022</t>
  </si>
  <si>
    <t>北京恒大滨河左岸-车位-北区16_01_05地块-2023</t>
  </si>
  <si>
    <t>北京恒大滨河左岸-车位-北区16_01_05地块-2024</t>
  </si>
  <si>
    <t>北京恒大滨河左岸-车位-北区16_01_05地块-2025</t>
  </si>
  <si>
    <t>北京恒大滨河左岸-车位-北区16_01_05地块-2026</t>
  </si>
  <si>
    <t>北京恒大滨河左岸-车位-北区16_01_05地块-2027</t>
  </si>
  <si>
    <t>北京恒大滨河左岸-车位-北区16_01_05地块-2028</t>
  </si>
  <si>
    <t>北京恒大滨河左岸-车位-北区16_01_05地块-2029</t>
  </si>
  <si>
    <t>北京恒大滨河左岸-车位-北区16_01_05地块-2030</t>
  </si>
  <si>
    <t>北京恒大滨河左岸-车位-北区16_01_05地块-2031</t>
  </si>
  <si>
    <t>北京恒大滨河左岸-车位-北区16_01_05地块-2032</t>
  </si>
  <si>
    <t>北京恒大滨河左岸-车位-北区16_01_05地块-2033</t>
  </si>
  <si>
    <t>北京恒大滨河左岸-车位-北区16_01_05地块-2034</t>
  </si>
  <si>
    <t>北京恒大滨河左岸-车位-北区16_01_05地块-2035</t>
  </si>
  <si>
    <t>北京恒大滨河左岸-车位-北区16_01_05地块-2037</t>
  </si>
  <si>
    <t>北京恒大滨河左岸-车位-北区16_01_05地块-2038</t>
  </si>
  <si>
    <t>北京恒大滨河左岸-车位-北区16_01_05地块-2039</t>
  </si>
  <si>
    <t>北京恒大滨河左岸-车位-北区16_01_05地块-2040</t>
  </si>
  <si>
    <t>北京恒大滨河左岸-车位-北区16_01_05地块-2041</t>
  </si>
  <si>
    <t>北京恒大滨河左岸-车位-北区16_01_05地块-2042</t>
  </si>
  <si>
    <t>北京恒大滨河左岸-车位-北区16_01_05地块-2046</t>
  </si>
  <si>
    <t>北京恒大滨河左岸-车位-北区16_01_05地块-2047</t>
  </si>
  <si>
    <t>北京恒大滨河左岸-车位-北区16_01_05地块-2048</t>
  </si>
  <si>
    <t>北京恒大滨河左岸-车位-北区16_01_05地块-2049</t>
  </si>
  <si>
    <t>北京恒大滨河左岸-车位-北区16_01_05地块-2050</t>
  </si>
  <si>
    <t>北京恒大滨河左岸-车位-北区16_01_05地块-2052</t>
  </si>
  <si>
    <t>北京恒大滨河左岸-车位-北区16_01_05地块-2053</t>
  </si>
  <si>
    <t>北京恒大滨河左岸-车位-北区16_01_05地块-2057</t>
  </si>
  <si>
    <t>北京恒大滨河左岸-车位-北区16_01_05地块-2058</t>
  </si>
  <si>
    <t>北京恒大滨河左岸-车位-北区16_01_05地块-2059</t>
  </si>
  <si>
    <t>北京恒大滨河左岸-车位-北区16_01_05地块-2060</t>
  </si>
  <si>
    <t>北京恒大滨河左岸-车位-北区16_01_05地块-2061</t>
  </si>
  <si>
    <t>北京恒大滨河左岸-车位-北区16_01_05地块-2062</t>
  </si>
  <si>
    <t>北京恒大滨河左岸-车位-北区16_01_05地块-2065</t>
  </si>
  <si>
    <t>北京恒大滨河左岸-车位-北区16_01_05地块-2068</t>
  </si>
  <si>
    <t>北京恒大滨河左岸-车位-北区16_01_05地块-2071</t>
  </si>
  <si>
    <t>北京恒大滨河左岸-车位-北区16_01_05地块-2072</t>
  </si>
  <si>
    <t>北京恒大滨河左岸-车位-北区16_01_05地块-2074</t>
  </si>
  <si>
    <t>北京恒大滨河左岸-车位-北区16_01_05地块-2077</t>
  </si>
  <si>
    <t>北京恒大滨河左岸-车位-北区16_01_05地块-2078</t>
  </si>
  <si>
    <t>北京恒大滨河左岸-车位-北区16_01_05地块-2079</t>
  </si>
  <si>
    <t>北京恒大滨河左岸-车位-北区16_01_05地块-2080</t>
  </si>
  <si>
    <t>北京恒大滨河左岸-车位-北区16_01_05地块-2081</t>
  </si>
  <si>
    <t>北京恒大滨河左岸-车位-北区16_01_05地块-2082</t>
  </si>
  <si>
    <t>北京恒大滨河左岸-车位-北区16_01_05地块-2083</t>
  </si>
  <si>
    <t>北京恒大滨河左岸-车位-北区16_01_05地块-2084</t>
  </si>
  <si>
    <t>北京恒大滨河左岸-车位-北区16_01_05地块-2085</t>
  </si>
  <si>
    <t>北京恒大滨河左岸-车位-北区16_01_05地块-2086</t>
  </si>
  <si>
    <t>北京恒大滨河左岸-车位-北区16_01_05地块-2087</t>
  </si>
  <si>
    <t>北京恒大滨河左岸-车位-北区16_01_05地块-2089</t>
  </si>
  <si>
    <t>北京恒大滨河左岸-车位-北区16_01_05地块-2090</t>
  </si>
  <si>
    <t>北京恒大滨河左岸-车位-北区16_01_05地块-2092</t>
  </si>
  <si>
    <t>北京恒大滨河左岸-车位-北区16_01_05地块-2093</t>
  </si>
  <si>
    <t>北京恒大滨河左岸-车位-北区16_01_05地块-2094</t>
  </si>
  <si>
    <t>北京恒大滨河左岸-车位-北区16_01_05地块-2095</t>
  </si>
  <si>
    <t>北京恒大滨河左岸-车位-北区16_01_05地块-2096</t>
  </si>
  <si>
    <t>北京恒大滨河左岸-车位-北区16_01_05地块-2097</t>
  </si>
  <si>
    <t>北京恒大滨河左岸-车位-北区16_01_05地块-2098</t>
  </si>
  <si>
    <t>北京恒大滨河左岸-车位-北区16_01_05地块-2099</t>
  </si>
  <si>
    <t>北京恒大滨河左岸-车位-北区16_01_05地块-2100</t>
  </si>
  <si>
    <t>北京恒大滨河左岸-车位-北区16_01_05地块-2101</t>
  </si>
  <si>
    <t>北京恒大滨河左岸-车位-北区16_01_05地块-2106</t>
  </si>
  <si>
    <t>北京恒大滨河左岸-车位-北区16_01_05地块-2107</t>
  </si>
  <si>
    <t>北京恒大滨河左岸-车位-北区16_01_05地块-2111</t>
  </si>
  <si>
    <t>北京恒大滨河左岸-车位-北区16_01_05地块-2112</t>
  </si>
  <si>
    <t>北京恒大滨河左岸-车位-北区16_01_05地块-2116</t>
  </si>
  <si>
    <t>北京恒大滨河左岸-车位-北区16_01_05地块-2119</t>
  </si>
  <si>
    <t>北京恒大滨河左岸-车位-北区16_01_05地块-2121</t>
  </si>
  <si>
    <t>北京恒大滨河左岸-车位-北区16_01_05地块-2122</t>
  </si>
  <si>
    <t>北京恒大滨河左岸-车位-北区16_01_05地块-2123</t>
  </si>
  <si>
    <t>北京恒大滨河左岸-车位-北区16_01_05地块-2124</t>
  </si>
  <si>
    <t>北京恒大滨河左岸-车位-北区16_01_05地块-2125</t>
  </si>
  <si>
    <t>北京恒大滨河左岸-车位-北区16_01_05地块-2126</t>
  </si>
  <si>
    <t>北京恒大滨河左岸-车位-北区16_01_05地块-2127</t>
  </si>
  <si>
    <t>北京恒大滨河左岸-车位-北区16_01_05地块-2128</t>
  </si>
  <si>
    <t>北京恒大滨河左岸-车位-北区16_01_05地块-2129</t>
  </si>
  <si>
    <t>北京恒大滨河左岸-车位-北区16_01_05地块-2130</t>
  </si>
  <si>
    <t>北京恒大滨河左岸-车位-北区16_01_05地块-2131</t>
  </si>
  <si>
    <t>北京恒大滨河左岸-车位-北区16_01_05地块-2132</t>
  </si>
  <si>
    <t>北京恒大滨河左岸-车位-北区16_01_05地块-2133</t>
  </si>
  <si>
    <t>北京恒大滨河左岸-车位-北区16_01_05地块-2134</t>
  </si>
  <si>
    <t>北京恒大滨河左岸-车位-北区16_01_05地块-2135</t>
  </si>
  <si>
    <t>北京恒大滨河左岸-车位-北区16_01_05地块-2140</t>
  </si>
  <si>
    <t>北京恒大滨河左岸-车位-北区16_01_05地块-2141</t>
  </si>
  <si>
    <t>北京恒大滨河左岸-车位-北区16_01_05地块-2142</t>
  </si>
  <si>
    <t>北京恒大滨河左岸-车位-北区16_01_05地块-2143</t>
  </si>
  <si>
    <t>北京恒大滨河左岸-车位-北区16_01_05地块-2144</t>
  </si>
  <si>
    <t>北京恒大滨河左岸-车位-北区16_01_05地块-2145</t>
  </si>
  <si>
    <t>北京恒大滨河左岸-车位-北区16_01_05地块-2146</t>
  </si>
  <si>
    <t>北京恒大滨河左岸-车位-北区16_01_05地块-2147</t>
  </si>
  <si>
    <t>北京恒大滨河左岸-车位-北区16_01_05地块-2148</t>
  </si>
  <si>
    <t>北京恒大滨河左岸-车位-北区16_01_05地块-2149</t>
  </si>
  <si>
    <t>北京恒大滨河左岸-车位-北区16_01_05地块-215</t>
  </si>
  <si>
    <t>北京恒大滨河左岸-车位-北区16_01_05地块-2150</t>
  </si>
  <si>
    <t>北京恒大滨河左岸-车位-北区16_01_05地块-2151</t>
  </si>
  <si>
    <t>北京恒大滨河左岸-车位-北区16_01_05地块-2152</t>
  </si>
  <si>
    <t>北京恒大滨河左岸-车位-北区16_01_05地块-2153</t>
  </si>
  <si>
    <t>北京恒大滨河左岸-车位-北区16_01_05地块-2154</t>
  </si>
  <si>
    <t>北京恒大滨河左岸-车位-北区16_01_05地块-2155</t>
  </si>
  <si>
    <t>北京恒大滨河左岸-车位-北区16_01_05地块-2156</t>
  </si>
  <si>
    <t>北京恒大滨河左岸-车位-北区16_01_05地块-2157</t>
  </si>
  <si>
    <t>北京恒大滨河左岸-车位-北区16_01_05地块-2158</t>
  </si>
  <si>
    <t>北京恒大滨河左岸-车位-北区16_01_05地块-2159</t>
  </si>
  <si>
    <t>北京恒大滨河左岸-车位-北区16_01_05地块-2160</t>
  </si>
  <si>
    <t>北京恒大滨河左岸-车位-北区16_01_05地块-2161</t>
  </si>
  <si>
    <t>北京恒大滨河左岸-车位-北区16_01_05地块-2162</t>
  </si>
  <si>
    <t>北京恒大滨河左岸-车位-北区16_01_05地块-2163</t>
  </si>
  <si>
    <t>北京恒大滨河左岸-车位-北区16_01_05地块-2164</t>
  </si>
  <si>
    <t>北京恒大滨河左岸-车位-北区16_01_05地块-2165</t>
  </si>
  <si>
    <t>北京恒大滨河左岸-车位-北区16_01_05地块-2166</t>
  </si>
  <si>
    <t>北京恒大滨河左岸-车位-北区16_01_05地块-2167</t>
  </si>
  <si>
    <t>北京恒大滨河左岸-车位-北区16_01_05地块-2168</t>
  </si>
  <si>
    <t>北京恒大滨河左岸-车位-北区16_01_05地块-2169</t>
  </si>
  <si>
    <t>北京恒大滨河左岸-车位-北区16_01_05地块-2170</t>
  </si>
  <si>
    <t>北京恒大滨河左岸-车位-北区16_01_05地块-2171</t>
  </si>
  <si>
    <t>北京恒大滨河左岸-车位-北区16_01_05地块-2172</t>
  </si>
  <si>
    <t>北京恒大滨河左岸-车位-北区16_01_05地块-2173</t>
  </si>
  <si>
    <t>北京恒大滨河左岸-车位-北区16_01_05地块-2174</t>
  </si>
  <si>
    <t>北京恒大滨河左岸-车位-北区16_01_05地块-2175</t>
  </si>
  <si>
    <t>北京恒大滨河左岸-车位-北区16_01_05地块-2179</t>
  </si>
  <si>
    <t>北京恒大滨河左岸-车位-北区16_01_05地块-2191</t>
  </si>
  <si>
    <t>北京恒大滨河左岸-车位-北区16_01_05地块-2192</t>
  </si>
  <si>
    <t>北京恒大滨河左岸-车位-北区16_01_05地块-2193</t>
  </si>
  <si>
    <t>北京恒大滨河左岸-车位-北区16_01_05地块-2194</t>
  </si>
  <si>
    <t>北京恒大滨河左岸-车位-北区16_01_05地块-2195</t>
  </si>
  <si>
    <t>北京恒大滨河左岸-车位-北区16_01_05地块-2196</t>
  </si>
  <si>
    <t>北京恒大滨河左岸-车位-北区16_01_05地块-2197</t>
  </si>
  <si>
    <t>北京恒大滨河左岸-车位-北区16_01_05地块-2198</t>
  </si>
  <si>
    <t>北京恒大滨河左岸-车位-北区16_01_05地块-2199</t>
  </si>
  <si>
    <t>北京恒大滨河左岸-车位-北区16_01_05地块-2201</t>
  </si>
  <si>
    <t>北京恒大滨河左岸-车位-北区16_01_05地块-2202</t>
  </si>
  <si>
    <t>北京恒大滨河左岸-车位-北区16_01_05地块-2204</t>
  </si>
  <si>
    <t>北京恒大滨河左岸-车位-北区16_01_05地块-2205</t>
  </si>
  <si>
    <t>北京恒大滨河左岸-车位-北区16_01_05地块-2206</t>
  </si>
  <si>
    <t>北京恒大滨河左岸-车位-北区16_01_05地块-2207</t>
  </si>
  <si>
    <t>北京恒大滨河左岸-车位-北区16_01_05地块-2208</t>
  </si>
  <si>
    <t>北京恒大滨河左岸-车位-北区16_01_05地块-2209</t>
  </si>
  <si>
    <t>北京恒大滨河左岸-车位-北区16_01_05地块-2210</t>
  </si>
  <si>
    <t>北京恒大滨河左岸-车位-北区16_01_05地块-2211</t>
  </si>
  <si>
    <t>北京恒大滨河左岸-车位-北区16_01_05地块-2212</t>
  </si>
  <si>
    <t>北京恒大滨河左岸-车位-北区16_01_05地块-2213</t>
  </si>
  <si>
    <t>北京恒大滨河左岸-车位-北区16_01_05地块-2214</t>
  </si>
  <si>
    <t>北京恒大滨河左岸-车位-北区16_01_05地块-2215</t>
  </si>
  <si>
    <t>北京恒大滨河左岸-车位-北区16_01_05地块-2216</t>
  </si>
  <si>
    <t>北京恒大滨河左岸-车位-北区16_01_05地块-2218</t>
  </si>
  <si>
    <t>北京恒大滨河左岸-车位-北区16_01_05地块-2219</t>
  </si>
  <si>
    <t>北京恒大滨河左岸-车位-北区16_01_05地块-2220</t>
  </si>
  <si>
    <t>北京恒大滨河左岸-车位-北区16_01_05地块-2221</t>
  </si>
  <si>
    <t>北京恒大滨河左岸-车位-北区16_01_05地块-2222</t>
  </si>
  <si>
    <t>北京恒大滨河左岸-车位-北区16_01_05地块-2223</t>
  </si>
  <si>
    <t>北京恒大滨河左岸-车位-北区16_01_05地块-2224</t>
  </si>
  <si>
    <t>北京恒大滨河左岸-车位-北区16_01_05地块-2225</t>
  </si>
  <si>
    <t>北京恒大滨河左岸-车位-北区16_01_05地块-2226</t>
  </si>
  <si>
    <t>北京恒大滨河左岸-车位-北区16_01_05地块-2227</t>
  </si>
  <si>
    <t>北京恒大滨河左岸-车位-北区16_01_05地块-2228</t>
  </si>
  <si>
    <t>北京恒大滨河左岸-车位-北区16_01_05地块-2229</t>
  </si>
  <si>
    <t>北京恒大滨河左岸-车位-北区16_01_05地块-2230</t>
  </si>
  <si>
    <t>北京恒大滨河左岸-车位-北区16_01_05地块-2231</t>
  </si>
  <si>
    <t>北京恒大滨河左岸-车位-北区16_01_05地块-2235</t>
  </si>
  <si>
    <t>北京恒大滨河左岸-车位-北区16_01_05地块-2236</t>
  </si>
  <si>
    <t>北京恒大滨河左岸-车位-北区16_01_05地块-2237</t>
  </si>
  <si>
    <t>北京恒大滨河左岸-车位-北区16_01_05地块-2238</t>
  </si>
  <si>
    <t>北京恒大滨河左岸-车位-北区16_01_05地块-2240</t>
  </si>
  <si>
    <t>北京恒大滨河左岸-车位-北区16_01_05地块-2241</t>
  </si>
  <si>
    <t>北京恒大滨河左岸-车位-北区16_01_05地块-2242</t>
  </si>
  <si>
    <t>北京恒大滨河左岸-车位-北区16_01_05地块-2243</t>
  </si>
  <si>
    <t>北京恒大滨河左岸-车位-北区16_01_05地块-2246</t>
  </si>
  <si>
    <t>北京恒大滨河左岸-车位-北区16_01_05地块-2247</t>
  </si>
  <si>
    <t>北京恒大滨河左岸-车位-北区16_01_05地块-3001</t>
  </si>
  <si>
    <t>北京恒大滨河左岸-车位-北区16_01_05地块-3002</t>
  </si>
  <si>
    <t>北京恒大滨河左岸-车位-北区16_01_05地块-3003</t>
  </si>
  <si>
    <t>北京恒大滨河左岸-车位-北区16_01_05地块-3004</t>
  </si>
  <si>
    <t>北京恒大滨河左岸-车位-北区16_01_05地块-3005</t>
  </si>
  <si>
    <t>北京恒大滨河左岸-车位-北区16_01_05地块-3006</t>
  </si>
  <si>
    <t>北京恒大滨河左岸-车位-北区16_01_05地块-3007</t>
  </si>
  <si>
    <t>北京恒大滨河左岸-车位-北区16_01_05地块-3008</t>
  </si>
  <si>
    <t>北京恒大滨河左岸-车位-北区16_01_05地块-3009</t>
  </si>
  <si>
    <t>北京恒大滨河左岸-车位-北区16_01_05地块-3010</t>
  </si>
  <si>
    <t>北京恒大滨河左岸-车位-北区16_01_05地块-3011</t>
  </si>
  <si>
    <t>北京恒大滨河左岸-车位-北区16_01_05地块-3012</t>
  </si>
  <si>
    <t>北京恒大滨河左岸-车位-北区16_01_05地块-3013</t>
  </si>
  <si>
    <t>北京恒大滨河左岸-车位-北区16_01_05地块-3014</t>
  </si>
  <si>
    <t>北京恒大滨河左岸-车位-北区16_01_05地块-3015</t>
  </si>
  <si>
    <t>北京恒大滨河左岸-车位-北区16_01_05地块-3017</t>
  </si>
  <si>
    <t>北京恒大滨河左岸-车位-北区16_01_05地块-3018</t>
  </si>
  <si>
    <t>北京恒大滨河左岸-车位-北区16_01_05地块-3019</t>
  </si>
  <si>
    <t>北京恒大滨河左岸-车位-北区16_01_05地块-3020</t>
  </si>
  <si>
    <t>北京恒大滨河左岸-车位-北区16_01_05地块-3021</t>
  </si>
  <si>
    <t>北京恒大滨河左岸-车位-北区16_01_05地块-3022</t>
  </si>
  <si>
    <t>北京恒大滨河左岸-车位-北区16_01_05地块-3023</t>
  </si>
  <si>
    <t>北京恒大滨河左岸-车位-北区16_01_05地块-3024</t>
  </si>
  <si>
    <t>北京恒大滨河左岸-车位-北区16_01_05地块-3025</t>
  </si>
  <si>
    <t>北京恒大滨河左岸-车位-北区16_01_05地块-3026</t>
  </si>
  <si>
    <t>北京恒大滨河左岸-车位-北区16_01_05地块-3033</t>
  </si>
  <si>
    <t>北京恒大滨河左岸-车位-北区16_01_05地块-3034</t>
  </si>
  <si>
    <t>北京恒大滨河左岸-车位-北区16_01_05地块-3035</t>
  </si>
  <si>
    <t>北京恒大滨河左岸-车位-北区16_01_05地块-3036</t>
  </si>
  <si>
    <t>北京恒大滨河左岸-车位-北区16_01_05地块-3037</t>
  </si>
  <si>
    <t>北京恒大滨河左岸-车位-北区16_01_05地块-3038</t>
  </si>
  <si>
    <t>北京恒大滨河左岸-车位-北区16_01_05地块-3039</t>
  </si>
  <si>
    <t>北京恒大滨河左岸-车位-北区16_01_05地块-3040</t>
  </si>
  <si>
    <t>售价</t>
  </si>
  <si>
    <t>蓝光星华海悦城</t>
    <phoneticPr fontId="4" type="noConversion"/>
  </si>
  <si>
    <t>恒大滨江左岸</t>
    <phoneticPr fontId="33" type="noConversion"/>
  </si>
  <si>
    <t>车库</t>
    <phoneticPr fontId="33" type="noConversion"/>
  </si>
  <si>
    <t>30-40（含）</t>
  </si>
  <si>
    <t>40-50（含）</t>
  </si>
  <si>
    <t>估价对象周边商业氛围一般，人流量一般，商业繁华度一般</t>
    <phoneticPr fontId="26" type="noConversion"/>
  </si>
  <si>
    <t>估价对象周边办公楼项目集聚度一般，入驻率一般，办公集聚程度一般</t>
    <phoneticPr fontId="26" type="noConversion"/>
  </si>
  <si>
    <t>一般</t>
  </si>
  <si>
    <t>估价对象所在区域公共配套设施齐备情况一般</t>
    <phoneticPr fontId="42" type="noConversion"/>
  </si>
  <si>
    <t>估价对象所在区域基础设施水平达六通</t>
    <phoneticPr fontId="26" type="noConversion"/>
  </si>
  <si>
    <t>区域自然环境：；人文环境；综合评价环境状况较好</t>
    <phoneticPr fontId="42" type="noConversion"/>
  </si>
  <si>
    <t>六通</t>
  </si>
  <si>
    <t>较好</t>
  </si>
  <si>
    <t>简单装修</t>
  </si>
  <si>
    <t>简单装修</t>
    <phoneticPr fontId="33" type="noConversion"/>
  </si>
  <si>
    <t>专业物业管理</t>
  </si>
  <si>
    <t>专业物业管理</t>
    <phoneticPr fontId="33" type="noConversion"/>
  </si>
  <si>
    <t>平面车位</t>
  </si>
  <si>
    <t>平面车位</t>
    <phoneticPr fontId="33" type="noConversion"/>
  </si>
  <si>
    <t>否</t>
  </si>
  <si>
    <t>否</t>
    <phoneticPr fontId="33" type="noConversion"/>
  </si>
  <si>
    <t>首创紫悦台</t>
    <phoneticPr fontId="4" type="noConversion"/>
  </si>
  <si>
    <t>远洋新街口</t>
    <phoneticPr fontId="4" type="noConversion"/>
  </si>
  <si>
    <t>住宅</t>
  </si>
  <si>
    <t>住宅</t>
    <phoneticPr fontId="33" type="noConversion"/>
  </si>
  <si>
    <t>估价对象周边道路状况、公共交通通达情况、停车便捷程度，综合评价交通便捷度较好</t>
    <phoneticPr fontId="42" type="noConversion"/>
  </si>
  <si>
    <t>自定义</t>
  </si>
  <si>
    <t>按租金收入计税</t>
  </si>
  <si>
    <t>钢混</t>
  </si>
  <si>
    <t>非生产用房</t>
  </si>
  <si>
    <t>收益法</t>
    <phoneticPr fontId="17" type="noConversion"/>
  </si>
  <si>
    <t>收益法-车库</t>
  </si>
  <si>
    <t>收益法-车库</t>
    <phoneticPr fontId="17" type="noConversion"/>
  </si>
  <si>
    <t>收益法-商业</t>
  </si>
  <si>
    <t>收益法-商业</t>
    <phoneticPr fontId="17" type="noConversion"/>
  </si>
  <si>
    <t>收益法-办公</t>
  </si>
  <si>
    <t>收益法-办公</t>
    <phoneticPr fontId="17" type="noConversion"/>
  </si>
  <si>
    <t>比较法-车位</t>
  </si>
  <si>
    <t>元/平方米</t>
  </si>
  <si>
    <t>商业</t>
    <phoneticPr fontId="32" type="noConversion"/>
  </si>
  <si>
    <t>双面临街</t>
    <phoneticPr fontId="32" type="noConversion"/>
  </si>
  <si>
    <t>单面临街</t>
  </si>
  <si>
    <t>单面临街</t>
    <phoneticPr fontId="32" type="noConversion"/>
  </si>
  <si>
    <t>不临街</t>
  </si>
  <si>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</si>
  <si>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</si>
  <si>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</si>
  <si>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</si>
  <si>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</si>
  <si>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</si>
  <si>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大</t>
    <phoneticPr fontId="32" type="noConversion"/>
  </si>
  <si>
    <t>较大</t>
    <phoneticPr fontId="32" type="noConversion"/>
  </si>
  <si>
    <t>较小</t>
    <phoneticPr fontId="32" type="noConversion"/>
  </si>
  <si>
    <t>小</t>
    <phoneticPr fontId="32" type="noConversion"/>
  </si>
  <si>
    <t>底商</t>
  </si>
  <si>
    <t>底商</t>
    <phoneticPr fontId="32" type="noConversion"/>
  </si>
  <si>
    <t>商业街商铺</t>
  </si>
  <si>
    <t>商业街商铺</t>
    <phoneticPr fontId="32" type="noConversion"/>
  </si>
  <si>
    <t>钢混</t>
    <phoneticPr fontId="32" type="noConversion"/>
  </si>
  <si>
    <t>精装修</t>
  </si>
  <si>
    <t>精装修</t>
    <phoneticPr fontId="32" type="noConversion"/>
  </si>
  <si>
    <t>七通</t>
    <phoneticPr fontId="32" type="noConversion"/>
  </si>
  <si>
    <t>六通</t>
    <phoneticPr fontId="32" type="noConversion"/>
  </si>
  <si>
    <t>可餐饮</t>
  </si>
  <si>
    <t>可餐饮</t>
    <phoneticPr fontId="32" type="noConversion"/>
  </si>
  <si>
    <t>不可餐饮</t>
  </si>
  <si>
    <t>不可餐饮</t>
    <phoneticPr fontId="32" type="noConversion"/>
  </si>
  <si>
    <t>标准层高</t>
  </si>
  <si>
    <t>标准层高</t>
    <phoneticPr fontId="32" type="noConversion"/>
  </si>
  <si>
    <t>超高层高</t>
  </si>
  <si>
    <t>超高层高</t>
    <phoneticPr fontId="32" type="noConversion"/>
  </si>
  <si>
    <t>毛坯</t>
    <phoneticPr fontId="32" type="noConversion"/>
  </si>
  <si>
    <t>精装</t>
  </si>
  <si>
    <t>精装</t>
    <phoneticPr fontId="32" type="noConversion"/>
  </si>
  <si>
    <t>简装</t>
    <phoneticPr fontId="32" type="noConversion"/>
  </si>
  <si>
    <r>
      <t>1</t>
    </r>
    <r>
      <rPr>
        <sz val="11"/>
        <color indexed="8"/>
        <rFont val="宋体"/>
        <family val="3"/>
        <charset val="134"/>
      </rPr>
      <t>层</t>
    </r>
    <phoneticPr fontId="32" type="noConversion"/>
  </si>
  <si>
    <t>1层</t>
  </si>
  <si>
    <t>一般</t>
    <phoneticPr fontId="32" type="noConversion"/>
  </si>
  <si>
    <t>https://shop.fang.com/shou/3_423086937.html?channel=2,16</t>
    <phoneticPr fontId="144" type="noConversion"/>
  </si>
  <si>
    <t>https://shop.fang.com/shou/3_424395375.html?channel=1,16</t>
    <phoneticPr fontId="144" type="noConversion"/>
  </si>
  <si>
    <t>超级蜂巢</t>
    <phoneticPr fontId="4" type="noConversion"/>
  </si>
  <si>
    <t>https://shop.fang.com/shou/3_423364948.html?channel=2,16</t>
    <phoneticPr fontId="144" type="noConversion"/>
  </si>
  <si>
    <t>观山源墅底商</t>
    <phoneticPr fontId="4" type="noConversion"/>
  </si>
  <si>
    <t>北区商业-122</t>
  </si>
  <si>
    <t>比较法-商业</t>
  </si>
  <si>
    <t>押一</t>
  </si>
  <si>
    <t>层高</t>
    <phoneticPr fontId="4" type="noConversion"/>
  </si>
  <si>
    <t>装修</t>
    <phoneticPr fontId="4" type="noConversion"/>
  </si>
  <si>
    <t>标准层高</t>
    <phoneticPr fontId="26" type="noConversion"/>
  </si>
  <si>
    <t>超高层高</t>
    <phoneticPr fontId="26" type="noConversion"/>
  </si>
  <si>
    <t>精装</t>
    <phoneticPr fontId="26" type="noConversion"/>
  </si>
  <si>
    <t>简装</t>
    <phoneticPr fontId="26" type="noConversion"/>
  </si>
  <si>
    <t>毛坯</t>
    <phoneticPr fontId="26" type="noConversion"/>
  </si>
  <si>
    <t>毛坯</t>
    <phoneticPr fontId="26" type="noConversion"/>
  </si>
  <si>
    <t>G15-101</t>
  </si>
  <si>
    <t>蓝光星华·海悦城</t>
    <phoneticPr fontId="4" type="noConversion"/>
  </si>
  <si>
    <t>办公</t>
    <phoneticPr fontId="33" type="noConversion"/>
  </si>
  <si>
    <t>主干道</t>
  </si>
  <si>
    <t>主干道</t>
    <phoneticPr fontId="33" type="noConversion"/>
  </si>
  <si>
    <t>次干道</t>
  </si>
  <si>
    <t>次干道</t>
    <phoneticPr fontId="33" type="noConversion"/>
  </si>
  <si>
    <t>支路</t>
  </si>
  <si>
    <t>支路</t>
    <phoneticPr fontId="33" type="noConversion"/>
  </si>
  <si>
    <t>钢混</t>
    <phoneticPr fontId="33" type="noConversion"/>
  </si>
  <si>
    <t>精装</t>
    <phoneticPr fontId="33" type="noConversion"/>
  </si>
  <si>
    <t>专业物业管理</t>
    <phoneticPr fontId="33" type="noConversion"/>
  </si>
  <si>
    <t>六通</t>
    <phoneticPr fontId="33" type="noConversion"/>
  </si>
  <si>
    <t>标准层高</t>
    <phoneticPr fontId="33" type="noConversion"/>
  </si>
  <si>
    <t>毛坯</t>
    <phoneticPr fontId="33" type="noConversion"/>
  </si>
  <si>
    <t>中粮万科长阳半岛</t>
    <phoneticPr fontId="33" type="noConversion"/>
  </si>
  <si>
    <t>精装</t>
    <phoneticPr fontId="33" type="noConversion"/>
  </si>
  <si>
    <t>简装</t>
    <phoneticPr fontId="33" type="noConversion"/>
  </si>
  <si>
    <t>比较法-办公</t>
  </si>
  <si>
    <t>楼栋</t>
    <phoneticPr fontId="144" type="noConversion"/>
  </si>
  <si>
    <t>北区5幢</t>
    <phoneticPr fontId="144" type="noConversion"/>
  </si>
  <si>
    <t>南区7幢</t>
    <phoneticPr fontId="144" type="noConversion"/>
  </si>
  <si>
    <t>G15</t>
    <phoneticPr fontId="144" type="noConversion"/>
  </si>
  <si>
    <t>南区</t>
    <phoneticPr fontId="144" type="noConversion"/>
  </si>
  <si>
    <t>北区</t>
    <phoneticPr fontId="144" type="noConversion"/>
  </si>
  <si>
    <t>房号</t>
    <phoneticPr fontId="144" type="noConversion"/>
  </si>
  <si>
    <t>建筑面积（平方米）</t>
    <phoneticPr fontId="144" type="noConversion"/>
  </si>
  <si>
    <t>办公小计</t>
    <phoneticPr fontId="144" type="noConversion"/>
  </si>
  <si>
    <t>商业小计</t>
    <phoneticPr fontId="144" type="noConversion"/>
  </si>
  <si>
    <t>车库小计</t>
    <phoneticPr fontId="144" type="noConversion"/>
  </si>
  <si>
    <t>合计</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</si>
</sst>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u/>
      <sz val="11"/>
      <color theme="10"/>
      <name val="宋体"/>
      <family val="3"/>
      <charset val="134"/>
      <scheme val="minor"/>
    </font>
    <font>
      <sz val="11"/>
      <color theme="9" tint="-0.249977111117893"/>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xf numFmtId="0" fontId="256" fillId="0" borderId="0" applyNumberFormat="0" applyFill="0" applyBorder="0" applyAlignment="0" applyProtection="0">
      <alignment vertical="center"/>
    </xf>
  </cellStyleXfs>
  <cellXfs count="33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81" fillId="0" borderId="1" xfId="0" applyFont="1" applyBorder="1" applyAlignment="1" applyProtection="1">
      <alignment vertical="center" wrapText="1"/>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1">
      <alignment vertical="center"/>
    </xf>
    <xf numFmtId="0" fontId="100" fillId="5" borderId="0" xfId="1" applyFill="1">
      <alignment vertical="center"/>
    </xf>
    <xf numFmtId="4" fontId="100" fillId="5" borderId="0" xfId="1" applyNumberFormat="1" applyFill="1">
      <alignment vertical="center"/>
    </xf>
    <xf numFmtId="4" fontId="100" fillId="0" borderId="0" xfId="1" applyNumberFormat="1">
      <alignment vertical="center"/>
    </xf>
    <xf numFmtId="0" fontId="100" fillId="9" borderId="0" xfId="1" applyFill="1">
      <alignment vertical="center"/>
    </xf>
    <xf numFmtId="0" fontId="100" fillId="17" borderId="0" xfId="1" applyFill="1">
      <alignment vertical="center"/>
    </xf>
    <xf numFmtId="179" fontId="20" fillId="9" borderId="1" xfId="0" applyNumberFormat="1" applyFont="1" applyFill="1" applyBorder="1" applyAlignment="1" applyProtection="1">
      <alignment horizontal="center" vertical="center" shrinkToFit="1"/>
    </xf>
    <xf numFmtId="179" fontId="20" fillId="0" borderId="1" xfId="0" applyNumberFormat="1" applyFont="1" applyFill="1" applyBorder="1" applyAlignment="1" applyProtection="1">
      <alignment horizontal="center" vertical="center" shrinkToFit="1"/>
    </xf>
    <xf numFmtId="0" fontId="100" fillId="0" borderId="0" xfId="1" applyAlignment="1">
      <alignment horizontal="center" vertical="center"/>
    </xf>
    <xf numFmtId="0" fontId="100" fillId="5" borderId="0" xfId="1" applyFill="1" applyAlignment="1">
      <alignment horizontal="center" vertical="center"/>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9" fontId="48" fillId="0" borderId="37" xfId="17" applyFont="1" applyFill="1" applyBorder="1" applyAlignment="1" applyProtection="1">
      <alignment horizontal="center" vertical="center" wrapText="1"/>
      <protection locked="0"/>
    </xf>
    <xf numFmtId="0" fontId="74" fillId="3" borderId="20" xfId="0" applyNumberFormat="1" applyFont="1" applyFill="1" applyBorder="1" applyAlignment="1" applyProtection="1">
      <alignment horizontal="center" vertical="center" wrapText="1"/>
      <protection locked="0"/>
    </xf>
    <xf numFmtId="0" fontId="74" fillId="6" borderId="20" xfId="0" applyNumberFormat="1" applyFont="1" applyFill="1" applyBorder="1" applyAlignment="1" applyProtection="1">
      <alignment horizontal="center" vertical="center" wrapText="1"/>
    </xf>
    <xf numFmtId="0" fontId="74" fillId="3" borderId="51" xfId="0" applyNumberFormat="1" applyFont="1" applyFill="1" applyBorder="1" applyAlignment="1" applyProtection="1">
      <alignment horizontal="center" vertical="center" wrapText="1"/>
      <protection locked="0"/>
    </xf>
    <xf numFmtId="0" fontId="74" fillId="6" borderId="21" xfId="0" applyNumberFormat="1" applyFont="1" applyFill="1" applyBorder="1" applyAlignment="1" applyProtection="1">
      <alignment horizontal="center" vertical="center" wrapText="1"/>
    </xf>
    <xf numFmtId="0" fontId="138" fillId="0" borderId="83" xfId="0" applyNumberFormat="1" applyFont="1" applyFill="1" applyBorder="1" applyAlignment="1" applyProtection="1">
      <alignment horizontal="center" vertical="center"/>
      <protection locked="0"/>
    </xf>
    <xf numFmtId="0" fontId="99" fillId="0" borderId="37" xfId="0" applyNumberFormat="1" applyFont="1" applyFill="1" applyBorder="1" applyAlignment="1" applyProtection="1">
      <alignment horizontal="center" vertical="center" wrapText="1"/>
      <protection locked="0"/>
    </xf>
    <xf numFmtId="0" fontId="138" fillId="2" borderId="41" xfId="0" applyNumberFormat="1" applyFont="1" applyFill="1" applyBorder="1" applyAlignment="1" applyProtection="1">
      <alignment horizontal="center" vertical="center" wrapText="1"/>
      <protection locked="0"/>
    </xf>
    <xf numFmtId="0" fontId="256" fillId="0" borderId="0" xfId="18">
      <alignment vertical="center"/>
    </xf>
    <xf numFmtId="0" fontId="57" fillId="0" borderId="1" xfId="0" applyFont="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00" fillId="0" borderId="0" xfId="1" applyNumberFormat="1" applyAlignment="1">
      <alignment horizontal="center" vertical="center"/>
    </xf>
    <xf numFmtId="0" fontId="99" fillId="0" borderId="44" xfId="0" applyNumberFormat="1" applyFont="1" applyFill="1" applyBorder="1" applyAlignment="1" applyProtection="1">
      <alignment horizontal="center" vertical="center" wrapText="1"/>
      <protection locked="0"/>
    </xf>
    <xf numFmtId="0" fontId="171" fillId="0" borderId="1" xfId="12" applyBorder="1" applyAlignment="1" applyProtection="1">
      <alignment horizontal="center"/>
      <protection locked="0"/>
    </xf>
    <xf numFmtId="0" fontId="172" fillId="0" borderId="1" xfId="12" applyFont="1" applyBorder="1" applyAlignment="1" applyProtection="1">
      <alignment horizontal="center" vertical="center" wrapText="1"/>
      <protection locked="0"/>
    </xf>
    <xf numFmtId="0" fontId="100" fillId="7" borderId="0" xfId="1" applyFill="1">
      <alignment vertical="center"/>
    </xf>
    <xf numFmtId="0" fontId="100" fillId="0" borderId="1" xfId="1" applyBorder="1" applyAlignment="1">
      <alignment horizontal="center" vertical="center"/>
    </xf>
    <xf numFmtId="0" fontId="100" fillId="7" borderId="1" xfId="1" applyFill="1" applyBorder="1" applyAlignment="1">
      <alignment horizontal="center" vertical="center"/>
    </xf>
    <xf numFmtId="0" fontId="100" fillId="7" borderId="1" xfId="1" applyNumberFormat="1" applyFill="1" applyBorder="1" applyAlignment="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0" borderId="15" xfId="0" applyFont="1" applyBorder="1" applyAlignment="1" applyProtection="1">
      <alignment horizontal="center" vertical="center"/>
      <protection locked="0"/>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134" fillId="6" borderId="23" xfId="0" applyFont="1" applyFill="1" applyBorder="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57"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57"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1" fillId="0" borderId="0" xfId="1" applyFont="1" applyAlignment="1">
      <alignment horizontal="center" vertical="center"/>
    </xf>
    <xf numFmtId="0" fontId="1" fillId="0" borderId="0" xfId="1" applyFont="1" applyAlignment="1">
      <alignment horizontal="center" vertical="center"/>
    </xf>
    <xf numFmtId="0" fontId="100" fillId="0" borderId="0" xfId="1" applyAlignment="1">
      <alignment horizontal="center" vertical="center"/>
    </xf>
    <xf numFmtId="0" fontId="1" fillId="0" borderId="58" xfId="1" applyFont="1" applyBorder="1" applyAlignment="1">
      <alignment horizontal="center" vertical="center"/>
    </xf>
    <xf numFmtId="0" fontId="100" fillId="0" borderId="58" xfId="1" applyBorder="1" applyAlignment="1">
      <alignment horizontal="center" vertical="center"/>
    </xf>
    <xf numFmtId="0" fontId="100" fillId="0" borderId="1" xfId="1" applyBorder="1" applyAlignment="1">
      <alignment horizontal="center" vertical="center"/>
    </xf>
    <xf numFmtId="0" fontId="100" fillId="7" borderId="1" xfId="1" applyFill="1" applyBorder="1" applyAlignment="1">
      <alignment horizontal="center" vertical="center"/>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200025</xdr:colOff>
      <xdr:row>19</xdr:row>
      <xdr:rowOff>80467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1"/>
          <a:ext cx="6372225" cy="3166566"/>
        </a:xfrm>
        <a:prstGeom prst="rect">
          <a:avLst/>
        </a:prstGeom>
      </xdr:spPr>
    </xdr:pic>
    <xdr:clientData/>
  </xdr:twoCellAnchor>
  <xdr:twoCellAnchor editAs="oneCell">
    <xdr:from>
      <xdr:col>0</xdr:col>
      <xdr:colOff>0</xdr:colOff>
      <xdr:row>43</xdr:row>
      <xdr:rowOff>1</xdr:rowOff>
    </xdr:from>
    <xdr:to>
      <xdr:col>8</xdr:col>
      <xdr:colOff>638175</xdr:colOff>
      <xdr:row>59</xdr:row>
      <xdr:rowOff>113084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372351"/>
          <a:ext cx="6124575" cy="2856283"/>
        </a:xfrm>
        <a:prstGeom prst="rect">
          <a:avLst/>
        </a:prstGeom>
      </xdr:spPr>
    </xdr:pic>
    <xdr:clientData/>
  </xdr:twoCellAnchor>
  <xdr:twoCellAnchor editAs="oneCell">
    <xdr:from>
      <xdr:col>10</xdr:col>
      <xdr:colOff>581026</xdr:colOff>
      <xdr:row>0</xdr:row>
      <xdr:rowOff>0</xdr:rowOff>
    </xdr:from>
    <xdr:to>
      <xdr:col>21</xdr:col>
      <xdr:colOff>676276</xdr:colOff>
      <xdr:row>28</xdr:row>
      <xdr:rowOff>130193</xdr:rowOff>
    </xdr:to>
    <xdr:pic>
      <xdr:nvPicPr>
        <xdr:cNvPr id="5" name="图片 4"/>
        <xdr:cNvPicPr>
          <a:picLocks noChangeAspect="1"/>
        </xdr:cNvPicPr>
      </xdr:nvPicPr>
      <xdr:blipFill>
        <a:blip xmlns:r="http://schemas.openxmlformats.org/officeDocument/2006/relationships" r:embed="rId3"/>
        <a:stretch>
          <a:fillRect/>
        </a:stretch>
      </xdr:blipFill>
      <xdr:spPr>
        <a:xfrm>
          <a:off x="7439026" y="0"/>
          <a:ext cx="7639050" cy="4930793"/>
        </a:xfrm>
        <a:prstGeom prst="rect">
          <a:avLst/>
        </a:prstGeom>
      </xdr:spPr>
    </xdr:pic>
    <xdr:clientData/>
  </xdr:twoCellAnchor>
  <xdr:twoCellAnchor editAs="oneCell">
    <xdr:from>
      <xdr:col>24</xdr:col>
      <xdr:colOff>0</xdr:colOff>
      <xdr:row>0</xdr:row>
      <xdr:rowOff>0</xdr:rowOff>
    </xdr:from>
    <xdr:to>
      <xdr:col>41</xdr:col>
      <xdr:colOff>389020</xdr:colOff>
      <xdr:row>23</xdr:row>
      <xdr:rowOff>94746</xdr:rowOff>
    </xdr:to>
    <xdr:pic>
      <xdr:nvPicPr>
        <xdr:cNvPr id="7" name="图片 6"/>
        <xdr:cNvPicPr>
          <a:picLocks noChangeAspect="1"/>
        </xdr:cNvPicPr>
      </xdr:nvPicPr>
      <xdr:blipFill>
        <a:blip xmlns:r="http://schemas.openxmlformats.org/officeDocument/2006/relationships" r:embed="rId4"/>
        <a:stretch>
          <a:fillRect/>
        </a:stretch>
      </xdr:blipFill>
      <xdr:spPr>
        <a:xfrm>
          <a:off x="16459200" y="0"/>
          <a:ext cx="12047620" cy="4038096"/>
        </a:xfrm>
        <a:prstGeom prst="rect">
          <a:avLst/>
        </a:prstGeom>
      </xdr:spPr>
    </xdr:pic>
    <xdr:clientData/>
  </xdr:twoCellAnchor>
  <xdr:twoCellAnchor editAs="oneCell">
    <xdr:from>
      <xdr:col>11</xdr:col>
      <xdr:colOff>0</xdr:colOff>
      <xdr:row>54</xdr:row>
      <xdr:rowOff>0</xdr:rowOff>
    </xdr:from>
    <xdr:to>
      <xdr:col>20</xdr:col>
      <xdr:colOff>361950</xdr:colOff>
      <xdr:row>78</xdr:row>
      <xdr:rowOff>45591</xdr:rowOff>
    </xdr:to>
    <xdr:pic>
      <xdr:nvPicPr>
        <xdr:cNvPr id="8" name="图片 7"/>
        <xdr:cNvPicPr>
          <a:picLocks noChangeAspect="1"/>
        </xdr:cNvPicPr>
      </xdr:nvPicPr>
      <xdr:blipFill>
        <a:blip xmlns:r="http://schemas.openxmlformats.org/officeDocument/2006/relationships" r:embed="rId5"/>
        <a:stretch>
          <a:fillRect/>
        </a:stretch>
      </xdr:blipFill>
      <xdr:spPr>
        <a:xfrm>
          <a:off x="7543800" y="9258300"/>
          <a:ext cx="6534150" cy="4160391"/>
        </a:xfrm>
        <a:prstGeom prst="rect">
          <a:avLst/>
        </a:prstGeom>
      </xdr:spPr>
    </xdr:pic>
    <xdr:clientData/>
  </xdr:twoCellAnchor>
  <xdr:twoCellAnchor editAs="oneCell">
    <xdr:from>
      <xdr:col>11</xdr:col>
      <xdr:colOff>1</xdr:colOff>
      <xdr:row>31</xdr:row>
      <xdr:rowOff>0</xdr:rowOff>
    </xdr:from>
    <xdr:to>
      <xdr:col>20</xdr:col>
      <xdr:colOff>257979</xdr:colOff>
      <xdr:row>52</xdr:row>
      <xdr:rowOff>28575</xdr:rowOff>
    </xdr:to>
    <xdr:pic>
      <xdr:nvPicPr>
        <xdr:cNvPr id="9" name="图片 8"/>
        <xdr:cNvPicPr>
          <a:picLocks noChangeAspect="1"/>
        </xdr:cNvPicPr>
      </xdr:nvPicPr>
      <xdr:blipFill>
        <a:blip xmlns:r="http://schemas.openxmlformats.org/officeDocument/2006/relationships" r:embed="rId6"/>
        <a:stretch>
          <a:fillRect/>
        </a:stretch>
      </xdr:blipFill>
      <xdr:spPr>
        <a:xfrm>
          <a:off x="7543801" y="5314950"/>
          <a:ext cx="6430178" cy="3629025"/>
        </a:xfrm>
        <a:prstGeom prst="rect">
          <a:avLst/>
        </a:prstGeom>
      </xdr:spPr>
    </xdr:pic>
    <xdr:clientData/>
  </xdr:twoCellAnchor>
  <xdr:twoCellAnchor editAs="oneCell">
    <xdr:from>
      <xdr:col>23</xdr:col>
      <xdr:colOff>688730</xdr:colOff>
      <xdr:row>27</xdr:row>
      <xdr:rowOff>1</xdr:rowOff>
    </xdr:from>
    <xdr:to>
      <xdr:col>34</xdr:col>
      <xdr:colOff>241789</xdr:colOff>
      <xdr:row>48</xdr:row>
      <xdr:rowOff>124565</xdr:rowOff>
    </xdr:to>
    <xdr:pic>
      <xdr:nvPicPr>
        <xdr:cNvPr id="10" name="图片 9"/>
        <xdr:cNvPicPr>
          <a:picLocks noChangeAspect="1"/>
        </xdr:cNvPicPr>
      </xdr:nvPicPr>
      <xdr:blipFill>
        <a:blip xmlns:r="http://schemas.openxmlformats.org/officeDocument/2006/relationships" r:embed="rId7"/>
        <a:stretch>
          <a:fillRect/>
        </a:stretch>
      </xdr:blipFill>
      <xdr:spPr>
        <a:xfrm>
          <a:off x="16529538" y="4550020"/>
          <a:ext cx="7129097" cy="3663468"/>
        </a:xfrm>
        <a:prstGeom prst="rect">
          <a:avLst/>
        </a:prstGeom>
      </xdr:spPr>
    </xdr:pic>
    <xdr:clientData/>
  </xdr:twoCellAnchor>
  <xdr:twoCellAnchor editAs="oneCell">
    <xdr:from>
      <xdr:col>0</xdr:col>
      <xdr:colOff>1</xdr:colOff>
      <xdr:row>22</xdr:row>
      <xdr:rowOff>0</xdr:rowOff>
    </xdr:from>
    <xdr:to>
      <xdr:col>8</xdr:col>
      <xdr:colOff>300405</xdr:colOff>
      <xdr:row>38</xdr:row>
      <xdr:rowOff>40965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3707423"/>
          <a:ext cx="5810250" cy="2737273"/>
        </a:xfrm>
        <a:prstGeom prst="rect">
          <a:avLst/>
        </a:prstGeom>
      </xdr:spPr>
    </xdr:pic>
    <xdr:clientData/>
  </xdr:twoCellAnchor>
  <xdr:twoCellAnchor editAs="oneCell">
    <xdr:from>
      <xdr:col>0</xdr:col>
      <xdr:colOff>0</xdr:colOff>
      <xdr:row>59</xdr:row>
      <xdr:rowOff>153865</xdr:rowOff>
    </xdr:from>
    <xdr:to>
      <xdr:col>9</xdr:col>
      <xdr:colOff>492235</xdr:colOff>
      <xdr:row>86</xdr:row>
      <xdr:rowOff>109903</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0096500"/>
          <a:ext cx="6690812" cy="4506057"/>
        </a:xfrm>
        <a:prstGeom prst="rect">
          <a:avLst/>
        </a:prstGeom>
      </xdr:spPr>
    </xdr:pic>
    <xdr:clientData/>
  </xdr:twoCellAnchor>
  <xdr:twoCellAnchor editAs="oneCell">
    <xdr:from>
      <xdr:col>0</xdr:col>
      <xdr:colOff>0</xdr:colOff>
      <xdr:row>87</xdr:row>
      <xdr:rowOff>0</xdr:rowOff>
    </xdr:from>
    <xdr:to>
      <xdr:col>9</xdr:col>
      <xdr:colOff>52214</xdr:colOff>
      <xdr:row>112</xdr:row>
      <xdr:rowOff>58615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4661173"/>
          <a:ext cx="6250791" cy="4271596"/>
        </a:xfrm>
        <a:prstGeom prst="rect">
          <a:avLst/>
        </a:prstGeom>
      </xdr:spPr>
    </xdr:pic>
    <xdr:clientData/>
  </xdr:twoCellAnchor>
  <xdr:twoCellAnchor editAs="oneCell">
    <xdr:from>
      <xdr:col>0</xdr:col>
      <xdr:colOff>1</xdr:colOff>
      <xdr:row>114</xdr:row>
      <xdr:rowOff>1</xdr:rowOff>
    </xdr:from>
    <xdr:to>
      <xdr:col>9</xdr:col>
      <xdr:colOff>137049</xdr:colOff>
      <xdr:row>136</xdr:row>
      <xdr:rowOff>21982</xdr:rowOff>
    </xdr:to>
    <xdr:pic>
      <xdr:nvPicPr>
        <xdr:cNvPr id="15" name="图片 14"/>
        <xdr:cNvPicPr>
          <a:picLocks noChangeAspect="1"/>
        </xdr:cNvPicPr>
      </xdr:nvPicPr>
      <xdr:blipFill>
        <a:blip xmlns:r="http://schemas.openxmlformats.org/officeDocument/2006/relationships" r:embed="rId11"/>
        <a:stretch>
          <a:fillRect/>
        </a:stretch>
      </xdr:blipFill>
      <xdr:spPr>
        <a:xfrm>
          <a:off x="1" y="19211193"/>
          <a:ext cx="6335625" cy="3729404"/>
        </a:xfrm>
        <a:prstGeom prst="rect">
          <a:avLst/>
        </a:prstGeom>
      </xdr:spPr>
    </xdr:pic>
    <xdr:clientData/>
  </xdr:twoCellAnchor>
  <xdr:twoCellAnchor editAs="oneCell">
    <xdr:from>
      <xdr:col>0</xdr:col>
      <xdr:colOff>1</xdr:colOff>
      <xdr:row>138</xdr:row>
      <xdr:rowOff>0</xdr:rowOff>
    </xdr:from>
    <xdr:to>
      <xdr:col>9</xdr:col>
      <xdr:colOff>205618</xdr:colOff>
      <xdr:row>163</xdr:row>
      <xdr:rowOff>7327</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 y="23255654"/>
          <a:ext cx="6404194" cy="4220308"/>
        </a:xfrm>
        <a:prstGeom prst="rect">
          <a:avLst/>
        </a:prstGeom>
      </xdr:spPr>
    </xdr:pic>
    <xdr:clientData/>
  </xdr:twoCellAnchor>
  <xdr:twoCellAnchor editAs="oneCell">
    <xdr:from>
      <xdr:col>0</xdr:col>
      <xdr:colOff>1</xdr:colOff>
      <xdr:row>164</xdr:row>
      <xdr:rowOff>0</xdr:rowOff>
    </xdr:from>
    <xdr:to>
      <xdr:col>6</xdr:col>
      <xdr:colOff>439616</xdr:colOff>
      <xdr:row>182</xdr:row>
      <xdr:rowOff>164521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1" y="27637154"/>
          <a:ext cx="4572000" cy="3197867"/>
        </a:xfrm>
        <a:prstGeom prst="rect">
          <a:avLst/>
        </a:prstGeom>
      </xdr:spPr>
    </xdr:pic>
    <xdr:clientData/>
  </xdr:twoCellAnchor>
  <xdr:twoCellAnchor editAs="oneCell">
    <xdr:from>
      <xdr:col>0</xdr:col>
      <xdr:colOff>0</xdr:colOff>
      <xdr:row>183</xdr:row>
      <xdr:rowOff>168519</xdr:rowOff>
    </xdr:from>
    <xdr:to>
      <xdr:col>8</xdr:col>
      <xdr:colOff>414169</xdr:colOff>
      <xdr:row>207</xdr:row>
      <xdr:rowOff>51288</xdr:rowOff>
    </xdr:to>
    <xdr:pic>
      <xdr:nvPicPr>
        <xdr:cNvPr id="18" name="图片 17"/>
        <xdr:cNvPicPr>
          <a:picLocks noChangeAspect="1"/>
        </xdr:cNvPicPr>
      </xdr:nvPicPr>
      <xdr:blipFill>
        <a:blip xmlns:r="http://schemas.openxmlformats.org/officeDocument/2006/relationships" r:embed="rId14"/>
        <a:stretch>
          <a:fillRect/>
        </a:stretch>
      </xdr:blipFill>
      <xdr:spPr>
        <a:xfrm>
          <a:off x="0" y="31007538"/>
          <a:ext cx="5924015" cy="3927231"/>
        </a:xfrm>
        <a:prstGeom prst="rect">
          <a:avLst/>
        </a:prstGeom>
      </xdr:spPr>
    </xdr:pic>
    <xdr:clientData/>
  </xdr:twoCellAnchor>
  <xdr:twoCellAnchor editAs="oneCell">
    <xdr:from>
      <xdr:col>0</xdr:col>
      <xdr:colOff>0</xdr:colOff>
      <xdr:row>209</xdr:row>
      <xdr:rowOff>0</xdr:rowOff>
    </xdr:from>
    <xdr:to>
      <xdr:col>8</xdr:col>
      <xdr:colOff>524783</xdr:colOff>
      <xdr:row>230</xdr:row>
      <xdr:rowOff>102577</xdr:rowOff>
    </xdr:to>
    <xdr:pic>
      <xdr:nvPicPr>
        <xdr:cNvPr id="19" name="图片 18"/>
        <xdr:cNvPicPr>
          <a:picLocks noChangeAspect="1"/>
        </xdr:cNvPicPr>
      </xdr:nvPicPr>
      <xdr:blipFill>
        <a:blip xmlns:r="http://schemas.openxmlformats.org/officeDocument/2006/relationships" r:embed="rId15"/>
        <a:stretch>
          <a:fillRect/>
        </a:stretch>
      </xdr:blipFill>
      <xdr:spPr>
        <a:xfrm>
          <a:off x="0" y="35220519"/>
          <a:ext cx="6034629" cy="3641481"/>
        </a:xfrm>
        <a:prstGeom prst="rect">
          <a:avLst/>
        </a:prstGeom>
      </xdr:spPr>
    </xdr:pic>
    <xdr:clientData/>
  </xdr:twoCellAnchor>
  <xdr:twoCellAnchor editAs="oneCell">
    <xdr:from>
      <xdr:col>0</xdr:col>
      <xdr:colOff>0</xdr:colOff>
      <xdr:row>232</xdr:row>
      <xdr:rowOff>0</xdr:rowOff>
    </xdr:from>
    <xdr:to>
      <xdr:col>12</xdr:col>
      <xdr:colOff>182851</xdr:colOff>
      <xdr:row>240</xdr:row>
      <xdr:rowOff>89942</xdr:rowOff>
    </xdr:to>
    <xdr:pic>
      <xdr:nvPicPr>
        <xdr:cNvPr id="20" name="图片 19"/>
        <xdr:cNvPicPr>
          <a:picLocks noChangeAspect="1"/>
        </xdr:cNvPicPr>
      </xdr:nvPicPr>
      <xdr:blipFill>
        <a:blip xmlns:r="http://schemas.openxmlformats.org/officeDocument/2006/relationships" r:embed="rId16"/>
        <a:stretch>
          <a:fillRect/>
        </a:stretch>
      </xdr:blipFill>
      <xdr:spPr>
        <a:xfrm>
          <a:off x="0" y="39096462"/>
          <a:ext cx="8447620"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s://shop.fang.com/shou/3_423364948.html?channel=2,16" TargetMode="External"/><Relationship Id="rId2" Type="http://schemas.openxmlformats.org/officeDocument/2006/relationships/hyperlink" Target="https://shop.fang.com/shou/3_424395375.html?channel=1,16" TargetMode="External"/><Relationship Id="rId1" Type="http://schemas.openxmlformats.org/officeDocument/2006/relationships/hyperlink" Target="https://shop.fang.com/shou/3_423086937.html?channel=2,16" TargetMode="External"/><Relationship Id="rId5" Type="http://schemas.openxmlformats.org/officeDocument/2006/relationships/drawing" Target="../drawings/drawing1.xml"/><Relationship Id="rId4"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北京市北京市房山区拱辰街道16-03-04、16-01-05地块出让国有建设用地使用权及在建建筑物房地产抵押价值预评估</v>
      </c>
    </row>
    <row r="3" spans="1:2" s="1591" customFormat="1">
      <c r="A3" s="1589" t="s">
        <v>1217</v>
      </c>
      <c r="B3" s="1590" t="str">
        <f>'预评函-封皮'!B40</f>
        <v>北京恒隆兴置业有限公司</v>
      </c>
    </row>
    <row r="4" spans="1:2" s="1591" customFormat="1">
      <c r="A4" s="1589" t="s">
        <v>1218</v>
      </c>
      <c r="B4" s="1590" t="str">
        <f ca="1">'预评函-封皮'!B46</f>
        <v>郑燚（注册号：1120070131)、崔锴（注册号：1120100036)</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受贵公司委托，我公司对北京市北京市房山区拱辰街道16-03-04、16-01-05地块出让国有建设用地使用权及在建建筑物房地产抵押价值进行了预评估。</v>
      </c>
    </row>
    <row r="7" spans="1:2" s="1591" customFormat="1">
      <c r="A7" s="1589" t="s">
        <v>1260</v>
      </c>
      <c r="B7" s="1590" t="str">
        <f>'预评函-1'!A7</f>
        <v>估价对象为北京市北京市房山区拱辰街道16-03-04、16-01-05地块出让国有建设用地使用权及在建建筑物房地产，为所有。根据，估价对象（分摊）出让国有建设用地使用权面积为0平方米，建筑面积为61370.2399999988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北京市房山区拱辰街道16-03-04、16-01-05地块出让国有建设用地使用权及在建建筑物房地产,属开发建设的商业项目，该项目尚在开发建设中。根据，估价对象（分摊）出让国有建设用地使用权面积为0平方米，规划建筑面积为61370.2399999988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为估价委托人在向中诚信托办理贷款手续过程中，确定房地产抵押贷款额度提供参考依据而评估房地产抵押价值。</v>
      </c>
    </row>
    <row r="12" spans="1:2" s="1591" customFormat="1">
      <c r="A12" s="1589" t="s">
        <v>1222</v>
      </c>
      <c r="B12" s="1590" t="str">
        <f>'预评函-1'!A15</f>
        <v>2019年1月29日（评估专业人员实地查勘之日）</v>
      </c>
    </row>
    <row r="13" spans="1:2" s="1591" customFormat="1">
      <c r="A13" s="1589" t="s">
        <v>1223</v>
      </c>
      <c r="B13" s="1590" t="str">
        <f>'预评函-1'!A18</f>
        <v>本次估价的“房地产价值”是指在正常市场情况下，在价值时点2019年1月29日，估价对象规划用途为，土地取得方式为出让，出让国有建设用地使用权剩余土地使用年限为商业36.5年、办公及地下车库46.5年，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商业36.5年、办公及地下车库46.5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18830</v>
      </c>
    </row>
    <row r="21" spans="1:2" s="1591" customFormat="1">
      <c r="A21" s="1589" t="s">
        <v>1231</v>
      </c>
      <c r="B21" s="1590">
        <f ca="1">'预评函-2'!D7</f>
        <v>3752</v>
      </c>
    </row>
    <row r="22" spans="1:2" s="1591" customFormat="1">
      <c r="A22" s="1589" t="s">
        <v>1232</v>
      </c>
      <c r="B22" s="1590" t="str">
        <f ca="1">'预评函-2'!D6</f>
        <v>壹亿捌仟捌佰叁拾万元整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18830</v>
      </c>
    </row>
    <row r="31" spans="1:2" s="1591" customFormat="1">
      <c r="A31" s="1589" t="s">
        <v>1270</v>
      </c>
      <c r="B31" s="1590">
        <f ca="1">'预评函-2'!D15</f>
        <v>3068</v>
      </c>
    </row>
    <row r="32" spans="1:2" s="1591" customFormat="1">
      <c r="A32" s="1589" t="s">
        <v>1237</v>
      </c>
      <c r="B32" s="1590" t="str">
        <f ca="1">'预评函-2'!D14</f>
        <v>壹亿捌仟捌佰叁拾万元整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北京市北京市房山区拱辰街道16-03-04、16-01-05地块出让国有建设用地使用权及在建建筑物房地产</v>
      </c>
    </row>
    <row r="42" spans="1:2" s="1591" customFormat="1">
      <c r="A42" s="1589" t="s">
        <v>1284</v>
      </c>
      <c r="B42" s="1590" t="str">
        <f>'预评函-3'!B2</f>
        <v>建筑面积</v>
      </c>
    </row>
    <row r="43" spans="1:2" s="1591" customFormat="1">
      <c r="A43" s="1589" t="s">
        <v>1285</v>
      </c>
      <c r="B43" s="1590">
        <f>'预评函-3'!B4</f>
        <v>61370.239999998797</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崔锴</v>
      </c>
    </row>
    <row r="73" spans="1:2" s="1585" customFormat="1" ht="15" thickBot="1">
      <c r="A73" s="1592" t="s">
        <v>1259</v>
      </c>
      <c r="B73" s="1593">
        <f ca="1">'预评函-4'!B5</f>
        <v>1120100036</v>
      </c>
    </row>
    <row r="74" spans="1:2" ht="15" thickTop="1">
      <c r="A74" s="1582" t="s">
        <v>1295</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4" sqref="C24"/>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4" t="s">
        <v>4607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4609</v>
      </c>
      <c r="C17" s="2012"/>
    </row>
    <row r="18" spans="1:3">
      <c r="A18" s="2011" t="s">
        <v>1762</v>
      </c>
      <c r="B18" s="2011" t="s">
        <v>4611</v>
      </c>
      <c r="C18" s="2012"/>
    </row>
    <row r="19" spans="1:3">
      <c r="A19" s="2011" t="s">
        <v>1763</v>
      </c>
      <c r="B19" s="2011" t="s">
        <v>4613</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3064</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隆兴置业有限公司拟使用北京市北京市房山区拱辰街道16-03-04、16-01-05地块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6"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19" t="s">
        <v>861</v>
      </c>
      <c r="C54" s="2016" t="s">
        <v>1277</v>
      </c>
    </row>
    <row r="55" spans="1:4">
      <c r="A55" s="3046"/>
      <c r="B55" s="2019" t="s">
        <v>862</v>
      </c>
      <c r="C55" s="2016" t="s">
        <v>1278</v>
      </c>
    </row>
    <row r="56" spans="1:4">
      <c r="A56" s="3046"/>
      <c r="B56" s="2019" t="s">
        <v>863</v>
      </c>
      <c r="C56" s="2016" t="s">
        <v>1282</v>
      </c>
    </row>
    <row r="57" spans="1:4">
      <c r="A57" s="3046"/>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29" customWidth="1"/>
    <col min="2" max="2" width="11.375" style="2029" customWidth="1"/>
    <col min="3" max="3" width="11.5" style="2029" customWidth="1"/>
    <col min="4" max="4" width="13.5" style="2029" customWidth="1"/>
    <col min="5"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1771</v>
      </c>
      <c r="B1" s="3055" t="str">
        <f>IF(B10="北京市","北京市",C10)&amp;F10&amp;IF('结果表-车库'!G1="在建","出让国有建设用地使用权及在建建筑物",IF('结果表-车库'!G1="土地","出让国有建设用地使用权",))&amp;B9&amp;"预评估"</f>
        <v>北京市北京市房山区拱辰街道16-03-04、16-01-05地块出让国有建设用地使用权及在建建筑物房地产抵押价值预评估</v>
      </c>
      <c r="C1" s="3056"/>
      <c r="D1" s="3056"/>
      <c r="E1" s="3056"/>
      <c r="F1" s="3056"/>
      <c r="G1" s="3056"/>
      <c r="H1" s="3056"/>
      <c r="I1" s="3057"/>
      <c r="J1" s="2023"/>
      <c r="K1" s="2024"/>
      <c r="L1" s="2025"/>
      <c r="M1" s="2025"/>
      <c r="N1" s="2026"/>
      <c r="O1" s="2027"/>
      <c r="P1" s="2026"/>
      <c r="Q1" s="2026"/>
      <c r="R1" s="2026"/>
      <c r="S1" s="2028" t="str">
        <f>IF(B10="北京市","北京市",C10)&amp;F10&amp;IF('结果表-车库'!G1="在建","出让国有建设用地使用权及在建建筑物房地产抵押价值",IF('结果表-车库'!G1="土地","出让国有建设用地使用权抵押价值",B9))</f>
        <v>北京市北京市房山区拱辰街道16-03-04、16-01-05地块出让国有建设用地使用权及在建建筑物房地产抵押价值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IF(B10="北京市","北京市",C10)&amp;F10&amp;IF('结果表-车库'!G1="在建","出让国有建设用地使用权及在建建筑物房地产",IF('结果表-车库'!G1="土地","出让国有建设用地使用权","房地产"))</f>
        <v>北京市北京市房山区拱辰街道16-03-04、16-01-05地块出让国有建设用地使用权及在建建筑物房地产</v>
      </c>
    </row>
    <row r="3" spans="1:19" ht="18" customHeight="1">
      <c r="A3" s="2032" t="s">
        <v>1773</v>
      </c>
      <c r="B3" s="2033">
        <v>43494</v>
      </c>
      <c r="C3" s="2034" t="s">
        <v>1774</v>
      </c>
      <c r="D3" s="2033">
        <f>B3</f>
        <v>43494</v>
      </c>
      <c r="E3" s="2023"/>
      <c r="F3" s="2023"/>
      <c r="G3" s="2023"/>
      <c r="H3" s="2023"/>
      <c r="I3" s="2023"/>
      <c r="J3" s="2023"/>
      <c r="K3" s="2024"/>
      <c r="L3" s="2025"/>
      <c r="M3" s="2025"/>
      <c r="N3" s="2026"/>
      <c r="O3" s="2027"/>
      <c r="P3" s="2026"/>
      <c r="Q3" s="2026"/>
      <c r="R3" s="2026"/>
      <c r="S3" s="2028"/>
    </row>
    <row r="4" spans="1:19" ht="18" customHeight="1" thickBot="1">
      <c r="A4" s="2035" t="s">
        <v>1775</v>
      </c>
      <c r="B4" s="2036" t="s">
        <v>3043</v>
      </c>
      <c r="C4" s="1035">
        <f ca="1">SUMIF(注册房地产估价师,B4,估价师及机构信息!B3:B24)</f>
        <v>1120070131</v>
      </c>
      <c r="D4" s="2036" t="s">
        <v>3044</v>
      </c>
      <c r="E4" s="1036">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郑燚（注册号：1120070131)、崔锴（注册号：1120100036)</v>
      </c>
      <c r="L4" s="2025"/>
      <c r="M4" s="2025"/>
      <c r="N4" s="2026"/>
      <c r="O4" s="2027"/>
      <c r="P4" s="2026"/>
      <c r="Q4" s="2026"/>
      <c r="R4" s="2026"/>
      <c r="S4" s="2028"/>
    </row>
    <row r="5" spans="1:19" ht="18" customHeight="1" thickTop="1">
      <c r="A5" s="2041" t="s">
        <v>1776</v>
      </c>
      <c r="B5" s="2940" t="s">
        <v>3045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41" t="s">
        <v>3046</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048" t="str">
        <f>B5</f>
        <v>北京恒隆兴置业有限公司</v>
      </c>
      <c r="C7" s="2045"/>
      <c r="D7" s="2046"/>
      <c r="E7" s="2031"/>
      <c r="F7" s="2039"/>
      <c r="G7" s="2039"/>
      <c r="H7" s="2039"/>
      <c r="I7" s="2039"/>
      <c r="J7" s="2039"/>
      <c r="K7" s="2049"/>
      <c r="L7" s="2025"/>
      <c r="M7" s="2025"/>
      <c r="N7" s="2026"/>
      <c r="O7" s="2027"/>
      <c r="P7" s="2026"/>
      <c r="Q7" s="2026"/>
      <c r="R7" s="2026"/>
    </row>
    <row r="8" spans="1:19" ht="18" customHeight="1">
      <c r="A8" s="2044" t="s">
        <v>1779</v>
      </c>
      <c r="B8" s="2050" t="s">
        <v>3047</v>
      </c>
      <c r="C8" s="2051"/>
      <c r="D8" s="3058" t="s">
        <v>1780</v>
      </c>
      <c r="E8" s="2052" t="s">
        <v>3048</v>
      </c>
      <c r="F8" s="2053"/>
      <c r="G8" s="2023"/>
      <c r="H8" s="2023"/>
      <c r="I8" s="2023"/>
      <c r="J8" s="2039"/>
      <c r="K8" s="2040"/>
      <c r="L8" s="2025"/>
      <c r="M8" s="2025"/>
      <c r="N8" s="2026"/>
      <c r="O8" s="2027"/>
      <c r="P8" s="2026"/>
      <c r="Q8" s="2026"/>
      <c r="R8" s="2026"/>
    </row>
    <row r="9" spans="1:19" ht="18" customHeight="1" thickBot="1">
      <c r="A9" s="2037" t="s">
        <v>1781</v>
      </c>
      <c r="B9" s="2054" t="s">
        <v>3048</v>
      </c>
      <c r="C9" s="2055"/>
      <c r="D9" s="3059"/>
      <c r="E9" s="2054"/>
      <c r="F9" s="2056"/>
      <c r="G9" s="2057"/>
      <c r="H9" s="2057"/>
      <c r="I9" s="2057"/>
      <c r="J9" s="2039"/>
      <c r="K9" s="2049"/>
      <c r="L9" s="2025"/>
      <c r="M9" s="2025"/>
      <c r="N9" s="2026"/>
      <c r="O9" s="2027"/>
      <c r="P9" s="2026"/>
      <c r="Q9" s="2026"/>
      <c r="R9" s="2026"/>
    </row>
    <row r="10" spans="1:19" ht="18" customHeight="1" thickTop="1">
      <c r="A10" s="2058" t="s">
        <v>1782</v>
      </c>
      <c r="B10" s="2059" t="s">
        <v>3049</v>
      </c>
      <c r="C10" s="2060"/>
      <c r="D10" s="2043"/>
      <c r="E10" s="2061" t="s">
        <v>1783</v>
      </c>
      <c r="F10" s="2062" t="s">
        <v>3052</v>
      </c>
      <c r="G10" s="2063"/>
      <c r="H10" s="2064"/>
      <c r="I10" s="2043"/>
      <c r="J10" s="2039"/>
      <c r="K10" s="2049"/>
      <c r="L10" s="2025"/>
      <c r="M10" s="2025"/>
      <c r="N10" s="2026"/>
      <c r="O10" s="2027"/>
      <c r="P10" s="2026"/>
      <c r="Q10" s="2026"/>
      <c r="R10" s="2026"/>
    </row>
    <row r="11" spans="1:19" ht="18" customHeight="1">
      <c r="A11" s="2065" t="s">
        <v>1784</v>
      </c>
      <c r="B11" s="2066" t="s">
        <v>3050</v>
      </c>
      <c r="C11" s="2067"/>
      <c r="D11" s="2068"/>
      <c r="E11" s="2039"/>
      <c r="F11" s="2039"/>
      <c r="G11" s="2039"/>
      <c r="H11" s="2039"/>
      <c r="I11" s="2039"/>
      <c r="J11" s="2039"/>
      <c r="K11" s="2049"/>
      <c r="L11" s="2025"/>
      <c r="M11" s="2025"/>
      <c r="N11" s="2026"/>
      <c r="O11" s="2027"/>
      <c r="P11" s="2026"/>
      <c r="Q11" s="2026"/>
      <c r="R11" s="2026"/>
    </row>
    <row r="12" spans="1:19" ht="18" customHeight="1">
      <c r="A12" s="2069" t="s">
        <v>1785</v>
      </c>
      <c r="B12" s="2066" t="s">
        <v>3051</v>
      </c>
      <c r="C12" s="2070" t="s">
        <v>1786</v>
      </c>
      <c r="D12" s="2071" t="s">
        <v>1787</v>
      </c>
      <c r="E12" s="2071" t="s">
        <v>1788</v>
      </c>
      <c r="F12" s="2071" t="s">
        <v>1789</v>
      </c>
      <c r="G12" s="2071" t="s">
        <v>1790</v>
      </c>
      <c r="H12" s="2071" t="s">
        <v>1791</v>
      </c>
      <c r="I12" s="2071" t="s">
        <v>1792</v>
      </c>
      <c r="J12" s="2039"/>
      <c r="K12" s="2049"/>
      <c r="L12" s="2025"/>
      <c r="M12" s="2025"/>
      <c r="N12" s="2026"/>
      <c r="O12" s="2027"/>
      <c r="P12" s="2026"/>
      <c r="Q12" s="2026"/>
      <c r="R12" s="2026"/>
    </row>
    <row r="13" spans="1:19" ht="18" customHeight="1">
      <c r="A13" s="2072"/>
      <c r="B13" s="2073"/>
      <c r="C13" s="2074" t="s">
        <v>1793</v>
      </c>
      <c r="D13" s="2075"/>
      <c r="E13" s="2075">
        <v>56828</v>
      </c>
      <c r="F13" s="2075">
        <v>60481</v>
      </c>
      <c r="G13" s="2075">
        <v>60481</v>
      </c>
      <c r="H13" s="2075"/>
      <c r="I13" s="1045"/>
      <c r="J13" s="2039"/>
      <c r="K13" s="2049"/>
      <c r="L13" s="2025"/>
      <c r="M13" s="2025"/>
      <c r="N13" s="2026"/>
      <c r="O13" s="2027"/>
      <c r="P13" s="2026"/>
      <c r="Q13" s="2026"/>
      <c r="R13" s="2026"/>
    </row>
    <row r="14" spans="1:19" ht="18" customHeight="1">
      <c r="A14" s="2072"/>
      <c r="B14" s="2073"/>
      <c r="C14" s="2074" t="s">
        <v>1794</v>
      </c>
      <c r="D14" s="1048">
        <v>70</v>
      </c>
      <c r="E14" s="1048">
        <v>40</v>
      </c>
      <c r="F14" s="1048">
        <v>50</v>
      </c>
      <c r="G14" s="1048">
        <v>50</v>
      </c>
      <c r="H14" s="1048"/>
      <c r="I14" s="1048"/>
      <c r="J14" s="2039"/>
      <c r="K14" s="2076"/>
      <c r="L14" s="2025"/>
      <c r="M14" s="2025"/>
      <c r="N14" s="2026"/>
      <c r="O14" s="2027"/>
      <c r="P14" s="2026"/>
      <c r="Q14" s="2026"/>
      <c r="R14" s="2026"/>
    </row>
    <row r="15" spans="1:19" ht="18" customHeight="1">
      <c r="A15" s="2058"/>
      <c r="B15" s="2077"/>
      <c r="C15" s="2074" t="s">
        <v>1795</v>
      </c>
      <c r="D15" s="1047" t="str">
        <f>IF(B12="出让",IF(D13="","",ROUNDDOWN(MIN((D13-$D$3)/365,D14),2)),D14)</f>
        <v/>
      </c>
      <c r="E15" s="1047">
        <f>IF(B12="出让",IF(E13="","",ROUNDDOWN(MIN((E13-$D$3)/365,E14),2)),E14)</f>
        <v>36.53</v>
      </c>
      <c r="F15" s="1047">
        <f>IF(B12="出让",IF(F13="","",ROUNDDOWN(MIN((F13-$D$3)/365,F14),2)),F14)</f>
        <v>46.53</v>
      </c>
      <c r="G15" s="1047">
        <f>IF(B12="出让",IF(G13="","",ROUNDDOWN(MIN((G13-$D$3)/365,G14),2)),G14)</f>
        <v>46.53</v>
      </c>
      <c r="H15" s="1047" t="str">
        <f>IF(B12="出让",IF(H13="","",ROUNDDOWN(MIN((H13-$D$3)/365,H14),2)),H14)</f>
        <v/>
      </c>
      <c r="I15" s="1047" t="str">
        <f>IF(B12="出让",IF(I13="","",ROUNDDOWN(MIN((I13-$D$3)/365,I14),2)),I14)</f>
        <v/>
      </c>
      <c r="J15" s="2039"/>
      <c r="K15" s="2078"/>
      <c r="L15" s="2079"/>
      <c r="M15" s="2079"/>
      <c r="N15" s="2080"/>
      <c r="O15" s="2079"/>
      <c r="P15" s="2080"/>
      <c r="Q15" s="2026"/>
      <c r="R15" s="2026"/>
    </row>
    <row r="16" spans="1:19" ht="30.75" customHeight="1">
      <c r="A16" s="2061" t="s">
        <v>1796</v>
      </c>
      <c r="B16" s="3065"/>
      <c r="C16" s="3066"/>
      <c r="D16" s="3067"/>
      <c r="E16" s="2081" t="s">
        <v>1797</v>
      </c>
      <c r="F16" s="3068" t="s">
        <v>3053</v>
      </c>
      <c r="G16" s="3069"/>
      <c r="H16" s="3069"/>
      <c r="I16" s="3070"/>
      <c r="J16" s="2026"/>
      <c r="K16" s="2078"/>
      <c r="L16" s="2079"/>
      <c r="M16" s="2079"/>
      <c r="N16" s="2080"/>
      <c r="O16" s="2079"/>
      <c r="P16" s="2080"/>
      <c r="Q16" s="2026"/>
      <c r="R16" s="2026"/>
    </row>
    <row r="17" spans="1:22" ht="18" customHeight="1">
      <c r="A17" s="2082" t="s">
        <v>1798</v>
      </c>
      <c r="B17" s="2032" t="s">
        <v>1799</v>
      </c>
      <c r="C17" s="1052">
        <f>'数据-汇总表'!E3</f>
        <v>61370.239999998797</v>
      </c>
      <c r="D17" s="2083" t="s">
        <v>1800</v>
      </c>
      <c r="E17" s="3071" t="s">
        <v>3054</v>
      </c>
      <c r="F17" s="3072"/>
      <c r="G17" s="3072"/>
      <c r="H17" s="3072"/>
      <c r="I17" s="3073"/>
      <c r="J17" s="2026"/>
      <c r="K17" s="2084"/>
      <c r="L17" s="2079"/>
      <c r="M17" s="2079"/>
      <c r="N17" s="2080"/>
      <c r="O17" s="2079"/>
      <c r="P17" s="2080"/>
      <c r="Q17" s="2026"/>
      <c r="R17" s="2026"/>
      <c r="S17" s="2026"/>
      <c r="T17" s="2026"/>
      <c r="U17" s="2026"/>
      <c r="V17" s="2026"/>
    </row>
    <row r="18" spans="1:22" ht="36" customHeight="1" thickBot="1">
      <c r="A18" s="2085" t="s">
        <v>1801</v>
      </c>
      <c r="B18" s="2035" t="s">
        <v>1802</v>
      </c>
      <c r="C18" s="1442">
        <f>'数据-汇总表'!D3</f>
        <v>0</v>
      </c>
      <c r="D18" s="2086" t="s">
        <v>1800</v>
      </c>
      <c r="E18" s="3074"/>
      <c r="F18" s="3075"/>
      <c r="G18" s="3075"/>
      <c r="H18" s="3075"/>
      <c r="I18" s="3076"/>
      <c r="J18" s="2026"/>
      <c r="K18" s="2084"/>
      <c r="L18" s="2079"/>
      <c r="M18" s="2079"/>
      <c r="N18" s="2080"/>
      <c r="O18" s="2079"/>
      <c r="P18" s="2080"/>
      <c r="Q18" s="2026"/>
      <c r="R18" s="2026"/>
      <c r="S18" s="2026"/>
      <c r="T18" s="2026"/>
      <c r="U18" s="2026"/>
      <c r="V18" s="2026"/>
    </row>
    <row r="19" spans="1:22" ht="37.5" customHeight="1" thickTop="1" thickBot="1">
      <c r="A19" s="373" t="s">
        <v>1803</v>
      </c>
      <c r="B19" s="352" t="s">
        <v>1804</v>
      </c>
      <c r="C19" s="2087"/>
      <c r="D19" s="2088" t="s">
        <v>1805</v>
      </c>
      <c r="E19" s="2089"/>
      <c r="F19" s="2090" t="str">
        <f>IF(AND(C19="是",E19="否"),"是否提供他项权证或相关说明","")</f>
        <v/>
      </c>
      <c r="G19" s="2091"/>
      <c r="H19" s="2039"/>
      <c r="I19" s="2039"/>
      <c r="J19" s="2039"/>
      <c r="K19" s="2049"/>
      <c r="L19" s="2025"/>
      <c r="M19" s="2025"/>
      <c r="N19" s="2080"/>
      <c r="O19" s="2079"/>
      <c r="P19" s="2080"/>
      <c r="Q19" s="2026"/>
      <c r="R19" s="2026"/>
      <c r="S19" s="2026"/>
      <c r="T19" s="2026"/>
      <c r="U19" s="2026"/>
      <c r="V19" s="2026"/>
    </row>
    <row r="20" spans="1:22" ht="18" customHeight="1">
      <c r="A20" s="2092" t="s">
        <v>1806</v>
      </c>
      <c r="B20" s="3061" t="s">
        <v>1807</v>
      </c>
      <c r="C20" s="3062"/>
      <c r="D20" s="3063" t="s">
        <v>1808</v>
      </c>
      <c r="E20" s="3064"/>
      <c r="F20" s="2093" t="s">
        <v>1809</v>
      </c>
      <c r="G20" s="2039"/>
      <c r="H20" s="2039"/>
      <c r="I20" s="2039"/>
      <c r="J20" s="2039"/>
      <c r="K20" s="3060" t="s">
        <v>1810</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5"/>
      <c r="N20" s="2080"/>
      <c r="O20" s="2079"/>
      <c r="P20" s="2080"/>
      <c r="Q20" s="2026"/>
      <c r="R20" s="2026"/>
      <c r="S20" s="2026"/>
      <c r="T20" s="2026"/>
      <c r="U20" s="2026"/>
      <c r="V20" s="2026"/>
    </row>
    <row r="21" spans="1:22" ht="24.75" customHeight="1">
      <c r="A21" s="2092"/>
      <c r="B21" s="2094" t="s">
        <v>1811</v>
      </c>
      <c r="C21" s="2095"/>
      <c r="D21" s="2096" t="s">
        <v>1812</v>
      </c>
      <c r="E21" s="2097"/>
      <c r="F21" s="2098"/>
      <c r="G21" s="2039"/>
      <c r="H21" s="2039"/>
      <c r="I21" s="2039"/>
      <c r="J21" s="2039"/>
      <c r="K21" s="306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0"/>
      <c r="O21" s="2079"/>
      <c r="P21" s="2080"/>
      <c r="Q21" s="2026"/>
      <c r="R21" s="2026"/>
      <c r="S21" s="2026"/>
      <c r="T21" s="2026"/>
      <c r="U21" s="2026"/>
      <c r="V21" s="2026"/>
    </row>
    <row r="22" spans="1:22" ht="24.75" customHeight="1" thickBot="1">
      <c r="A22" s="2092"/>
      <c r="B22" s="2099" t="s">
        <v>1813</v>
      </c>
      <c r="C22" s="2095" t="s">
        <v>1814</v>
      </c>
      <c r="D22" s="2023"/>
      <c r="E22" s="2023"/>
      <c r="F22" s="2100"/>
      <c r="G22" s="2039"/>
      <c r="H22" s="2039"/>
      <c r="I22" s="2039"/>
      <c r="J22" s="2039"/>
      <c r="K22" s="3060"/>
      <c r="L22" s="748" t="str">
        <f>IF(E19="否","",IF('结果表-车库'!D36="同一抵押权人同一抵押物续贷","由于本次评估为同一抵押权人的续贷房地产抵押估价，故未将已抵押担保的债权数额（"&amp;C26&amp;"）作为法定优先受偿款予以扣减。",IF('结果表-车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1815</v>
      </c>
      <c r="B23" s="183" t="s">
        <v>1816</v>
      </c>
      <c r="C23" s="2102"/>
      <c r="D23" s="2103" t="s">
        <v>1816</v>
      </c>
      <c r="E23" s="2104"/>
      <c r="F23" s="2100"/>
      <c r="G23" s="2039"/>
      <c r="H23" s="2039"/>
      <c r="I23" s="2039"/>
      <c r="J23" s="2039"/>
      <c r="K23" s="2105"/>
      <c r="L23" s="748"/>
      <c r="M23" s="2025"/>
      <c r="N23" s="2080"/>
      <c r="O23" s="2079"/>
      <c r="P23" s="2080"/>
      <c r="Q23" s="2026"/>
      <c r="R23" s="2026"/>
      <c r="S23" s="2026"/>
      <c r="T23" s="2026"/>
      <c r="U23" s="2026"/>
      <c r="V23" s="2026"/>
    </row>
    <row r="24" spans="1:22" ht="18" customHeight="1">
      <c r="A24" s="2106"/>
      <c r="B24" s="183" t="s">
        <v>1817</v>
      </c>
      <c r="C24" s="2107"/>
      <c r="D24" s="2101" t="s">
        <v>1817</v>
      </c>
      <c r="E24" s="2108"/>
      <c r="F24" s="2100"/>
      <c r="G24" s="2039"/>
      <c r="H24" s="2039"/>
      <c r="I24" s="2039"/>
      <c r="J24" s="2039"/>
      <c r="K24" s="2105"/>
      <c r="L24" s="748"/>
      <c r="M24" s="2025"/>
      <c r="N24" s="2080"/>
      <c r="O24" s="2079"/>
      <c r="P24" s="2080"/>
      <c r="Q24" s="2026"/>
      <c r="R24" s="2026"/>
      <c r="S24" s="2026"/>
      <c r="T24" s="2026"/>
      <c r="U24" s="2026"/>
      <c r="V24" s="2026"/>
    </row>
    <row r="25" spans="1:22" ht="18" customHeight="1">
      <c r="A25" s="2106"/>
      <c r="B25" s="183" t="s">
        <v>1818</v>
      </c>
      <c r="C25" s="2107"/>
      <c r="D25" s="2101" t="s">
        <v>1818</v>
      </c>
      <c r="E25" s="2108"/>
      <c r="F25" s="2100"/>
      <c r="G25" s="2039"/>
      <c r="H25" s="2039"/>
      <c r="I25" s="2039"/>
      <c r="J25" s="2039"/>
      <c r="K25" s="2049"/>
      <c r="L25" s="2025"/>
      <c r="M25" s="2025"/>
      <c r="N25" s="2080"/>
      <c r="O25" s="2079"/>
      <c r="P25" s="2080"/>
      <c r="Q25" s="2026"/>
      <c r="R25" s="2026"/>
      <c r="S25" s="2026"/>
      <c r="T25" s="2026"/>
      <c r="U25" s="2026"/>
      <c r="V25" s="2026"/>
    </row>
    <row r="26" spans="1:22" ht="18" customHeight="1" thickBot="1">
      <c r="A26" s="2109"/>
      <c r="B26" s="2110" t="s">
        <v>1819</v>
      </c>
      <c r="C26" s="2111"/>
      <c r="D26" s="2112" t="s">
        <v>1820</v>
      </c>
      <c r="E26" s="2113"/>
      <c r="F26" s="2114"/>
      <c r="G26" s="2057"/>
      <c r="H26" s="2057"/>
      <c r="I26" s="2057"/>
      <c r="J26" s="2039"/>
      <c r="K26" s="2049"/>
      <c r="L26" s="2025"/>
      <c r="M26" s="2025"/>
      <c r="N26" s="2080"/>
      <c r="O26" s="2079"/>
      <c r="P26" s="2080"/>
      <c r="Q26" s="2026"/>
      <c r="R26" s="2026"/>
      <c r="S26" s="2026"/>
      <c r="T26" s="2026"/>
      <c r="U26" s="2026"/>
      <c r="V26" s="2026"/>
    </row>
    <row r="27" spans="1:22" ht="18" customHeight="1" thickTop="1">
      <c r="A27" s="3048" t="s">
        <v>1821</v>
      </c>
      <c r="B27" s="2058" t="s">
        <v>1822</v>
      </c>
      <c r="C27" s="2115" t="s">
        <v>3055</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48"/>
      <c r="B28" s="2032" t="s">
        <v>1823</v>
      </c>
      <c r="C28" s="2117" t="s">
        <v>3056</v>
      </c>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48"/>
      <c r="B29" s="2032" t="s">
        <v>1824</v>
      </c>
      <c r="C29" s="2120"/>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49"/>
      <c r="B30" s="2032" t="s">
        <v>1825</v>
      </c>
      <c r="C30" s="3050"/>
      <c r="D30" s="3051"/>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52" t="s">
        <v>1826</v>
      </c>
      <c r="B31" s="2122" t="s">
        <v>3057</v>
      </c>
      <c r="C31" s="2123" t="str">
        <f>IF(B31="现房","成新及维护状况正常否",IF(B31="在建","工程状态是否正常",IF(B31="土地","是否闲置","-")))</f>
        <v>成新及维护状况正常否</v>
      </c>
      <c r="D31" s="2124"/>
      <c r="E31" s="2125"/>
      <c r="F31" s="2039"/>
      <c r="G31" s="2039"/>
      <c r="H31" s="2039"/>
      <c r="I31" s="2039"/>
      <c r="J31" s="2039"/>
      <c r="K31" s="2047"/>
      <c r="L31" s="2025"/>
      <c r="M31" s="2025"/>
      <c r="N31" s="2026"/>
      <c r="O31" s="2027"/>
      <c r="P31" s="2026"/>
      <c r="Q31" s="2026"/>
      <c r="R31" s="2026"/>
      <c r="S31" s="2026"/>
      <c r="T31" s="2026"/>
      <c r="U31" s="2026"/>
      <c r="V31" s="2026"/>
    </row>
    <row r="32" spans="1:22" ht="18" customHeight="1">
      <c r="A32" s="3053"/>
      <c r="B32" s="2122"/>
      <c r="C32" s="2123" t="str">
        <f>IF(B32="现房","成新及维护状况是否正常",IF(B32="在建","工程状态是否正常",IF(B32="土地","是否闲置","-")))</f>
        <v>-</v>
      </c>
      <c r="D32" s="2124"/>
      <c r="E32" s="2125"/>
      <c r="F32" s="2039"/>
      <c r="G32" s="2039"/>
      <c r="H32" s="2039"/>
      <c r="I32" s="2039"/>
      <c r="J32" s="2039"/>
      <c r="K32" s="2049"/>
      <c r="L32" s="2025"/>
      <c r="M32" s="2025"/>
      <c r="N32" s="2026"/>
      <c r="O32" s="2027"/>
      <c r="P32" s="2026"/>
      <c r="Q32" s="2026"/>
      <c r="R32" s="2026"/>
      <c r="S32" s="2026"/>
      <c r="T32" s="2026"/>
      <c r="U32" s="2026"/>
      <c r="V32" s="2026"/>
    </row>
    <row r="33" spans="1:22" ht="18" customHeight="1">
      <c r="A33" s="3053"/>
      <c r="B33" s="2126"/>
      <c r="C33" s="2065" t="str">
        <f>IF(B33="现房","成新及维护状况是否正常",IF(B33="在建","工程状态是否正常",IF(B33="土地","是否闲置","-")))</f>
        <v>-</v>
      </c>
      <c r="D33" s="2127"/>
      <c r="E33" s="2128"/>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9"/>
      <c r="C34" s="2129"/>
      <c r="D34" s="2129"/>
      <c r="E34" s="2129"/>
      <c r="F34" s="2129"/>
      <c r="G34" s="2129"/>
      <c r="H34" s="2129"/>
      <c r="I34" s="2039"/>
      <c r="J34" s="2039"/>
      <c r="K34" s="1792">
        <f>COUNTIF(B34:H34,"——")</f>
        <v>0</v>
      </c>
      <c r="L34" s="2070" t="s">
        <v>1828</v>
      </c>
      <c r="M34" s="2070" t="s">
        <v>1829</v>
      </c>
      <c r="N34" s="2070" t="s">
        <v>1830</v>
      </c>
      <c r="O34" s="2070" t="s">
        <v>1831</v>
      </c>
      <c r="P34" s="2070" t="s">
        <v>1832</v>
      </c>
      <c r="Q34" s="2070" t="s">
        <v>1833</v>
      </c>
      <c r="R34" s="2070" t="s">
        <v>1834</v>
      </c>
      <c r="S34" s="3047" t="s">
        <v>1835</v>
      </c>
      <c r="T34" s="2130" t="str">
        <f>NUMBERSTRING(7-K34,1)&amp;"通"</f>
        <v>七通</v>
      </c>
      <c r="U34" s="2026"/>
      <c r="V34" s="2026"/>
    </row>
    <row r="35" spans="1:22" ht="18" customHeight="1">
      <c r="A35" s="2131"/>
      <c r="B35" s="3054" t="s">
        <v>1836</v>
      </c>
      <c r="C35" s="3054"/>
      <c r="D35" s="3054"/>
      <c r="E35" s="3054"/>
      <c r="F35" s="2132">
        <f>C10</f>
        <v>0</v>
      </c>
      <c r="G35" s="2039"/>
      <c r="H35" s="2039"/>
      <c r="I35" s="2039"/>
      <c r="J35" s="2039"/>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7"/>
      <c r="T35" s="48" t="str">
        <f>IF(T34="一通",L35,IF(T34="二通",M35,IF(T34="三通",N35,IF(T34="四通",O35,IF(T34="五通",P35,IF(T34="六通",Q35,R35))))))</f>
        <v>、、、、、、</v>
      </c>
      <c r="U35" s="2026"/>
      <c r="V35" s="2026"/>
    </row>
    <row r="36" spans="1:22" ht="18" customHeight="1">
      <c r="A36" s="2133"/>
      <c r="B36" s="2132" t="s">
        <v>1837</v>
      </c>
      <c r="C36" s="2132" t="s">
        <v>1838</v>
      </c>
      <c r="D36" s="2132" t="s">
        <v>1839</v>
      </c>
      <c r="E36" s="2132" t="s">
        <v>1840</v>
      </c>
      <c r="F36" s="2134"/>
      <c r="G36" s="2039"/>
      <c r="H36" s="2039"/>
      <c r="I36" s="2039"/>
      <c r="J36" s="2039"/>
      <c r="K36" s="2049"/>
      <c r="L36" s="2025"/>
      <c r="M36" s="2025"/>
      <c r="N36" s="2026"/>
      <c r="O36" s="2027"/>
      <c r="P36" s="2026"/>
      <c r="Q36" s="2026"/>
      <c r="R36" s="2026"/>
      <c r="S36" s="2026"/>
      <c r="T36" s="2026"/>
      <c r="U36" s="2026"/>
      <c r="V36" s="2026"/>
    </row>
    <row r="37" spans="1:22" ht="18" customHeight="1">
      <c r="A37" s="2135" t="s">
        <v>1841</v>
      </c>
      <c r="B37" s="2136"/>
      <c r="C37" s="2136"/>
      <c r="D37" s="2136"/>
      <c r="E37" s="2136"/>
      <c r="F37" s="2134"/>
      <c r="G37" s="2039"/>
      <c r="H37" s="2039"/>
      <c r="I37" s="2039"/>
      <c r="J37" s="2039"/>
      <c r="K37" s="2049"/>
      <c r="L37" s="2025"/>
      <c r="M37" s="2025"/>
      <c r="N37" s="2026"/>
      <c r="O37" s="2027"/>
      <c r="P37" s="2026"/>
      <c r="Q37" s="2026"/>
      <c r="R37" s="2026"/>
      <c r="S37" s="2026"/>
      <c r="T37" s="2026"/>
      <c r="U37" s="2026"/>
      <c r="V37" s="2026"/>
    </row>
    <row r="38" spans="1:22" ht="18" customHeight="1" thickBot="1">
      <c r="A38" s="2137" t="s">
        <v>1842</v>
      </c>
      <c r="B38" s="2138"/>
      <c r="C38" s="2138"/>
      <c r="D38" s="2138"/>
      <c r="E38" s="2138"/>
      <c r="F38" s="2139"/>
      <c r="G38" s="2057"/>
      <c r="H38" s="2057"/>
      <c r="I38" s="2057"/>
      <c r="J38" s="2039"/>
      <c r="K38" s="2049"/>
      <c r="L38" s="2025"/>
      <c r="M38" s="2025"/>
      <c r="N38" s="2026"/>
      <c r="O38" s="2027"/>
      <c r="P38" s="2026"/>
      <c r="Q38" s="2026"/>
      <c r="R38" s="2026"/>
      <c r="S38" s="2026"/>
      <c r="T38" s="2026"/>
      <c r="U38" s="2026"/>
      <c r="V38" s="2026"/>
    </row>
    <row r="39" spans="1:22" s="2144" customFormat="1" ht="18" customHeight="1" thickTop="1" thickBot="1">
      <c r="A39" s="2140" t="s">
        <v>1843</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6"/>
      <c r="L40" s="2079"/>
      <c r="M40" s="2079"/>
      <c r="N40" s="2080"/>
      <c r="O40" s="2079"/>
      <c r="P40" s="2026"/>
      <c r="Q40" s="2026"/>
      <c r="R40" s="2026"/>
      <c r="S40" s="2026"/>
      <c r="T40" s="2026"/>
      <c r="U40" s="2026"/>
      <c r="V40" s="2026"/>
    </row>
    <row r="41" spans="1:22" ht="18" customHeight="1">
      <c r="A41" s="8" t="s">
        <v>1844</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1845</v>
      </c>
      <c r="B42" s="1792" t="s">
        <v>1846</v>
      </c>
      <c r="C42" s="1792" t="s">
        <v>1847</v>
      </c>
      <c r="D42" s="1792" t="s">
        <v>1848</v>
      </c>
      <c r="E42" s="1792" t="s">
        <v>1849</v>
      </c>
      <c r="F42" s="1792" t="s">
        <v>1850</v>
      </c>
      <c r="G42" s="1792" t="s">
        <v>1851</v>
      </c>
      <c r="H42" s="1792" t="s">
        <v>1852</v>
      </c>
      <c r="I42" s="1792" t="s">
        <v>1853</v>
      </c>
      <c r="J42" s="2148" t="s">
        <v>1854</v>
      </c>
      <c r="K42" s="2071" t="s">
        <v>1855</v>
      </c>
      <c r="L42" s="2071" t="s">
        <v>1856</v>
      </c>
      <c r="M42" s="2071" t="s">
        <v>1857</v>
      </c>
      <c r="N42" s="1792" t="s">
        <v>1858</v>
      </c>
      <c r="O42" s="1792" t="s">
        <v>1859</v>
      </c>
      <c r="P42" s="1792" t="s">
        <v>1860</v>
      </c>
      <c r="Q42" s="2070" t="s">
        <v>1861</v>
      </c>
      <c r="R42" s="2070" t="s">
        <v>1862</v>
      </c>
      <c r="S42" s="2026"/>
      <c r="T42" s="2026"/>
      <c r="U42" s="2026"/>
      <c r="V42" s="2026"/>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1865</v>
      </c>
      <c r="B2" s="11" t="s">
        <v>1866</v>
      </c>
      <c r="C2" s="11" t="s">
        <v>1867</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1868</v>
      </c>
      <c r="AZ2" s="1268" t="s">
        <v>1869</v>
      </c>
      <c r="BA2" s="11" t="s">
        <v>1870</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61370.239999998797</v>
      </c>
      <c r="C3" s="2164" t="s">
        <v>1871</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1872</v>
      </c>
      <c r="B5" s="1800"/>
      <c r="C5" s="1800"/>
      <c r="D5" s="1803"/>
      <c r="E5" s="16" t="s">
        <v>1</v>
      </c>
      <c r="F5" s="16">
        <f>SUM(F13:F587)</f>
        <v>0</v>
      </c>
      <c r="G5" s="16">
        <f>SUM(G13:G587)</f>
        <v>61370.239999998797</v>
      </c>
      <c r="H5" s="16">
        <f t="shared" ref="H5:AT5" si="0">SUM(H13:H656)</f>
        <v>61370.239999998797</v>
      </c>
      <c r="I5" s="16">
        <f t="shared" si="0"/>
        <v>5743.1999999999989</v>
      </c>
      <c r="J5" s="16">
        <f t="shared" si="0"/>
        <v>0</v>
      </c>
      <c r="K5" s="16">
        <f t="shared" si="0"/>
        <v>5437.64</v>
      </c>
      <c r="L5" s="16">
        <f t="shared" si="0"/>
        <v>0</v>
      </c>
      <c r="M5" s="16">
        <f t="shared" si="0"/>
        <v>50189.399999998794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61370.239999998797</v>
      </c>
      <c r="BA5" s="18">
        <f t="shared" si="1"/>
        <v>61370.239999998797</v>
      </c>
      <c r="BB5" s="18">
        <f t="shared" si="1"/>
        <v>5743.1999999999989</v>
      </c>
      <c r="BC5" s="18">
        <f t="shared" si="1"/>
        <v>5437.64</v>
      </c>
      <c r="BD5" s="18">
        <f t="shared" si="1"/>
        <v>50189.399999998794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1873</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1873</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1874</v>
      </c>
      <c r="B7" s="2105" t="s">
        <v>1875</v>
      </c>
      <c r="C7" s="2105" t="s">
        <v>1876</v>
      </c>
      <c r="D7" s="2105" t="s">
        <v>1877</v>
      </c>
      <c r="E7" s="2105" t="s">
        <v>1878</v>
      </c>
      <c r="F7" s="2105" t="s">
        <v>1879</v>
      </c>
      <c r="G7" s="2174" t="s">
        <v>1880</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3"/>
      <c r="AU7" s="2175" t="s">
        <v>1881</v>
      </c>
      <c r="AV7" s="23" t="s">
        <v>1882</v>
      </c>
      <c r="AW7" s="2162" t="s">
        <v>1883</v>
      </c>
      <c r="AX7" s="23" t="s">
        <v>1876</v>
      </c>
      <c r="AY7" s="1800" t="s">
        <v>1884</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1885</v>
      </c>
      <c r="H8" s="2180" t="s">
        <v>1886</v>
      </c>
      <c r="I8" s="2181"/>
      <c r="J8" s="1815"/>
      <c r="K8" s="1815"/>
      <c r="L8" s="1815"/>
      <c r="M8" s="1815"/>
      <c r="N8" s="1815"/>
      <c r="O8" s="1815"/>
      <c r="P8" s="1815"/>
      <c r="Q8" s="1815"/>
      <c r="R8" s="1815"/>
      <c r="S8" s="1815"/>
      <c r="T8" s="1815"/>
      <c r="U8" s="1815"/>
      <c r="V8" s="2182"/>
      <c r="W8" s="1815"/>
      <c r="X8" s="1815"/>
      <c r="Y8" s="1815"/>
      <c r="Z8" s="1815"/>
      <c r="AA8" s="2182"/>
      <c r="AB8" s="2183"/>
      <c r="AC8" s="979" t="s">
        <v>1887</v>
      </c>
      <c r="AD8" s="2184"/>
      <c r="AE8" s="2176"/>
      <c r="AF8" s="1815"/>
      <c r="AG8" s="1815"/>
      <c r="AH8" s="1815"/>
      <c r="AI8" s="1815"/>
      <c r="AJ8" s="1815"/>
      <c r="AK8" s="1815"/>
      <c r="AL8" s="1815"/>
      <c r="AM8" s="1815"/>
      <c r="AN8" s="1815"/>
      <c r="AO8" s="1815"/>
      <c r="AP8" s="1815"/>
      <c r="AQ8" s="1815"/>
      <c r="AR8" s="1815"/>
      <c r="AS8" s="1815"/>
      <c r="AT8" s="1290" t="s">
        <v>1888</v>
      </c>
      <c r="AU8" s="2178" t="s">
        <v>1889</v>
      </c>
      <c r="AV8" s="1290"/>
      <c r="AW8" s="2161"/>
      <c r="AX8" s="1290"/>
      <c r="AY8" s="2162"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5" customFormat="1" ht="12.75">
      <c r="A9" s="2178"/>
      <c r="B9" s="2178"/>
      <c r="C9" s="2178"/>
      <c r="D9" s="2178"/>
      <c r="E9" s="2178"/>
      <c r="F9" s="2178"/>
      <c r="G9" s="1290"/>
      <c r="H9" s="2186" t="s">
        <v>1892</v>
      </c>
      <c r="I9" s="2187" t="s">
        <v>3059</v>
      </c>
      <c r="J9" s="979"/>
      <c r="K9" s="2187" t="s">
        <v>3058</v>
      </c>
      <c r="L9" s="979"/>
      <c r="M9" s="2187" t="s">
        <v>3058</v>
      </c>
      <c r="N9" s="979"/>
      <c r="O9" s="2187"/>
      <c r="P9" s="979"/>
      <c r="Q9" s="2187"/>
      <c r="R9" s="979"/>
      <c r="S9" s="2187"/>
      <c r="T9" s="979"/>
      <c r="U9" s="2187"/>
      <c r="V9" s="979"/>
      <c r="W9" s="2187"/>
      <c r="X9" s="2188"/>
      <c r="Y9" s="2187"/>
      <c r="Z9" s="979"/>
      <c r="AA9" s="2187"/>
      <c r="AB9" s="979"/>
      <c r="AC9" s="2179"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9"/>
      <c r="AT9" s="2178"/>
      <c r="AU9" s="2178" t="s">
        <v>1895</v>
      </c>
      <c r="AV9" s="1290"/>
      <c r="AW9" s="2161"/>
      <c r="AX9" s="1290"/>
      <c r="AY9" s="28"/>
      <c r="AZ9" s="28" t="s">
        <v>1885</v>
      </c>
      <c r="BA9" s="2190" t="s">
        <v>1896</v>
      </c>
      <c r="BB9" s="2191"/>
      <c r="BC9" s="1336"/>
      <c r="BD9" s="1336"/>
      <c r="BE9" s="1336"/>
      <c r="BF9" s="1336"/>
      <c r="BG9" s="1336"/>
      <c r="BH9" s="1336"/>
      <c r="BI9" s="1336"/>
      <c r="BJ9" s="1336"/>
      <c r="BK9" s="2192"/>
      <c r="BL9" s="15" t="s">
        <v>1897</v>
      </c>
      <c r="BM9" s="1815"/>
      <c r="BN9" s="2181"/>
      <c r="BO9" s="1815"/>
      <c r="BP9" s="1815"/>
      <c r="BQ9" s="1815"/>
      <c r="BR9" s="1815"/>
      <c r="BS9" s="1815"/>
      <c r="BT9" s="26"/>
    </row>
    <row r="10" spans="1:72" s="2185" customFormat="1" ht="12.75">
      <c r="A10" s="2178"/>
      <c r="B10" s="2178"/>
      <c r="C10" s="2178"/>
      <c r="D10" s="2178"/>
      <c r="E10" s="2178"/>
      <c r="F10" s="2178"/>
      <c r="G10" s="1290"/>
      <c r="H10" s="28"/>
      <c r="I10" s="2187" t="s">
        <v>27</v>
      </c>
      <c r="J10" s="979"/>
      <c r="K10" s="2193" t="s">
        <v>1373</v>
      </c>
      <c r="L10" s="979"/>
      <c r="M10" s="2193" t="s">
        <v>3061</v>
      </c>
      <c r="N10" s="979"/>
      <c r="O10" s="2193"/>
      <c r="P10" s="979"/>
      <c r="Q10" s="2193"/>
      <c r="R10" s="979"/>
      <c r="S10" s="2193"/>
      <c r="T10" s="979"/>
      <c r="U10" s="2193"/>
      <c r="V10" s="979"/>
      <c r="W10" s="2193"/>
      <c r="X10" s="979"/>
      <c r="Y10" s="2193"/>
      <c r="Z10" s="979"/>
      <c r="AA10" s="2193"/>
      <c r="AB10" s="979"/>
      <c r="AC10" s="1290"/>
      <c r="AD10" s="15" t="s">
        <v>1898</v>
      </c>
      <c r="AE10" s="2194"/>
      <c r="AF10" s="15" t="s">
        <v>1898</v>
      </c>
      <c r="AG10" s="2194"/>
      <c r="AH10" s="15" t="s">
        <v>1899</v>
      </c>
      <c r="AI10" s="2194"/>
      <c r="AJ10" s="15" t="s">
        <v>1899</v>
      </c>
      <c r="AK10" s="2194"/>
      <c r="AL10" s="15" t="s">
        <v>1900</v>
      </c>
      <c r="AM10" s="1296"/>
      <c r="AN10" s="15" t="s">
        <v>1900</v>
      </c>
      <c r="AO10" s="1296"/>
      <c r="AP10" s="15" t="s">
        <v>1901</v>
      </c>
      <c r="AQ10" s="1296"/>
      <c r="AR10" s="15" t="s">
        <v>1901</v>
      </c>
      <c r="AS10" s="1296"/>
      <c r="AT10" s="2178"/>
      <c r="AU10" s="2178"/>
      <c r="AV10" s="1290"/>
      <c r="AW10" s="2161"/>
      <c r="AX10" s="1290"/>
      <c r="AY10" s="28"/>
      <c r="AZ10" s="28"/>
      <c r="BA10" s="2195" t="s">
        <v>1892</v>
      </c>
      <c r="BB10" s="2196" t="str">
        <f>I9</f>
        <v>地上</v>
      </c>
      <c r="BC10" s="29" t="str">
        <f>K9</f>
        <v>地下</v>
      </c>
      <c r="BD10" s="29" t="str">
        <f>M9</f>
        <v>地下</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7" t="str">
        <f>AR9</f>
        <v>地下</v>
      </c>
    </row>
    <row r="11" spans="1:72" s="2185" customFormat="1" ht="12.75">
      <c r="A11" s="2178"/>
      <c r="B11" s="2178"/>
      <c r="C11" s="2178"/>
      <c r="D11" s="2178"/>
      <c r="E11" s="2178"/>
      <c r="F11" s="2178"/>
      <c r="G11" s="1290"/>
      <c r="H11" s="2195"/>
      <c r="I11" s="2198" t="s">
        <v>3062</v>
      </c>
      <c r="J11" s="2199"/>
      <c r="K11" s="2198" t="s">
        <v>3063</v>
      </c>
      <c r="L11" s="2199"/>
      <c r="M11" s="2198" t="s">
        <v>3060</v>
      </c>
      <c r="N11" s="2199"/>
      <c r="O11" s="2198"/>
      <c r="P11" s="2199"/>
      <c r="Q11" s="2198"/>
      <c r="R11" s="2199"/>
      <c r="S11" s="2198"/>
      <c r="T11" s="2199"/>
      <c r="U11" s="2198"/>
      <c r="V11" s="2199"/>
      <c r="W11" s="2198"/>
      <c r="X11" s="2199"/>
      <c r="Y11" s="2198"/>
      <c r="Z11" s="2199"/>
      <c r="AA11" s="2198"/>
      <c r="AB11" s="2199"/>
      <c r="AC11" s="1290"/>
      <c r="AD11" s="2200" t="s">
        <v>1902</v>
      </c>
      <c r="AE11" s="1816"/>
      <c r="AF11" s="2200" t="s">
        <v>1902</v>
      </c>
      <c r="AG11" s="1816"/>
      <c r="AH11" s="2200" t="s">
        <v>1903</v>
      </c>
      <c r="AI11" s="2201"/>
      <c r="AJ11" s="2200" t="s">
        <v>1903</v>
      </c>
      <c r="AK11" s="1816"/>
      <c r="AL11" s="1814"/>
      <c r="AM11" s="1816"/>
      <c r="AN11" s="1814"/>
      <c r="AO11" s="1816"/>
      <c r="AP11" s="1814"/>
      <c r="AQ11" s="1816"/>
      <c r="AR11" s="1814"/>
      <c r="AS11" s="1816"/>
      <c r="AT11" s="2161"/>
      <c r="AU11" s="2178"/>
      <c r="AV11" s="1290"/>
      <c r="AW11" s="2161"/>
      <c r="AX11" s="1290"/>
      <c r="AY11" s="28"/>
      <c r="AZ11" s="28"/>
      <c r="BA11" s="28"/>
      <c r="BB11" s="2183" t="str">
        <f>I10</f>
        <v>办公</v>
      </c>
      <c r="BC11" s="2183" t="str">
        <f>K10</f>
        <v>商业</v>
      </c>
      <c r="BD11" s="2183" t="str">
        <f>M10</f>
        <v>车库—商业</v>
      </c>
      <c r="BE11" s="2183">
        <f>O10</f>
        <v>0</v>
      </c>
      <c r="BF11" s="2183">
        <f>Q10</f>
        <v>0</v>
      </c>
      <c r="BG11" s="2183">
        <f>S10</f>
        <v>0</v>
      </c>
      <c r="BH11" s="2183">
        <f>U10</f>
        <v>0</v>
      </c>
      <c r="BI11" s="2183">
        <f>W10</f>
        <v>0</v>
      </c>
      <c r="BJ11" s="2183">
        <f>Y10</f>
        <v>0</v>
      </c>
      <c r="BK11" s="2183">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5"/>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3" t="s">
        <v>1905</v>
      </c>
      <c r="AT12" s="2206"/>
      <c r="AU12" s="2203"/>
      <c r="AV12" s="31"/>
      <c r="AW12" s="2162"/>
      <c r="AX12" s="31"/>
      <c r="AY12" s="2207"/>
      <c r="AZ12" s="28"/>
      <c r="BA12" s="2195"/>
      <c r="BB12" s="24" t="str">
        <f>I11</f>
        <v>办公楼</v>
      </c>
      <c r="BC12" s="2208" t="str">
        <f>K11</f>
        <v>下沉商业广场</v>
      </c>
      <c r="BD12" s="2208" t="str">
        <f>M11</f>
        <v>车库</v>
      </c>
      <c r="BE12" s="2183">
        <f>O11</f>
        <v>0</v>
      </c>
      <c r="BF12" s="2183">
        <f>Q11</f>
        <v>0</v>
      </c>
      <c r="BG12" s="2183">
        <f>S11</f>
        <v>0</v>
      </c>
      <c r="BH12" s="2183">
        <f>U11</f>
        <v>0</v>
      </c>
      <c r="BI12" s="2183">
        <f>W11</f>
        <v>0</v>
      </c>
      <c r="BJ12" s="2183">
        <f>Y11</f>
        <v>0</v>
      </c>
      <c r="BK12" s="2183">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t="s">
        <v>3065</v>
      </c>
      <c r="D13" s="2209" t="s">
        <v>3066</v>
      </c>
      <c r="E13" s="16">
        <f>IF($C$3="是",ROUND($A$3*G13/$B$3,2),ROUND($A$3*(G13-AT13)/$B$3,2))</f>
        <v>0</v>
      </c>
      <c r="F13" s="32"/>
      <c r="G13" s="33">
        <f>H13+AC13+AT13</f>
        <v>47.96</v>
      </c>
      <c r="H13" s="20">
        <f>SUMIF(I$12:AB$12,"总值",I13:AB13)</f>
        <v>47.96</v>
      </c>
      <c r="I13" s="2210">
        <f>抵押物清单!G3</f>
        <v>47.96</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G15-101</v>
      </c>
      <c r="AY13" s="1803">
        <f>ROUND($AY$6*AZ13/$AZ$5,2)</f>
        <v>0</v>
      </c>
      <c r="AZ13" s="16">
        <f>BA13+BL13</f>
        <v>47.96</v>
      </c>
      <c r="BA13" s="16">
        <f>SUM(BB13:BK13)</f>
        <v>47.96</v>
      </c>
      <c r="BB13" s="16">
        <f>IF($D13="是",I13-J13,0)</f>
        <v>47.96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t="s">
        <v>3067</v>
      </c>
      <c r="D14" s="2209" t="s">
        <v>3066</v>
      </c>
      <c r="E14" s="16">
        <f>IF($C$3="是",ROUND($A$3*G14/$B$3,2),ROUND($A$3*(G14-AT14)/$B$3,2))</f>
        <v>0</v>
      </c>
      <c r="F14" s="32"/>
      <c r="G14" s="33">
        <f>H14+AC14+AT14</f>
        <v>5695.2399999999989</v>
      </c>
      <c r="H14" s="20">
        <f>SUMIF(I$12:AB$12,"总值",I14:AB14)</f>
        <v>5695.2399999999989</v>
      </c>
      <c r="I14" s="2210">
        <f>SUM(抵押物清单!G3:G98)-I13</f>
        <v>5695.2399999999989</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G15其他</v>
      </c>
      <c r="AY14" s="1803">
        <f>ROUND($AY$6*AZ14/$AZ$5,2)</f>
        <v>0</v>
      </c>
      <c r="AZ14" s="16">
        <f>BA14+BL14</f>
        <v>5695.2399999999989</v>
      </c>
      <c r="BA14" s="16">
        <f>SUM(BB14:BK14)</f>
        <v>5695.2399999999989</v>
      </c>
      <c r="BB14" s="16">
        <f>IF($D14="是",I14-J14,0)</f>
        <v>5695.2399999999989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25.5">
      <c r="A15" s="1270"/>
      <c r="B15" s="1270"/>
      <c r="C15" s="2942" t="s">
        <v>3068</v>
      </c>
      <c r="D15" s="2209" t="s">
        <v>3066</v>
      </c>
      <c r="E15" s="16">
        <f>IF($C$3="是",ROUND($A$3*G15/$B$3,2),ROUND($A$3*(G15-AT15)/$B$3,2))</f>
        <v>0</v>
      </c>
      <c r="F15" s="32"/>
      <c r="G15" s="33">
        <f>H15+AC15+AT15</f>
        <v>96.71</v>
      </c>
      <c r="H15" s="20">
        <f>SUMIF(I$12:AB$12,"总值",I15:AB15)</f>
        <v>96.71</v>
      </c>
      <c r="I15" s="2210"/>
      <c r="J15" s="2210"/>
      <c r="K15" s="2210">
        <f>抵押物清单!G100</f>
        <v>96.71</v>
      </c>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北区商业-122</v>
      </c>
      <c r="AY15" s="1803">
        <f>ROUND($AY$6*AZ15/$AZ$5,2)</f>
        <v>0</v>
      </c>
      <c r="AZ15" s="16">
        <f>BA15+BL15</f>
        <v>96.71</v>
      </c>
      <c r="BA15" s="16">
        <f>SUM(BB15:BK15)</f>
        <v>96.71</v>
      </c>
      <c r="BB15" s="16">
        <f>IF($D15="是",I15-J15,0)</f>
        <v>0</v>
      </c>
      <c r="BC15" s="16">
        <f>IF($D15="是",K15-L15,0)</f>
        <v>96.71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942" t="s">
        <v>3069</v>
      </c>
      <c r="D16" s="2209" t="s">
        <v>3066</v>
      </c>
      <c r="E16" s="16">
        <f>IF($C$3="是",ROUND($A$3*G16/$B$3,2),ROUND($A$3*(G16-AT16)/$B$3,2))</f>
        <v>0</v>
      </c>
      <c r="F16" s="32"/>
      <c r="G16" s="33">
        <f>H16+AC16+AT16</f>
        <v>5340.93</v>
      </c>
      <c r="H16" s="20">
        <f>SUMIF(I$12:AB$12,"总值",I16:AB16)</f>
        <v>5340.93</v>
      </c>
      <c r="I16" s="2210"/>
      <c r="J16" s="2210"/>
      <c r="K16" s="2210">
        <f>SUM(抵押物清单!G99:G180)-K15</f>
        <v>5340.93</v>
      </c>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其他商业</v>
      </c>
      <c r="AY16" s="1803">
        <f>ROUND($AY$6*AZ16/$AZ$5,2)</f>
        <v>0</v>
      </c>
      <c r="AZ16" s="16">
        <f>BA16+BL16</f>
        <v>5340.93</v>
      </c>
      <c r="BA16" s="16">
        <f>SUM(BB16:BK16)</f>
        <v>5340.93</v>
      </c>
      <c r="BB16" s="16">
        <f>IF($D16="是",I16-J16,0)</f>
        <v>0</v>
      </c>
      <c r="BC16" s="16">
        <f>IF($D16="是",K16-L16,0)</f>
        <v>5340.93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942" t="s">
        <v>3070</v>
      </c>
      <c r="D17" s="2209" t="s">
        <v>3066</v>
      </c>
      <c r="E17" s="16">
        <f>IF($C$3="是",ROUND($A$3*G17/$B$3,2),ROUND($A$3*(G17-AT17)/$B$3,2))</f>
        <v>0</v>
      </c>
      <c r="F17" s="32"/>
      <c r="G17" s="33">
        <f>H17+AC17+AT17</f>
        <v>50189.399999998794</v>
      </c>
      <c r="H17" s="20">
        <f>SUMIF(I$12:AB$12,"总值",I17:AB17)</f>
        <v>50189.399999998794</v>
      </c>
      <c r="I17" s="2210"/>
      <c r="J17" s="2210"/>
      <c r="K17" s="2210"/>
      <c r="L17" s="2210"/>
      <c r="M17" s="2210">
        <f>SUM(抵押物清单!G181:G1423)</f>
        <v>50189.399999998794</v>
      </c>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地下车库</v>
      </c>
      <c r="AY17" s="1803">
        <f>ROUND($AY$6*AZ17/$AZ$5,2)</f>
        <v>0</v>
      </c>
      <c r="AZ17" s="16">
        <f>BA17+BL17</f>
        <v>50189.399999998794</v>
      </c>
      <c r="BA17" s="16">
        <f>SUM(BB17:BK17)</f>
        <v>50189.399999998794</v>
      </c>
      <c r="BB17" s="16">
        <f>IF($D17="是",I17-J17,0)</f>
        <v>0</v>
      </c>
      <c r="BC17" s="16">
        <f>IF($D17="是",K17-L17,0)</f>
        <v>0</v>
      </c>
      <c r="BD17" s="16">
        <f>IF($D17="是",M17-N17,0)</f>
        <v>50189.399999998794</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1931</v>
      </c>
      <c r="B1" s="1390"/>
      <c r="C1" s="1390"/>
      <c r="D1" s="1390"/>
      <c r="E1" s="1390"/>
      <c r="F1" s="1390"/>
      <c r="G1" s="1390"/>
      <c r="H1" s="1390"/>
      <c r="I1" s="1390"/>
      <c r="J1" s="1390"/>
      <c r="K1" s="1390"/>
      <c r="L1" s="1390"/>
      <c r="M1" s="1390"/>
      <c r="N1" s="1390"/>
      <c r="O1" s="1390"/>
      <c r="P1" s="1390"/>
    </row>
    <row r="2" spans="1:16" ht="15">
      <c r="A2" s="3088" t="s">
        <v>1932</v>
      </c>
      <c r="B2" s="3088"/>
      <c r="C2" s="3088"/>
      <c r="D2" s="965" t="s">
        <v>1908</v>
      </c>
      <c r="E2" s="2223" t="s">
        <v>1909</v>
      </c>
      <c r="F2" s="1390"/>
      <c r="G2" s="2224"/>
      <c r="H2" s="2225"/>
      <c r="I2" s="2226" t="s">
        <v>1933</v>
      </c>
      <c r="J2" s="1390"/>
      <c r="K2" s="1390"/>
      <c r="L2" s="1390"/>
      <c r="M2" s="1390"/>
      <c r="N2" s="1425"/>
      <c r="O2" s="1390"/>
      <c r="P2" s="1390"/>
    </row>
    <row r="3" spans="1:16" ht="15.75" thickBot="1">
      <c r="A3" s="3089" t="s">
        <v>1906</v>
      </c>
      <c r="B3" s="3089"/>
      <c r="C3" s="3089"/>
      <c r="D3" s="46">
        <f>'数据-基础表'!AY6</f>
        <v>0</v>
      </c>
      <c r="E3" s="46">
        <f>'数据-基础表'!AZ5</f>
        <v>61370.239999998797</v>
      </c>
      <c r="F3" s="1390"/>
      <c r="G3" s="1397"/>
      <c r="H3" s="1245" t="s">
        <v>1907</v>
      </c>
      <c r="I3" s="55" t="e">
        <f>ROUND('数据-基础表'!B3/'数据-基础表'!A3,2)</f>
        <v>#DIV/0!</v>
      </c>
      <c r="J3" s="1390"/>
      <c r="K3" s="1390"/>
      <c r="L3" s="1390"/>
      <c r="M3" s="1390"/>
      <c r="N3" s="1425"/>
      <c r="O3" s="1390"/>
      <c r="P3" s="1390"/>
    </row>
    <row r="4" spans="1:16" ht="15">
      <c r="A4" s="3090"/>
      <c r="B4" s="3091"/>
      <c r="C4" s="3092"/>
      <c r="D4" s="2227" t="s">
        <v>1908</v>
      </c>
      <c r="E4" s="2228" t="s">
        <v>1909</v>
      </c>
      <c r="F4" s="1390"/>
      <c r="G4" s="2229" t="s">
        <v>1934</v>
      </c>
      <c r="H4" s="1245" t="s">
        <v>1914</v>
      </c>
      <c r="I4" s="55" t="e">
        <f>ROUND(SUMIF('数据-基础表'!I9:AS9,"地上",'数据-基础表'!I5:AS5)/'数据-基础表'!A3,2)</f>
        <v>#DIV/0!</v>
      </c>
      <c r="J4" s="1390"/>
      <c r="K4" s="1390"/>
      <c r="L4" s="1390"/>
      <c r="M4" s="1390"/>
      <c r="N4" s="1425"/>
      <c r="O4" s="1390"/>
      <c r="P4" s="1390"/>
    </row>
    <row r="5" spans="1:16">
      <c r="A5" s="47" t="s">
        <v>1910</v>
      </c>
      <c r="B5" s="3093" t="s">
        <v>1911</v>
      </c>
      <c r="C5" s="3093"/>
      <c r="D5" s="48">
        <f>ROUND($D$3*E5/$E$3,2)</f>
        <v>0</v>
      </c>
      <c r="E5" s="49">
        <f>SUMIF('数据-基础表'!$11:$11,"住宅",'数据-基础表'!$5:$5)</f>
        <v>0</v>
      </c>
      <c r="F5" s="1390"/>
      <c r="G5" s="1397"/>
      <c r="H5" s="1245" t="s">
        <v>1907</v>
      </c>
      <c r="I5" s="55" t="e">
        <f>ROUND(E31/D31,2)</f>
        <v>#DIV/0!</v>
      </c>
      <c r="J5" s="1390"/>
      <c r="K5" s="1390"/>
      <c r="L5" s="1390"/>
      <c r="M5" s="1390"/>
      <c r="N5" s="1390"/>
      <c r="O5" s="1390"/>
      <c r="P5" s="1390"/>
    </row>
    <row r="6" spans="1:16" ht="15" thickBot="1">
      <c r="A6" s="2230"/>
      <c r="B6" s="3093" t="s">
        <v>1912</v>
      </c>
      <c r="C6" s="3093"/>
      <c r="D6" s="48">
        <f>ROUND($D$3*E6/$E$3,2)</f>
        <v>0</v>
      </c>
      <c r="E6" s="49">
        <f>E3-E5</f>
        <v>61370.239999998797</v>
      </c>
      <c r="F6" s="1390"/>
      <c r="G6" s="2231" t="s">
        <v>1913</v>
      </c>
      <c r="H6" s="1397" t="s">
        <v>1914</v>
      </c>
      <c r="I6" s="937" t="e">
        <f>ROUND(F31/D31,2)</f>
        <v>#DIV/0!</v>
      </c>
      <c r="J6" s="1390"/>
      <c r="K6" s="1390"/>
      <c r="L6" s="1390"/>
      <c r="M6" s="1390"/>
      <c r="N6" s="1390"/>
      <c r="O6" s="1390"/>
      <c r="P6" s="1390"/>
    </row>
    <row r="7" spans="1:16" ht="15">
      <c r="A7" s="3085"/>
      <c r="B7" s="3086"/>
      <c r="C7" s="3087"/>
      <c r="D7" s="2227" t="s">
        <v>1908</v>
      </c>
      <c r="E7" s="2232" t="s">
        <v>1915</v>
      </c>
      <c r="F7" s="1390"/>
      <c r="G7" s="2224" t="s">
        <v>1916</v>
      </c>
      <c r="H7" s="64"/>
      <c r="I7" s="420"/>
      <c r="J7" s="1390"/>
      <c r="K7" s="1390"/>
      <c r="L7" s="1390"/>
      <c r="M7" s="1390"/>
      <c r="N7" s="1390"/>
      <c r="O7" s="1390"/>
      <c r="P7" s="1390"/>
    </row>
    <row r="8" spans="1:16">
      <c r="A8" s="47" t="s">
        <v>1917</v>
      </c>
      <c r="B8" s="50" t="s">
        <v>1918</v>
      </c>
      <c r="C8" s="48" t="s">
        <v>1919</v>
      </c>
      <c r="D8" s="48">
        <f t="shared" ref="D8:D15" si="0">ROUND($D$3*E8/$E$3,2)</f>
        <v>0</v>
      </c>
      <c r="E8" s="51">
        <f>SUMIF('数据-基础表'!BB10:BK10,"地上",'数据-基础表'!BB5:BK5)</f>
        <v>5743.1999999999989</v>
      </c>
      <c r="F8" s="1390"/>
      <c r="G8" s="2233"/>
      <c r="H8" s="2233"/>
      <c r="I8" s="1390"/>
      <c r="J8" s="1390"/>
      <c r="K8" s="1390"/>
      <c r="L8" s="1390"/>
      <c r="M8" s="1390"/>
      <c r="N8" s="1390"/>
      <c r="O8" s="1390"/>
      <c r="P8" s="1390"/>
    </row>
    <row r="9" spans="1:16">
      <c r="A9" s="2234"/>
      <c r="B9" s="2235"/>
      <c r="C9" s="48" t="s">
        <v>1920</v>
      </c>
      <c r="D9" s="48">
        <f t="shared" si="0"/>
        <v>0</v>
      </c>
      <c r="E9" s="52">
        <v>0</v>
      </c>
      <c r="F9" s="1390"/>
      <c r="G9" s="2233"/>
      <c r="H9" s="2233"/>
      <c r="I9" s="1390"/>
      <c r="J9" s="1390"/>
      <c r="K9" s="1390"/>
      <c r="L9" s="1390"/>
      <c r="M9" s="1390"/>
      <c r="N9" s="1390"/>
      <c r="O9" s="1390"/>
      <c r="P9" s="1390"/>
    </row>
    <row r="10" spans="1:16">
      <c r="A10" s="2234"/>
      <c r="B10" s="2235"/>
      <c r="C10" s="48" t="s">
        <v>1929</v>
      </c>
      <c r="D10" s="48">
        <f t="shared" si="0"/>
        <v>0</v>
      </c>
      <c r="E10" s="51">
        <f>SUMPRODUCT(('数据-基础表'!BB10:BK10="地下")*('数据-基础表'!BB11:BK11="商业")*('数据-基础表'!BB5:BK5))</f>
        <v>5437.64</v>
      </c>
      <c r="F10" s="1390"/>
      <c r="G10" s="2233"/>
      <c r="H10" s="2233"/>
      <c r="I10" s="1390"/>
      <c r="J10" s="1390"/>
      <c r="K10" s="1390"/>
      <c r="L10" s="1390"/>
      <c r="M10" s="1390"/>
      <c r="N10" s="1390"/>
      <c r="O10" s="1390"/>
      <c r="P10" s="1390"/>
    </row>
    <row r="11" spans="1:16">
      <c r="A11" s="2234"/>
      <c r="B11" s="2235"/>
      <c r="C11" s="48" t="s">
        <v>1921</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1922</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1923</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1935</v>
      </c>
      <c r="D14" s="48">
        <f t="shared" si="0"/>
        <v>0</v>
      </c>
      <c r="E14" s="51">
        <f>SUMPRODUCT(('数据-基础表'!BB10:BK10="地下")*('数据-基础表'!BB11:BK11="车库—商业")*('数据-基础表'!BB5:BK5))</f>
        <v>50189.399999998794</v>
      </c>
      <c r="F14" s="1390"/>
      <c r="G14" s="2233"/>
      <c r="H14" s="2233"/>
      <c r="I14" s="1390"/>
      <c r="J14" s="1390"/>
      <c r="K14" s="1390"/>
      <c r="L14" s="1390"/>
      <c r="M14" s="1390"/>
      <c r="N14" s="1390"/>
      <c r="O14" s="1390"/>
      <c r="P14" s="1390"/>
    </row>
    <row r="15" spans="1:16" ht="15" thickBot="1">
      <c r="A15" s="2234"/>
      <c r="B15" s="2235"/>
      <c r="C15" s="48" t="s">
        <v>1930</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1924</v>
      </c>
      <c r="D16" s="50">
        <f>SUM(D8:D15)</f>
        <v>0</v>
      </c>
      <c r="E16" s="53">
        <f>SUM(E8:E15)</f>
        <v>61370.239999998797</v>
      </c>
      <c r="F16" s="1390"/>
      <c r="G16" s="2233"/>
      <c r="H16" s="2236" t="s">
        <v>1936</v>
      </c>
      <c r="I16" s="2237"/>
      <c r="J16" s="1390"/>
      <c r="K16" s="3082" t="s">
        <v>1936</v>
      </c>
      <c r="L16" s="3083"/>
      <c r="M16" s="3083"/>
      <c r="N16" s="3083"/>
      <c r="O16" s="3083"/>
      <c r="P16" s="3084"/>
    </row>
    <row r="17" spans="1:19" ht="15">
      <c r="A17" s="2238" t="s">
        <v>1937</v>
      </c>
      <c r="B17" s="2239" t="s">
        <v>1938</v>
      </c>
      <c r="C17" s="2240" t="s">
        <v>1939</v>
      </c>
      <c r="D17" s="2241" t="s">
        <v>1927</v>
      </c>
      <c r="E17" s="2242" t="s">
        <v>1928</v>
      </c>
      <c r="F17" s="2243"/>
      <c r="G17" s="2244"/>
      <c r="H17" s="2245" t="s">
        <v>1940</v>
      </c>
      <c r="I17" s="2246" t="s">
        <v>1925</v>
      </c>
      <c r="J17" s="1390"/>
      <c r="K17" s="3079" t="s">
        <v>1941</v>
      </c>
      <c r="L17" s="3080"/>
      <c r="M17" s="3081"/>
      <c r="N17" s="3079" t="s">
        <v>1942</v>
      </c>
      <c r="O17" s="3080"/>
      <c r="P17" s="3081"/>
      <c r="R17" s="2224" t="s">
        <v>1943</v>
      </c>
      <c r="S17" s="64"/>
    </row>
    <row r="18" spans="1:19" ht="15">
      <c r="A18" s="2234"/>
      <c r="B18" s="2247"/>
      <c r="C18" s="2248"/>
      <c r="D18" s="2249"/>
      <c r="E18" s="2250" t="s">
        <v>1944</v>
      </c>
      <c r="F18" s="2251" t="s">
        <v>1945</v>
      </c>
      <c r="G18" s="2252" t="s">
        <v>1946</v>
      </c>
      <c r="H18" s="1260" t="s">
        <v>1947</v>
      </c>
      <c r="I18" s="2253" t="s">
        <v>1948</v>
      </c>
      <c r="J18" s="1390"/>
      <c r="K18" s="1260" t="s">
        <v>1949</v>
      </c>
      <c r="L18" s="2254" t="s">
        <v>1950</v>
      </c>
      <c r="M18" s="1044" t="s">
        <v>1951</v>
      </c>
      <c r="N18" s="1260" t="s">
        <v>1949</v>
      </c>
      <c r="O18" s="2254" t="s">
        <v>1950</v>
      </c>
      <c r="P18" s="1044" t="s">
        <v>1951</v>
      </c>
      <c r="R18" s="1245" t="s">
        <v>1952</v>
      </c>
      <c r="S18" s="1245" t="s">
        <v>1953</v>
      </c>
    </row>
    <row r="19" spans="1:19">
      <c r="A19" s="2255"/>
      <c r="B19" s="50" t="s">
        <v>1926</v>
      </c>
      <c r="C19" s="2256" t="str">
        <f>'数据-基础表'!C13</f>
        <v>G15-101</v>
      </c>
      <c r="D19" s="48">
        <f>ROUND($D$3*E19/$E$3,2)</f>
        <v>0</v>
      </c>
      <c r="E19" s="56">
        <f t="shared" ref="E19:E26" si="1">SUM(F19:G19)</f>
        <v>47.96</v>
      </c>
      <c r="F19" s="57">
        <f>'数据-基础表'!I13</f>
        <v>47.96</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0</v>
      </c>
      <c r="S19" s="1246">
        <f t="shared" si="5"/>
        <v>47.96</v>
      </c>
    </row>
    <row r="20" spans="1:19">
      <c r="A20" s="2259"/>
      <c r="B20" s="50" t="s">
        <v>1954</v>
      </c>
      <c r="C20" s="2256" t="str">
        <f>'数据-基础表'!C14</f>
        <v>G15其他</v>
      </c>
      <c r="D20" s="48">
        <f t="shared" ref="D20:D26" si="6">ROUND($D$3*E20/$E$3,2)</f>
        <v>0</v>
      </c>
      <c r="E20" s="56">
        <f t="shared" si="1"/>
        <v>5695.2399999999989</v>
      </c>
      <c r="F20" s="57">
        <f>'数据-基础表'!I14</f>
        <v>5695.2399999999989</v>
      </c>
      <c r="G20" s="58"/>
      <c r="H20" s="723">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0</v>
      </c>
      <c r="S20" s="1246">
        <f t="shared" si="5"/>
        <v>5695.2399999999989</v>
      </c>
    </row>
    <row r="21" spans="1:19">
      <c r="A21" s="2259"/>
      <c r="B21" s="50" t="s">
        <v>1954</v>
      </c>
      <c r="C21" s="2256" t="str">
        <f>'数据-基础表'!C15</f>
        <v>北区商业-122</v>
      </c>
      <c r="D21" s="48">
        <f t="shared" si="6"/>
        <v>0</v>
      </c>
      <c r="E21" s="56">
        <f t="shared" si="1"/>
        <v>96.71</v>
      </c>
      <c r="F21" s="57"/>
      <c r="G21" s="58">
        <f>'数据-基础表'!K15</f>
        <v>96.71</v>
      </c>
      <c r="H21" s="723">
        <f t="shared" si="7"/>
        <v>0</v>
      </c>
      <c r="I21" s="51">
        <f t="shared" si="2"/>
        <v>0</v>
      </c>
      <c r="J21" s="1390"/>
      <c r="K21" s="1389">
        <f t="shared" si="3"/>
        <v>0</v>
      </c>
      <c r="L21" s="1245">
        <f t="shared" si="4"/>
        <v>0</v>
      </c>
      <c r="M21" s="1401">
        <f t="shared" si="8"/>
        <v>0</v>
      </c>
      <c r="N21" s="2257"/>
      <c r="O21" s="2258"/>
      <c r="P21" s="1401">
        <f t="shared" si="9"/>
        <v>0</v>
      </c>
      <c r="R21" s="1245">
        <f t="shared" si="5"/>
        <v>0</v>
      </c>
      <c r="S21" s="1246">
        <f t="shared" si="5"/>
        <v>96.71</v>
      </c>
    </row>
    <row r="22" spans="1:19">
      <c r="A22" s="2259"/>
      <c r="B22" s="50" t="s">
        <v>1954</v>
      </c>
      <c r="C22" s="60" t="str">
        <f>'数据-基础表'!C16</f>
        <v>其他商业</v>
      </c>
      <c r="D22" s="48">
        <f t="shared" si="6"/>
        <v>0</v>
      </c>
      <c r="E22" s="56">
        <f t="shared" si="1"/>
        <v>5340.93</v>
      </c>
      <c r="F22" s="61"/>
      <c r="G22" s="62">
        <f>'数据-基础表'!K16</f>
        <v>5340.93</v>
      </c>
      <c r="H22" s="723">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5340.93</v>
      </c>
    </row>
    <row r="23" spans="1:19">
      <c r="A23" s="2259"/>
      <c r="B23" s="50" t="s">
        <v>1954</v>
      </c>
      <c r="C23" s="60" t="str">
        <f>'数据-基础表'!C17</f>
        <v>地下车库</v>
      </c>
      <c r="D23" s="48">
        <f>ROUND($D$3*E23/$E$3,2)</f>
        <v>0</v>
      </c>
      <c r="E23" s="56">
        <f>SUM(F23:G23)</f>
        <v>50189.399999998794</v>
      </c>
      <c r="F23" s="61"/>
      <c r="G23" s="62">
        <f>'数据-基础表'!M17</f>
        <v>50189.399999998794</v>
      </c>
      <c r="H23" s="723">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50189.399999998794</v>
      </c>
    </row>
    <row r="24" spans="1:19">
      <c r="A24" s="2259"/>
      <c r="B24" s="50" t="s">
        <v>1954</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1955</v>
      </c>
      <c r="D27" s="1391">
        <f>SUM(D19:D26)</f>
        <v>0</v>
      </c>
      <c r="E27" s="1392">
        <f>IF(SUM(E19:E26)='数据-基础表'!BA5,SUM(E19:E26),IF(F27="地上面积有误","面积有误","地下面积有误"))</f>
        <v>61370.239999998797</v>
      </c>
      <c r="F27" s="1391">
        <f>IF(SUM(F19:F26)=E8,SUM(F19:F26),"地上面积有误")</f>
        <v>5743.1999999999989</v>
      </c>
      <c r="G27" s="1393">
        <f>SUM(G19:G26)</f>
        <v>55627.039999998793</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61370.239999998797</v>
      </c>
    </row>
    <row r="28" spans="1:19">
      <c r="A28" s="2259"/>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1956</v>
      </c>
      <c r="C29" s="2263"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5" t="s">
        <v>1959</v>
      </c>
      <c r="D31" s="729">
        <f>D27+D30</f>
        <v>0</v>
      </c>
      <c r="E31" s="729">
        <f>E27+E30</f>
        <v>61370.239999998797</v>
      </c>
      <c r="F31" s="730">
        <f>F27+F30</f>
        <v>5743.1999999999989</v>
      </c>
      <c r="G31" s="731">
        <f>G27+G30</f>
        <v>55627.039999998793</v>
      </c>
      <c r="H31" s="1390"/>
      <c r="I31" s="1390"/>
      <c r="J31" s="1390"/>
      <c r="K31" s="1390"/>
      <c r="L31" s="1390"/>
      <c r="M31" s="1390"/>
      <c r="N31" s="1390"/>
      <c r="O31" s="1390"/>
      <c r="P31" s="1390"/>
    </row>
    <row r="32" spans="1:19">
      <c r="A32" s="2229"/>
      <c r="B32" s="2229" t="s">
        <v>1960</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2" activePane="bottomRight" state="frozen"/>
      <selection activeCell="C50" sqref="C50"/>
      <selection pane="topRight" activeCell="C50" sqref="C50"/>
      <selection pane="bottomLeft" activeCell="C50" sqref="C50"/>
      <selection pane="bottomRight" activeCell="D23" sqref="D23"/>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4" width="6.75" style="2271" customWidth="1"/>
    <col min="25" max="25" width="9.125" style="2271" customWidth="1"/>
    <col min="26"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1961</v>
      </c>
      <c r="B1" s="732"/>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2" t="s">
        <v>1962</v>
      </c>
      <c r="B2" s="1264">
        <f>项目基本情况!D3</f>
        <v>43494</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5" thickBot="1">
      <c r="A3" s="2026"/>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1963</v>
      </c>
      <c r="B4" s="2277"/>
      <c r="C4" s="2278"/>
      <c r="D4" s="2279"/>
      <c r="E4" s="2278" t="s">
        <v>1964</v>
      </c>
      <c r="F4" s="2278"/>
      <c r="G4" s="2278"/>
      <c r="H4" s="2278"/>
      <c r="I4" s="2278"/>
      <c r="J4" s="2280"/>
      <c r="K4" s="2281"/>
      <c r="L4" s="2282"/>
      <c r="M4" s="2278"/>
      <c r="N4" s="2278" t="s">
        <v>1965</v>
      </c>
      <c r="O4" s="2278"/>
      <c r="P4" s="2278"/>
      <c r="Q4" s="2278"/>
      <c r="R4" s="2278"/>
      <c r="S4" s="2280"/>
      <c r="T4" s="2283" t="str">
        <f>'数据-汇总表'!I17</f>
        <v>按面积比例</v>
      </c>
      <c r="U4" s="2277" t="s">
        <v>1966</v>
      </c>
      <c r="V4" s="2278"/>
      <c r="W4" s="2278"/>
      <c r="X4" s="2278"/>
      <c r="Y4" s="2280"/>
      <c r="Z4" s="2240" t="s">
        <v>1967</v>
      </c>
      <c r="AA4" s="2240"/>
      <c r="AB4" s="2240"/>
      <c r="AC4" s="2240"/>
      <c r="AD4" s="2240"/>
      <c r="AE4" s="2238" t="s">
        <v>1968</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42">
      <c r="A5" s="2285" t="s">
        <v>1969</v>
      </c>
      <c r="B5" s="2286" t="s">
        <v>1970</v>
      </c>
      <c r="C5" s="2287" t="s">
        <v>1971</v>
      </c>
      <c r="D5" s="2288" t="s">
        <v>1972</v>
      </c>
      <c r="E5" s="1266" t="s">
        <v>1973</v>
      </c>
      <c r="F5" s="2289" t="s">
        <v>1974</v>
      </c>
      <c r="G5" s="1266" t="s">
        <v>1975</v>
      </c>
      <c r="H5" s="1266" t="s">
        <v>1976</v>
      </c>
      <c r="I5" s="1266" t="s">
        <v>1977</v>
      </c>
      <c r="J5" s="2290" t="s">
        <v>1978</v>
      </c>
      <c r="K5" s="2291" t="s">
        <v>1979</v>
      </c>
      <c r="L5" s="2292" t="s">
        <v>1980</v>
      </c>
      <c r="M5" s="2293" t="s">
        <v>1981</v>
      </c>
      <c r="N5" s="2294" t="s">
        <v>3071</v>
      </c>
      <c r="O5" s="2292" t="s">
        <v>1982</v>
      </c>
      <c r="P5" s="2295" t="s">
        <v>1983</v>
      </c>
      <c r="Q5" s="69" t="s">
        <v>1984</v>
      </c>
      <c r="R5" s="2296" t="s">
        <v>1985</v>
      </c>
      <c r="S5" s="2297" t="s">
        <v>1986</v>
      </c>
      <c r="T5" s="2298" t="s">
        <v>1987</v>
      </c>
      <c r="U5" s="1265" t="s">
        <v>1988</v>
      </c>
      <c r="V5" s="1266" t="s">
        <v>1989</v>
      </c>
      <c r="W5" s="1266" t="s">
        <v>1990</v>
      </c>
      <c r="X5" s="71"/>
      <c r="Y5" s="70" t="s">
        <v>1991</v>
      </c>
      <c r="Z5" s="2299" t="s">
        <v>1988</v>
      </c>
      <c r="AA5" s="1266" t="s">
        <v>1989</v>
      </c>
      <c r="AB5" s="1266" t="s">
        <v>1990</v>
      </c>
      <c r="AC5" s="71"/>
      <c r="AD5" s="71" t="s">
        <v>1991</v>
      </c>
      <c r="AE5" s="1265" t="s">
        <v>1992</v>
      </c>
      <c r="AF5" s="1266" t="s">
        <v>1993</v>
      </c>
      <c r="AG5" s="70" t="s">
        <v>1994</v>
      </c>
      <c r="AH5" s="1265" t="s">
        <v>1995</v>
      </c>
      <c r="AI5" s="2299" t="s">
        <v>1996</v>
      </c>
      <c r="AJ5" s="2299" t="s">
        <v>1997</v>
      </c>
      <c r="AK5" s="1266" t="s">
        <v>1998</v>
      </c>
      <c r="AL5" s="1266" t="s">
        <v>1999</v>
      </c>
      <c r="AM5" s="70" t="s">
        <v>2000</v>
      </c>
      <c r="AN5" s="2300" t="s">
        <v>2001</v>
      </c>
      <c r="AO5" s="2070" t="s">
        <v>2002</v>
      </c>
      <c r="AP5" s="1247" t="s">
        <v>2003</v>
      </c>
      <c r="AQ5" s="2301" t="s">
        <v>2004</v>
      </c>
      <c r="AR5" s="2301" t="s">
        <v>2005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2" t="str">
        <f>'数据-汇总表'!C19</f>
        <v>G15-101</v>
      </c>
      <c r="B6" s="2303" t="str">
        <f>IF(A6=0,"","经营性")</f>
        <v>经营性</v>
      </c>
      <c r="C6" s="2304" t="s">
        <v>27</v>
      </c>
      <c r="D6" s="1049">
        <f>SUMIF(项目基本情况!D$12:I$12,C6,项目基本情况!D$14:I$14)</f>
        <v>50</v>
      </c>
      <c r="E6" s="1046">
        <f>IF(B6="","",SUMIF(项目基本情况!D$12:I$12,C6,项目基本情况!D$13:I$13))</f>
        <v>60481</v>
      </c>
      <c r="F6" s="72">
        <f>SUMIF(项目基本情况!D$12:I$12,C6,项目基本情况!D$15:I$15)</f>
        <v>46.53</v>
      </c>
      <c r="G6" s="73">
        <f>IF(ISERROR(ROUND(POWER(1+H6,D6-F6)*(POWER(1+H6,F6)-1)/(POWER(1+H6,D6)-1),3)),0,ROUND(POWER(1+H6,D6-F6)*(POWER(1+H6,F6)-1)/(POWER(1+H6,D6)-1),3))</f>
        <v>0.98199999999999998</v>
      </c>
      <c r="H6" s="802">
        <v>0.05</v>
      </c>
      <c r="I6" s="802">
        <v>5.5E-2</v>
      </c>
      <c r="J6" s="74">
        <v>8.5000000000000006E-2</v>
      </c>
      <c r="K6" s="1249">
        <f>SUMIF('数据-汇总表'!C$19:C$33,A6,'数据-汇总表'!E$19:E$33)</f>
        <v>47.96</v>
      </c>
      <c r="L6" s="803">
        <v>3000</v>
      </c>
      <c r="M6" s="75">
        <f t="shared" ref="M6:M14" si="0">ROUND(K6*L6/10000,0)</f>
        <v>14</v>
      </c>
      <c r="N6" s="801">
        <f>ROUND(1-(2019-2019)/60,2)</f>
        <v>1</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1">
        <f>ROUND($L$14*S6/10000,0)</f>
        <v>0</v>
      </c>
      <c r="U6" s="78">
        <v>3</v>
      </c>
      <c r="V6" s="79">
        <v>0.03</v>
      </c>
      <c r="W6" s="79">
        <v>0.1</v>
      </c>
      <c r="X6" s="1259"/>
      <c r="Y6" s="80">
        <f>N6</f>
        <v>1</v>
      </c>
      <c r="Z6" s="81"/>
      <c r="AA6" s="74"/>
      <c r="AB6" s="74"/>
      <c r="AC6" s="1259"/>
      <c r="AD6" s="82"/>
      <c r="AE6" s="1260">
        <f ca="1">IF(AN6="",0,SUMIF(INDIRECT("'"&amp;AN6&amp;"'"&amp;"!E:E"),$AE$5,INDIRECT("'"&amp;AN6&amp;"'"&amp;"!F:F")))</f>
        <v>46.53</v>
      </c>
      <c r="AF6" s="1801"/>
      <c r="AG6" s="147">
        <f>IF(AF6="",0,AE6-AF6)</f>
        <v>0</v>
      </c>
      <c r="AH6" s="83"/>
      <c r="AI6" s="85">
        <v>365</v>
      </c>
      <c r="AJ6" s="86"/>
      <c r="AK6" s="87">
        <v>1.4999999999999999E-2</v>
      </c>
      <c r="AL6" s="88">
        <v>1.5E-3</v>
      </c>
      <c r="AM6" s="89">
        <v>0.01</v>
      </c>
      <c r="AN6" s="2305" t="s">
        <v>4612</v>
      </c>
      <c r="AO6" s="55">
        <f ca="1">SUMIF(INDIRECT("'"&amp;AN6&amp;"'"&amp;"!A:A"),"总价",INDIRECT("'"&amp;AN6&amp;"'"&amp;"!B:B"))</f>
        <v>108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4.25">
      <c r="A7" s="2302" t="str">
        <f>'数据-汇总表'!C20</f>
        <v>G15其他</v>
      </c>
      <c r="B7" s="2303" t="str">
        <f t="shared" ref="B7:B13" si="1">IF(A7=0,"","经营性")</f>
        <v>经营性</v>
      </c>
      <c r="C7" s="2304" t="s">
        <v>27</v>
      </c>
      <c r="D7" s="1049">
        <f>SUMIF(项目基本情况!D$12:I$12,C7,项目基本情况!D$14:I$14)</f>
        <v>50</v>
      </c>
      <c r="E7" s="1046">
        <f>IF(B7="","",SUMIF(项目基本情况!D$12:I$12,C7,项目基本情况!D$13:I$13))</f>
        <v>60481</v>
      </c>
      <c r="F7" s="72">
        <f>SUMIF(项目基本情况!D$12:I$12,C7,项目基本情况!D$15:I$15)</f>
        <v>46.53</v>
      </c>
      <c r="G7" s="73">
        <f t="shared" ref="G7:G11" si="2">IF(ISERROR(ROUND(POWER(1+H7,D7-F7)*(POWER(1+H7,F7)-1)/(POWER(1+H7,D7)-1),3)),0,ROUND(POWER(1+H7,D7-F7)*(POWER(1+H7,F7)-1)/(POWER(1+H7,D7)-1),3))</f>
        <v>0.98199999999999998</v>
      </c>
      <c r="H7" s="802">
        <v>0.05</v>
      </c>
      <c r="I7" s="802">
        <v>5.5E-2</v>
      </c>
      <c r="J7" s="74">
        <v>8.5000000000000006E-2</v>
      </c>
      <c r="K7" s="1249">
        <f>SUMIF('数据-汇总表'!C$19:C$33,A7,'数据-汇总表'!E$19:E$33)</f>
        <v>5695.2399999999989</v>
      </c>
      <c r="L7" s="803">
        <v>3000</v>
      </c>
      <c r="M7" s="75">
        <f t="shared" si="0"/>
        <v>1709</v>
      </c>
      <c r="N7" s="801">
        <f t="shared" ref="N7" si="3">ROUND(1-(2019-2019)/60,2)</f>
        <v>1</v>
      </c>
      <c r="O7" s="75" t="str">
        <f t="shared" ref="O7:O14" si="4">IF($N$5="成新度","——",ROUND(M7*N7,0))</f>
        <v>——</v>
      </c>
      <c r="P7" s="76" t="str">
        <f t="shared" ref="P7:P14" si="5">IF($N$5="成新度","——",M7-O7)</f>
        <v>——</v>
      </c>
      <c r="Q7" s="804">
        <v>0.15</v>
      </c>
      <c r="R7" s="77">
        <f ca="1">SUMIF('数据-汇总表'!C$19:C$33,A7,'数据-汇总表'!R$19:R$27)</f>
        <v>0</v>
      </c>
      <c r="S7" s="54">
        <f>IF('数据-汇总表'!$I$17="按面积比例",SUMIF('数据-汇总表'!C$19:C$33,A7,'数据-汇总表'!K$19:K$33),SUMIF('数据-汇总表'!C$19:C$33,A7,'数据-汇总表'!N$19:N$33))</f>
        <v>0</v>
      </c>
      <c r="T7" s="1441">
        <f t="shared" ref="T7:T13" si="6">ROUND($L$14*S7/10000,0)</f>
        <v>0</v>
      </c>
      <c r="U7" s="78"/>
      <c r="V7" s="79">
        <v>0.03</v>
      </c>
      <c r="W7" s="79">
        <v>0.1</v>
      </c>
      <c r="X7" s="1259"/>
      <c r="Y7" s="80">
        <f t="shared" ref="Y7:Y10" si="7">N7</f>
        <v>1</v>
      </c>
      <c r="Z7" s="81"/>
      <c r="AA7" s="74"/>
      <c r="AB7" s="74"/>
      <c r="AC7" s="1259"/>
      <c r="AD7" s="82"/>
      <c r="AE7" s="1260">
        <f t="shared" ref="AE7:AE13" ca="1" si="8">IF(AN7="",0,SUMIF(INDIRECT("'"&amp;AN7&amp;"'"&amp;"!E:E"),$AE$5,INDIRECT("'"&amp;AN7&amp;"'"&amp;"!F:F")))</f>
        <v>0</v>
      </c>
      <c r="AF7" s="1801"/>
      <c r="AG7" s="147">
        <f t="shared" ref="AG7:AG13" si="9">IF(AF7="",0,AE7-AF7)</f>
        <v>0</v>
      </c>
      <c r="AH7" s="83"/>
      <c r="AI7" s="85">
        <v>365</v>
      </c>
      <c r="AJ7" s="86"/>
      <c r="AK7" s="87">
        <v>1.4999999999999999E-2</v>
      </c>
      <c r="AL7" s="88">
        <v>1.5E-3</v>
      </c>
      <c r="AM7" s="89">
        <v>0.01</v>
      </c>
      <c r="AN7" s="2305"/>
      <c r="AO7" s="55" t="e">
        <f t="shared" ref="AO7:AO13" ca="1" si="10">SUMIF(INDIRECT("'"&amp;AN7&amp;"'"&amp;"!A:A"),"总价",INDIRECT("'"&amp;AN7&amp;"'"&amp;"!B:B"))</f>
        <v>#REF!</v>
      </c>
      <c r="AP7" s="2306">
        <f t="shared" ref="AP7:AP13" si="11">IF(C7="住宅",K7*L7,0)</f>
        <v>0</v>
      </c>
      <c r="AQ7" s="55">
        <f t="shared" ref="AQ7:AQ13" si="12">ROUND($L$14*$N$14*S7/10000,0)</f>
        <v>0</v>
      </c>
      <c r="AR7" s="55">
        <f t="shared" ref="AR7:AR13" si="13">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4.25">
      <c r="A8" s="2302" t="str">
        <f>'数据-汇总表'!C21</f>
        <v>北区商业-122</v>
      </c>
      <c r="B8" s="2303" t="str">
        <f t="shared" si="1"/>
        <v>经营性</v>
      </c>
      <c r="C8" s="2304" t="s">
        <v>1373</v>
      </c>
      <c r="D8" s="1049">
        <f>SUMIF(项目基本情况!D$12:I$12,C8,项目基本情况!D$14:I$14)</f>
        <v>40</v>
      </c>
      <c r="E8" s="1046">
        <f>IF(B8="","",SUMIF(项目基本情况!D$12:I$12,C8,项目基本情况!D$13:I$13))</f>
        <v>56828</v>
      </c>
      <c r="F8" s="72">
        <f>SUMIF(项目基本情况!D$12:I$12,C8,项目基本情况!D$15:I$15)</f>
        <v>36.53</v>
      </c>
      <c r="G8" s="73">
        <f t="shared" si="2"/>
        <v>0.97299999999999998</v>
      </c>
      <c r="H8" s="802">
        <v>5.5E-2</v>
      </c>
      <c r="I8" s="802">
        <v>0.06</v>
      </c>
      <c r="J8" s="74">
        <v>8.5000000000000006E-2</v>
      </c>
      <c r="K8" s="1249">
        <f>SUMIF('数据-汇总表'!C$19:C$33,A8,'数据-汇总表'!E$19:E$33)</f>
        <v>96.71</v>
      </c>
      <c r="L8" s="803">
        <v>3000</v>
      </c>
      <c r="M8" s="75">
        <f>ROUND(K8*L8/10000,0)</f>
        <v>29</v>
      </c>
      <c r="N8" s="801">
        <f>ROUND(1-(2019-2018)/60,2)</f>
        <v>0.98</v>
      </c>
      <c r="O8" s="75" t="str">
        <f t="shared" si="4"/>
        <v>——</v>
      </c>
      <c r="P8" s="76" t="str">
        <f t="shared" si="5"/>
        <v>——</v>
      </c>
      <c r="Q8" s="804">
        <v>0.15</v>
      </c>
      <c r="R8" s="77">
        <f ca="1">SUMIF('数据-汇总表'!C$19:C$33,A8,'数据-汇总表'!R$19:R$27)</f>
        <v>0</v>
      </c>
      <c r="S8" s="54">
        <f>IF('数据-汇总表'!$I$17="按面积比例",SUMIF('数据-汇总表'!C$19:C$33,A8,'数据-汇总表'!K$19:K$33),SUMIF('数据-汇总表'!C$19:C$33,A8,'数据-汇总表'!N$19:N$33))</f>
        <v>0</v>
      </c>
      <c r="T8" s="1441">
        <f t="shared" si="6"/>
        <v>0</v>
      </c>
      <c r="U8" s="805">
        <f>6*0.6</f>
        <v>3.5999999999999996</v>
      </c>
      <c r="V8" s="79">
        <v>0.03</v>
      </c>
      <c r="W8" s="79">
        <v>0.1</v>
      </c>
      <c r="X8" s="1259"/>
      <c r="Y8" s="80">
        <f t="shared" si="7"/>
        <v>0.98</v>
      </c>
      <c r="Z8" s="81"/>
      <c r="AA8" s="74"/>
      <c r="AB8" s="74"/>
      <c r="AC8" s="1259"/>
      <c r="AD8" s="82"/>
      <c r="AE8" s="1260">
        <f t="shared" ca="1" si="8"/>
        <v>36.53</v>
      </c>
      <c r="AF8" s="1801"/>
      <c r="AG8" s="147">
        <f t="shared" si="9"/>
        <v>0</v>
      </c>
      <c r="AH8" s="806"/>
      <c r="AI8" s="85">
        <v>365</v>
      </c>
      <c r="AJ8" s="86"/>
      <c r="AK8" s="87">
        <v>1.4999999999999999E-2</v>
      </c>
      <c r="AL8" s="88">
        <v>1.5E-3</v>
      </c>
      <c r="AM8" s="89">
        <v>0.01</v>
      </c>
      <c r="AN8" s="2305" t="s">
        <v>4610</v>
      </c>
      <c r="AO8" s="55">
        <f t="shared" ca="1" si="10"/>
        <v>174</v>
      </c>
      <c r="AP8" s="2306">
        <f t="shared" si="11"/>
        <v>0</v>
      </c>
      <c r="AQ8" s="55">
        <f t="shared" si="12"/>
        <v>0</v>
      </c>
      <c r="AR8" s="55">
        <f t="shared" si="13"/>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4.25">
      <c r="A9" s="2302" t="str">
        <f>'数据-汇总表'!C22</f>
        <v>其他商业</v>
      </c>
      <c r="B9" s="2303" t="str">
        <f t="shared" si="1"/>
        <v>经营性</v>
      </c>
      <c r="C9" s="2304" t="s">
        <v>1373</v>
      </c>
      <c r="D9" s="1049">
        <f>SUMIF(项目基本情况!D$12:I$12,C9,项目基本情况!D$14:I$14)</f>
        <v>40</v>
      </c>
      <c r="E9" s="1046">
        <f>IF(B9="","",SUMIF(项目基本情况!D$12:I$12,C9,项目基本情况!D$13:I$13))</f>
        <v>56828</v>
      </c>
      <c r="F9" s="72">
        <f>SUMIF(项目基本情况!D$12:I$12,C9,项目基本情况!D$15:I$15)</f>
        <v>36.53</v>
      </c>
      <c r="G9" s="73">
        <f t="shared" si="2"/>
        <v>0.97299999999999998</v>
      </c>
      <c r="H9" s="74">
        <v>5.5E-2</v>
      </c>
      <c r="I9" s="74">
        <v>0.06</v>
      </c>
      <c r="J9" s="74">
        <v>8.5000000000000006E-2</v>
      </c>
      <c r="K9" s="1249">
        <f>SUMIF('数据-汇总表'!C$19:C$33,A9,'数据-汇总表'!E$19:E$33)</f>
        <v>5340.93</v>
      </c>
      <c r="L9" s="803">
        <v>3000</v>
      </c>
      <c r="M9" s="75">
        <f t="shared" si="0"/>
        <v>1602</v>
      </c>
      <c r="N9" s="801">
        <f t="shared" ref="N9:N10" si="14">ROUND(1-(2019-2018)/60,2)</f>
        <v>0.98</v>
      </c>
      <c r="O9" s="75" t="str">
        <f t="shared" si="4"/>
        <v>——</v>
      </c>
      <c r="P9" s="76" t="str">
        <f t="shared" si="5"/>
        <v>——</v>
      </c>
      <c r="Q9" s="90">
        <v>0.15</v>
      </c>
      <c r="R9" s="77">
        <f ca="1">SUMIF('数据-汇总表'!C$19:C$33,A9,'数据-汇总表'!R$19:R$27)</f>
        <v>0</v>
      </c>
      <c r="S9" s="54">
        <f>IF('数据-汇总表'!$I$17="按面积比例",SUMIF('数据-汇总表'!C$19:C$33,A9,'数据-汇总表'!K$19:K$33),SUMIF('数据-汇总表'!C$19:C$33,A9,'数据-汇总表'!N$19:N$33))</f>
        <v>0</v>
      </c>
      <c r="T9" s="1441">
        <f t="shared" si="6"/>
        <v>0</v>
      </c>
      <c r="U9" s="78"/>
      <c r="V9" s="79">
        <v>0.03</v>
      </c>
      <c r="W9" s="79">
        <v>0.1</v>
      </c>
      <c r="X9" s="1259"/>
      <c r="Y9" s="80">
        <f t="shared" si="7"/>
        <v>0.98</v>
      </c>
      <c r="Z9" s="81"/>
      <c r="AA9" s="74"/>
      <c r="AB9" s="74"/>
      <c r="AC9" s="1259"/>
      <c r="AD9" s="82"/>
      <c r="AE9" s="1260">
        <f t="shared" ca="1" si="8"/>
        <v>0</v>
      </c>
      <c r="AF9" s="1801"/>
      <c r="AG9" s="147">
        <f t="shared" si="9"/>
        <v>0</v>
      </c>
      <c r="AH9" s="83"/>
      <c r="AI9" s="85">
        <v>365</v>
      </c>
      <c r="AJ9" s="86"/>
      <c r="AK9" s="87">
        <v>1.4999999999999999E-2</v>
      </c>
      <c r="AL9" s="88">
        <v>1.5E-3</v>
      </c>
      <c r="AM9" s="89">
        <v>0.01</v>
      </c>
      <c r="AN9" s="2305"/>
      <c r="AO9" s="55" t="e">
        <f t="shared" ca="1" si="10"/>
        <v>#REF!</v>
      </c>
      <c r="AP9" s="2306">
        <f t="shared" si="11"/>
        <v>0</v>
      </c>
      <c r="AQ9" s="55">
        <f t="shared" si="12"/>
        <v>0</v>
      </c>
      <c r="AR9" s="55">
        <f t="shared" si="13"/>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4.25">
      <c r="A10" s="2302" t="str">
        <f>'数据-汇总表'!C23</f>
        <v>地下车库</v>
      </c>
      <c r="B10" s="2303" t="str">
        <f t="shared" si="1"/>
        <v>经营性</v>
      </c>
      <c r="C10" s="2304" t="s">
        <v>3060</v>
      </c>
      <c r="D10" s="1049">
        <f>SUMIF(项目基本情况!D$12:I$12,C10,项目基本情况!D$14:I$14)</f>
        <v>50</v>
      </c>
      <c r="E10" s="1046">
        <f>IF(B10="","",SUMIF(项目基本情况!D$12:I$12,C10,项目基本情况!D$13:I$13))</f>
        <v>60481</v>
      </c>
      <c r="F10" s="72">
        <f>SUMIF(项目基本情况!D$12:I$12,C10,项目基本情况!D$15:I$15)</f>
        <v>46.53</v>
      </c>
      <c r="G10" s="73">
        <f t="shared" si="2"/>
        <v>0.97899999999999998</v>
      </c>
      <c r="H10" s="74">
        <v>4.4999999999999998E-2</v>
      </c>
      <c r="I10" s="74">
        <v>0.05</v>
      </c>
      <c r="J10" s="74">
        <v>8.5000000000000006E-2</v>
      </c>
      <c r="K10" s="1249">
        <f>SUMIF('数据-汇总表'!C$19:C$33,A10,'数据-汇总表'!E$19:E$33)</f>
        <v>50189.399999998794</v>
      </c>
      <c r="L10" s="803">
        <v>3000</v>
      </c>
      <c r="M10" s="75">
        <f t="shared" si="0"/>
        <v>15057</v>
      </c>
      <c r="N10" s="801">
        <f t="shared" si="14"/>
        <v>0.98</v>
      </c>
      <c r="O10" s="75" t="str">
        <f t="shared" si="4"/>
        <v>——</v>
      </c>
      <c r="P10" s="76" t="str">
        <f t="shared" si="5"/>
        <v>——</v>
      </c>
      <c r="Q10" s="90">
        <v>0.05</v>
      </c>
      <c r="R10" s="77">
        <f ca="1">SUMIF('数据-汇总表'!C$19:C$33,A10,'数据-汇总表'!R$19:R$27)</f>
        <v>0</v>
      </c>
      <c r="S10" s="54">
        <f>IF('数据-汇总表'!$I$17="按面积比例",SUMIF('数据-汇总表'!C$19:C$33,A10,'数据-汇总表'!K$19:K$33),SUMIF('数据-汇总表'!C$19:C$33,A10,'数据-汇总表'!N$19:N$33))</f>
        <v>0</v>
      </c>
      <c r="T10" s="1441">
        <f t="shared" si="6"/>
        <v>0</v>
      </c>
      <c r="U10" s="78">
        <v>500</v>
      </c>
      <c r="V10" s="79">
        <v>2.5000000000000001E-2</v>
      </c>
      <c r="W10" s="79">
        <v>0.1</v>
      </c>
      <c r="X10" s="1259"/>
      <c r="Y10" s="80">
        <f t="shared" si="7"/>
        <v>0.98</v>
      </c>
      <c r="Z10" s="81"/>
      <c r="AA10" s="74"/>
      <c r="AB10" s="74"/>
      <c r="AC10" s="1259"/>
      <c r="AD10" s="82"/>
      <c r="AE10" s="1260">
        <f t="shared" ca="1" si="8"/>
        <v>46.53</v>
      </c>
      <c r="AF10" s="1801"/>
      <c r="AG10" s="147">
        <f t="shared" si="9"/>
        <v>0</v>
      </c>
      <c r="AH10" s="83">
        <v>1243</v>
      </c>
      <c r="AI10" s="85">
        <v>12</v>
      </c>
      <c r="AJ10" s="86"/>
      <c r="AK10" s="87">
        <v>1.4999999999999999E-2</v>
      </c>
      <c r="AL10" s="88">
        <v>1.5E-3</v>
      </c>
      <c r="AM10" s="89">
        <v>0.01</v>
      </c>
      <c r="AN10" s="2305" t="s">
        <v>4608</v>
      </c>
      <c r="AO10" s="55">
        <f t="shared" ca="1" si="10"/>
        <v>5945</v>
      </c>
      <c r="AP10" s="2306">
        <f t="shared" si="11"/>
        <v>0</v>
      </c>
      <c r="AQ10" s="55">
        <f t="shared" si="12"/>
        <v>0</v>
      </c>
      <c r="AR10" s="55">
        <f t="shared" si="13"/>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8"/>
        <v>0</v>
      </c>
      <c r="AF11" s="1801"/>
      <c r="AG11" s="147">
        <f t="shared" si="9"/>
        <v>0</v>
      </c>
      <c r="AH11" s="83"/>
      <c r="AI11" s="85"/>
      <c r="AJ11" s="86"/>
      <c r="AK11" s="94"/>
      <c r="AL11" s="95"/>
      <c r="AM11" s="96"/>
      <c r="AN11" s="2305"/>
      <c r="AO11" s="55" t="e">
        <f t="shared" ca="1" si="10"/>
        <v>#REF!</v>
      </c>
      <c r="AP11" s="2306">
        <f t="shared" si="11"/>
        <v>0</v>
      </c>
      <c r="AQ11" s="55">
        <f t="shared" si="12"/>
        <v>0</v>
      </c>
      <c r="AR11" s="55">
        <f t="shared" si="13"/>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8"/>
        <v>0</v>
      </c>
      <c r="AF12" s="1801"/>
      <c r="AG12" s="147">
        <f t="shared" si="9"/>
        <v>0</v>
      </c>
      <c r="AH12" s="83"/>
      <c r="AI12" s="85"/>
      <c r="AJ12" s="86"/>
      <c r="AK12" s="94"/>
      <c r="AL12" s="95"/>
      <c r="AM12" s="96"/>
      <c r="AN12" s="2305"/>
      <c r="AO12" s="55" t="e">
        <f t="shared" ca="1" si="10"/>
        <v>#REF!</v>
      </c>
      <c r="AP12" s="2306">
        <f t="shared" si="11"/>
        <v>0</v>
      </c>
      <c r="AQ12" s="55">
        <f t="shared" si="12"/>
        <v>0</v>
      </c>
      <c r="AR12" s="55">
        <f t="shared" si="13"/>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8"/>
        <v>0</v>
      </c>
      <c r="AF13" s="1801"/>
      <c r="AG13" s="147">
        <f t="shared" si="9"/>
        <v>0</v>
      </c>
      <c r="AH13" s="83"/>
      <c r="AI13" s="85"/>
      <c r="AJ13" s="86"/>
      <c r="AK13" s="87"/>
      <c r="AL13" s="88"/>
      <c r="AM13" s="89"/>
      <c r="AN13" s="2305"/>
      <c r="AO13" s="55" t="e">
        <f t="shared" ca="1" si="10"/>
        <v>#REF!</v>
      </c>
      <c r="AP13" s="2306">
        <f t="shared" si="11"/>
        <v>0</v>
      </c>
      <c r="AQ13" s="55">
        <f t="shared" si="12"/>
        <v>0</v>
      </c>
      <c r="AR13" s="55">
        <f t="shared" si="13"/>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25">
      <c r="A14" s="2307" t="s">
        <v>2006</v>
      </c>
      <c r="B14" s="2303" t="s">
        <v>2007</v>
      </c>
      <c r="C14" s="2308" t="s">
        <v>2006</v>
      </c>
      <c r="D14" s="1049"/>
      <c r="E14" s="1046"/>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23"/>
      <c r="V14" s="1254"/>
      <c r="W14" s="1254"/>
      <c r="X14" s="1255"/>
      <c r="Y14" s="1256"/>
      <c r="Z14" s="1257"/>
      <c r="AA14" s="1258"/>
      <c r="AB14" s="1258"/>
      <c r="AC14" s="1259"/>
      <c r="AD14" s="1255"/>
      <c r="AE14" s="1260"/>
      <c r="AF14" s="55"/>
      <c r="AG14" s="147"/>
      <c r="AH14" s="1260"/>
      <c r="AI14" s="1812"/>
      <c r="AJ14" s="773"/>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7">
      <c r="A15" s="2307" t="s">
        <v>2008</v>
      </c>
      <c r="B15" s="2303" t="s">
        <v>2007</v>
      </c>
      <c r="C15" s="2308"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2"/>
      <c r="AJ15" s="773"/>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75" thickBot="1">
      <c r="A16" s="2309" t="s">
        <v>2010</v>
      </c>
      <c r="B16" s="97"/>
      <c r="C16" s="1003"/>
      <c r="D16" s="2310"/>
      <c r="E16" s="97"/>
      <c r="F16" s="97"/>
      <c r="G16" s="98">
        <f>ROUND(SUMPRODUCT(G6:G13,K6:K13)/SUMPRODUCT((G6:G13&gt;0)*(K6:K13)),3)</f>
        <v>0.97899999999999998</v>
      </c>
      <c r="H16" s="99">
        <f>ROUND(SUMPRODUCT(H6:H13,K6:K13)/SUMPRODUCT((H6:H13&gt;0)*(K6:K13)),3)</f>
        <v>4.5999999999999999E-2</v>
      </c>
      <c r="I16" s="100"/>
      <c r="J16" s="100"/>
      <c r="K16" s="101">
        <f>SUM(K6:K15)</f>
        <v>61370.239999998797</v>
      </c>
      <c r="L16" s="102">
        <f>ROUND(M16*10000/SUM(K6:K14),0)</f>
        <v>3000</v>
      </c>
      <c r="M16" s="102">
        <f>SUM(M6:M14)</f>
        <v>18411</v>
      </c>
      <c r="N16" s="103">
        <f>ROUND(SUMPRODUCT(M6:M14,N6:N14)/M16,3)</f>
        <v>0.98199999999999998</v>
      </c>
      <c r="O16" s="102">
        <f>SUM(O6:O14)</f>
        <v>0</v>
      </c>
      <c r="P16" s="102">
        <f>SUM(P6:P14)</f>
        <v>0</v>
      </c>
      <c r="Q16" s="104">
        <f>ROUND(SUMPRODUCT(Q6:Q13,K6:K13)/SUMPRODUCT((Q6:Q13&gt;0)*(K6:K13)),2)</f>
        <v>7.0000000000000007E-2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6"/>
      <c r="C18" s="2273"/>
      <c r="D18" s="2274"/>
      <c r="E18" s="2273"/>
      <c r="F18" s="2273"/>
      <c r="G18" s="2273"/>
      <c r="H18" s="2273"/>
      <c r="I18" s="2273"/>
      <c r="J18" s="2273"/>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2012</v>
      </c>
      <c r="B19" s="112">
        <v>0</v>
      </c>
      <c r="C19" s="2273" t="s">
        <v>2013</v>
      </c>
      <c r="D19" s="2274"/>
      <c r="E19" s="2273"/>
      <c r="F19" s="2273"/>
      <c r="G19" s="2273"/>
      <c r="H19" s="2273"/>
      <c r="I19" s="2273"/>
      <c r="J19" s="2273"/>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2014</v>
      </c>
      <c r="B20" s="113">
        <v>2</v>
      </c>
      <c r="C20" s="2273" t="s">
        <v>2015</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2016</v>
      </c>
      <c r="B21" s="113">
        <v>2</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2017</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2018</v>
      </c>
      <c r="B23" s="114">
        <f>B19+B21</f>
        <v>2</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2019</v>
      </c>
      <c r="B24" s="115">
        <f>B20-B21</f>
        <v>0</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2020</v>
      </c>
      <c r="B26" s="2316" t="s">
        <v>2021</v>
      </c>
      <c r="C26" s="2317" t="s">
        <v>2022</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2023</v>
      </c>
      <c r="B27" s="116"/>
      <c r="C27" s="1762" t="s">
        <v>2024</v>
      </c>
      <c r="D27" s="2319"/>
      <c r="E27" s="1425"/>
      <c r="F27" s="1425"/>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2025</v>
      </c>
      <c r="B28" s="119"/>
      <c r="C28" s="2322"/>
      <c r="D28" s="2319"/>
      <c r="E28" s="1425"/>
      <c r="F28" s="1425"/>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2026</v>
      </c>
      <c r="B29" s="121"/>
      <c r="C29" s="1762" t="s">
        <v>2027</v>
      </c>
      <c r="D29" s="2319"/>
      <c r="E29" s="1425"/>
      <c r="F29" s="1425"/>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2028</v>
      </c>
      <c r="B30" s="724">
        <v>200</v>
      </c>
      <c r="C30" s="2322"/>
      <c r="D30" s="2319"/>
      <c r="E30" s="1425"/>
      <c r="F30" s="1425"/>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2029</v>
      </c>
      <c r="B31" s="120">
        <f>B30-B32</f>
        <v>200</v>
      </c>
      <c r="C31" s="1762"/>
      <c r="D31" s="2319"/>
      <c r="E31" s="1425"/>
      <c r="F31" s="1425"/>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2030</v>
      </c>
      <c r="B32" s="725">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2031</v>
      </c>
      <c r="B33" s="726">
        <v>0.03</v>
      </c>
      <c r="C33" s="1761" t="s">
        <v>2032</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2033</v>
      </c>
      <c r="B34" s="122">
        <v>0</v>
      </c>
      <c r="C34" s="1761" t="s">
        <v>2034</v>
      </c>
      <c r="D34" s="2274" t="s">
        <v>2035</v>
      </c>
      <c r="E34" s="732"/>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2036</v>
      </c>
      <c r="B35" s="119">
        <v>200</v>
      </c>
      <c r="C35" s="1761" t="s">
        <v>2037</v>
      </c>
      <c r="D35" s="2319"/>
      <c r="E35" s="1425"/>
      <c r="F35" s="1425"/>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2038</v>
      </c>
      <c r="B36" s="123">
        <v>1.4999999999999999E-2</v>
      </c>
      <c r="C36" s="1761" t="s">
        <v>2039</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2040</v>
      </c>
      <c r="B37" s="124">
        <v>0.02</v>
      </c>
      <c r="C37" s="1761" t="s">
        <v>2041</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2042</v>
      </c>
      <c r="B38" s="122">
        <v>0.02</v>
      </c>
      <c r="C38" s="1761" t="s">
        <v>2041</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2043</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2044</v>
      </c>
      <c r="B40" s="1298">
        <f ca="1">存贷款利率!G1</f>
        <v>4.7500000000000001E-2</v>
      </c>
      <c r="C40" s="1761" t="s">
        <v>2045</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2046</v>
      </c>
      <c r="B41" s="125">
        <f>B42+B43</f>
        <v>5.5000000000000007E-2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2047</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2048</v>
      </c>
      <c r="B43" s="127">
        <f>B42*(B44+B45+B46)+B47</f>
        <v>5.000000000000001E-3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2049</v>
      </c>
      <c r="B44" s="128">
        <v>0.05</v>
      </c>
      <c r="C44" s="1761" t="s">
        <v>2050</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2051</v>
      </c>
      <c r="B45" s="126">
        <v>0.03</v>
      </c>
      <c r="C45" s="1762" t="s">
        <v>2052</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2053</v>
      </c>
      <c r="B46" s="126">
        <v>0.02</v>
      </c>
      <c r="C46" s="1762" t="s">
        <v>2054</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2055</v>
      </c>
      <c r="B47" s="129"/>
      <c r="C47" s="1762" t="s">
        <v>2056</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2057</v>
      </c>
      <c r="B48" s="130">
        <v>0.03</v>
      </c>
      <c r="C48" s="1768" t="s">
        <v>2058</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2059</v>
      </c>
      <c r="B49" s="126">
        <v>5.0000000000000001E-4</v>
      </c>
      <c r="C49" s="1768" t="s">
        <v>2060</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2061</v>
      </c>
      <c r="B50" s="131">
        <v>1.2E-2</v>
      </c>
      <c r="C50" s="1425"/>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2062</v>
      </c>
      <c r="B51" s="132">
        <v>0.12</v>
      </c>
      <c r="C51" s="1425"/>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2063</v>
      </c>
      <c r="B52" s="133">
        <f>SUMIF(A54:A63,B53,B54:B63)</f>
        <v>1.5</v>
      </c>
      <c r="C52" s="1425"/>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2064</v>
      </c>
      <c r="B53" s="2332" t="s">
        <v>56</v>
      </c>
      <c r="C53" s="1425" t="s">
        <v>2065</v>
      </c>
      <c r="D53" s="2333" t="s">
        <v>2066</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2067</v>
      </c>
      <c r="B54" s="84"/>
      <c r="C54" s="1425">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2068</v>
      </c>
      <c r="B55" s="84"/>
      <c r="C55" s="1425">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2069</v>
      </c>
      <c r="B56" s="84"/>
      <c r="C56" s="1425">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2070</v>
      </c>
      <c r="B57" s="84"/>
      <c r="C57" s="1425">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2071</v>
      </c>
      <c r="B58" s="84"/>
      <c r="C58" s="1425">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2072</v>
      </c>
      <c r="B59" s="84">
        <v>1.5</v>
      </c>
      <c r="C59" s="1425">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2073</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2074</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2075</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2076</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8"/>
      <c r="L64" s="798"/>
    </row>
    <row r="65" spans="1:12" s="962" customFormat="1">
      <c r="A65" s="2337"/>
      <c r="D65" s="2338"/>
      <c r="K65" s="798"/>
      <c r="L65" s="798"/>
    </row>
    <row r="66" spans="1:12" s="962" customFormat="1">
      <c r="A66" s="2337"/>
      <c r="D66" s="2338"/>
      <c r="K66" s="798"/>
      <c r="L66" s="798"/>
    </row>
    <row r="67" spans="1:12" s="962" customFormat="1">
      <c r="A67" s="2337"/>
      <c r="D67" s="2338"/>
      <c r="K67" s="798"/>
      <c r="L67" s="798"/>
    </row>
    <row r="68" spans="1:12" s="962" customFormat="1">
      <c r="A68" s="2337"/>
      <c r="D68" s="2338"/>
      <c r="K68" s="798"/>
      <c r="L68" s="798"/>
    </row>
    <row r="69" spans="1:12" s="962" customFormat="1">
      <c r="A69" s="2337"/>
      <c r="D69" s="2338"/>
      <c r="K69" s="798"/>
      <c r="L69" s="798"/>
    </row>
    <row r="70" spans="1:12" s="962" customFormat="1">
      <c r="A70" s="2337"/>
      <c r="D70" s="2338"/>
      <c r="K70" s="798"/>
      <c r="L70" s="798"/>
    </row>
    <row r="71" spans="1:12" s="962" customFormat="1">
      <c r="A71" s="2337"/>
      <c r="D71" s="2338"/>
      <c r="K71" s="798"/>
      <c r="L71" s="798"/>
    </row>
    <row r="72" spans="1:12" s="962" customFormat="1">
      <c r="A72" s="2337"/>
      <c r="D72" s="2338"/>
      <c r="K72" s="798"/>
      <c r="L72" s="798"/>
    </row>
    <row r="73" spans="1:12" s="962" customFormat="1">
      <c r="A73" s="2337"/>
      <c r="D73" s="2338"/>
      <c r="K73" s="798"/>
      <c r="L73" s="798"/>
    </row>
    <row r="74" spans="1:12" s="962" customFormat="1">
      <c r="A74" s="2337"/>
      <c r="D74" s="2338"/>
      <c r="K74" s="798"/>
      <c r="L74" s="798"/>
    </row>
    <row r="75" spans="1:12" s="962" customFormat="1">
      <c r="A75" s="2337"/>
      <c r="D75" s="2338"/>
      <c r="K75" s="798"/>
      <c r="L75" s="798"/>
    </row>
    <row r="76" spans="1:12" s="962" customFormat="1">
      <c r="A76" s="2337"/>
      <c r="D76" s="2338"/>
      <c r="K76" s="798"/>
      <c r="L76" s="798"/>
    </row>
    <row r="77" spans="1:12" s="962" customFormat="1">
      <c r="A77" s="2337"/>
      <c r="D77" s="2338"/>
      <c r="K77" s="798"/>
      <c r="L77" s="798"/>
    </row>
    <row r="78" spans="1:12" s="962" customFormat="1">
      <c r="A78" s="2337"/>
      <c r="D78" s="2338"/>
      <c r="K78" s="798"/>
      <c r="L78" s="798"/>
    </row>
    <row r="79" spans="1:12" s="962" customFormat="1">
      <c r="A79" s="2337"/>
      <c r="D79" s="2338"/>
      <c r="K79" s="798"/>
      <c r="L79" s="798"/>
    </row>
    <row r="80" spans="1:12" s="962" customFormat="1">
      <c r="A80" s="2337"/>
      <c r="D80" s="2338"/>
      <c r="K80" s="798"/>
      <c r="L80" s="798"/>
    </row>
    <row r="81" spans="1:12" s="962" customFormat="1">
      <c r="A81" s="2337"/>
      <c r="D81" s="2338"/>
      <c r="K81" s="798"/>
      <c r="L81" s="798"/>
    </row>
    <row r="82" spans="1:12" s="962" customFormat="1">
      <c r="A82" s="2337"/>
      <c r="D82" s="2338"/>
      <c r="K82" s="798"/>
      <c r="L82" s="798"/>
    </row>
    <row r="83" spans="1:12" s="962" customFormat="1">
      <c r="A83" s="2337"/>
      <c r="D83" s="2338"/>
      <c r="K83" s="798"/>
      <c r="L83" s="798"/>
    </row>
    <row r="84" spans="1:12" s="962" customFormat="1">
      <c r="A84" s="2337"/>
      <c r="D84" s="2338"/>
      <c r="K84" s="798"/>
      <c r="L84" s="798"/>
    </row>
    <row r="85" spans="1:12" s="962" customFormat="1">
      <c r="A85" s="2337"/>
      <c r="D85" s="2338"/>
      <c r="K85" s="798"/>
      <c r="L85" s="798"/>
    </row>
    <row r="86" spans="1:12" s="962" customFormat="1">
      <c r="A86" s="2337"/>
      <c r="D86" s="2338"/>
      <c r="K86" s="798"/>
      <c r="L86" s="798"/>
    </row>
    <row r="87" spans="1:12" s="962" customFormat="1">
      <c r="A87" s="2337"/>
      <c r="D87" s="2338"/>
      <c r="K87" s="798"/>
      <c r="L87" s="798"/>
    </row>
    <row r="88" spans="1:12" s="962" customFormat="1">
      <c r="A88" s="2337"/>
      <c r="D88" s="2338"/>
      <c r="K88" s="798"/>
      <c r="L88" s="798"/>
    </row>
    <row r="89" spans="1:12" s="962" customFormat="1">
      <c r="A89" s="2337"/>
      <c r="D89" s="2338"/>
      <c r="K89" s="798"/>
      <c r="L89" s="798"/>
    </row>
    <row r="90" spans="1:12" s="962" customFormat="1">
      <c r="A90" s="2337"/>
      <c r="D90" s="2338"/>
      <c r="K90" s="798"/>
      <c r="L90" s="798"/>
    </row>
    <row r="91" spans="1:12" s="962" customFormat="1">
      <c r="A91" s="2337"/>
      <c r="D91" s="2338"/>
      <c r="K91" s="798"/>
      <c r="L91" s="798"/>
    </row>
    <row r="92" spans="1:12" s="962" customFormat="1">
      <c r="A92" s="2337"/>
      <c r="D92" s="2338"/>
      <c r="K92" s="798"/>
      <c r="L92" s="798"/>
    </row>
    <row r="93" spans="1:12" s="962" customFormat="1">
      <c r="A93" s="2337"/>
      <c r="D93" s="2338"/>
      <c r="K93" s="798"/>
      <c r="L93" s="798"/>
    </row>
    <row r="94" spans="1:12" s="962" customFormat="1">
      <c r="A94" s="2337"/>
      <c r="D94" s="2338"/>
      <c r="K94" s="798"/>
      <c r="L94" s="798"/>
    </row>
    <row r="95" spans="1:12" s="962" customFormat="1">
      <c r="A95" s="2337"/>
      <c r="D95" s="2338"/>
      <c r="K95" s="798"/>
      <c r="L95" s="798"/>
    </row>
    <row r="96" spans="1:12" s="962" customFormat="1">
      <c r="A96" s="2337"/>
      <c r="D96" s="2338"/>
      <c r="K96" s="798"/>
      <c r="L96" s="798"/>
    </row>
    <row r="97" spans="1:12" s="962" customFormat="1">
      <c r="A97" s="2337"/>
      <c r="D97" s="2338"/>
      <c r="K97" s="798"/>
      <c r="L97" s="798"/>
    </row>
    <row r="98" spans="1:12" s="962" customFormat="1">
      <c r="A98" s="2337"/>
      <c r="D98" s="2338"/>
      <c r="K98" s="798"/>
      <c r="L98" s="798"/>
    </row>
    <row r="99" spans="1:12" s="962" customFormat="1">
      <c r="A99" s="2337"/>
      <c r="D99" s="2338"/>
      <c r="K99" s="798"/>
      <c r="L99" s="798"/>
    </row>
    <row r="100" spans="1:12" s="962" customFormat="1">
      <c r="A100" s="2337"/>
      <c r="D100" s="2338"/>
      <c r="K100" s="798"/>
      <c r="L100" s="798"/>
    </row>
    <row r="101" spans="1:12" s="962" customFormat="1">
      <c r="A101" s="2337"/>
      <c r="D101" s="2338"/>
      <c r="K101" s="798"/>
      <c r="L101" s="798"/>
    </row>
    <row r="102" spans="1:12" s="962" customFormat="1">
      <c r="A102" s="2337"/>
      <c r="D102" s="2338"/>
      <c r="K102" s="798"/>
      <c r="L102" s="798"/>
    </row>
    <row r="103" spans="1:12" s="962" customFormat="1">
      <c r="A103" s="2337"/>
      <c r="D103" s="2338"/>
      <c r="K103" s="798"/>
      <c r="L103" s="798"/>
    </row>
    <row r="104" spans="1:12" s="962" customFormat="1">
      <c r="A104" s="2337"/>
      <c r="D104" s="2338"/>
      <c r="K104" s="798"/>
      <c r="L104" s="798"/>
    </row>
    <row r="105" spans="1:12" s="962" customFormat="1">
      <c r="A105" s="2337"/>
      <c r="D105" s="2338"/>
      <c r="K105" s="798"/>
      <c r="L105" s="798"/>
    </row>
    <row r="106" spans="1:12" s="962" customFormat="1">
      <c r="A106" s="2337"/>
      <c r="D106" s="2338"/>
      <c r="K106" s="798"/>
      <c r="L106" s="798"/>
    </row>
    <row r="107" spans="1:12" s="962" customFormat="1">
      <c r="A107" s="2337"/>
      <c r="D107" s="2338"/>
      <c r="K107" s="798"/>
      <c r="L107" s="798"/>
    </row>
    <row r="108" spans="1:12" s="962" customFormat="1">
      <c r="A108" s="2337"/>
      <c r="D108" s="2338"/>
      <c r="K108" s="798"/>
      <c r="L108" s="798"/>
    </row>
    <row r="109" spans="1:12" s="962" customFormat="1">
      <c r="A109" s="2337"/>
      <c r="D109" s="2338"/>
      <c r="K109" s="798"/>
      <c r="L109" s="798"/>
    </row>
    <row r="110" spans="1:12" s="962" customFormat="1">
      <c r="A110" s="2337"/>
      <c r="D110" s="2338"/>
      <c r="K110" s="798"/>
      <c r="L110" s="798"/>
    </row>
    <row r="111" spans="1:12" s="962" customFormat="1">
      <c r="A111" s="2337"/>
      <c r="D111" s="2338"/>
      <c r="K111" s="798"/>
      <c r="L111" s="798"/>
    </row>
    <row r="112" spans="1:12" s="962" customFormat="1">
      <c r="A112" s="2337"/>
      <c r="D112" s="2338"/>
      <c r="K112" s="798"/>
      <c r="L112" s="798"/>
    </row>
    <row r="113" spans="1:12" s="962" customFormat="1">
      <c r="A113" s="2337"/>
      <c r="D113" s="2338"/>
      <c r="K113" s="798"/>
      <c r="L113" s="798"/>
    </row>
    <row r="114" spans="1:12" s="962" customFormat="1">
      <c r="A114" s="2337"/>
      <c r="D114" s="2338"/>
      <c r="K114" s="798"/>
      <c r="L114" s="798"/>
    </row>
    <row r="115" spans="1:12" s="962" customFormat="1">
      <c r="A115" s="2337"/>
      <c r="D115" s="2338"/>
      <c r="K115" s="798"/>
      <c r="L115" s="798"/>
    </row>
    <row r="116" spans="1:12" s="962" customFormat="1">
      <c r="A116" s="2337"/>
      <c r="D116" s="2338"/>
      <c r="K116" s="798"/>
      <c r="L116" s="798"/>
    </row>
    <row r="117" spans="1:12" s="962" customFormat="1">
      <c r="A117" s="2337"/>
      <c r="D117" s="2338"/>
      <c r="K117" s="798"/>
      <c r="L117" s="798"/>
    </row>
    <row r="118" spans="1:12" s="962" customFormat="1">
      <c r="A118" s="2337"/>
      <c r="D118" s="2338"/>
      <c r="K118" s="798"/>
      <c r="L118" s="798"/>
    </row>
    <row r="119" spans="1:12" s="962" customFormat="1">
      <c r="A119" s="2337"/>
      <c r="D119" s="2338"/>
      <c r="K119" s="798"/>
      <c r="L119" s="798"/>
    </row>
    <row r="120" spans="1:12" s="962" customFormat="1">
      <c r="A120" s="2337"/>
      <c r="D120" s="2338"/>
      <c r="K120" s="798"/>
      <c r="L120" s="798"/>
    </row>
    <row r="121" spans="1:12" s="962" customFormat="1">
      <c r="A121" s="2337"/>
      <c r="D121" s="2338"/>
      <c r="K121" s="798"/>
      <c r="L121" s="798"/>
    </row>
    <row r="122" spans="1:12" s="962" customFormat="1">
      <c r="A122" s="2337"/>
      <c r="D122" s="2338"/>
      <c r="K122" s="798"/>
      <c r="L122" s="798"/>
    </row>
    <row r="123" spans="1:12" s="962" customFormat="1">
      <c r="A123" s="2337"/>
      <c r="D123" s="2338"/>
      <c r="K123" s="798"/>
      <c r="L123" s="798"/>
    </row>
    <row r="124" spans="1:12" s="962" customFormat="1">
      <c r="A124" s="2337"/>
      <c r="D124" s="2338"/>
      <c r="K124" s="798"/>
      <c r="L124" s="798"/>
    </row>
    <row r="125" spans="1:12" s="962" customFormat="1">
      <c r="A125" s="2337"/>
      <c r="D125" s="2338"/>
      <c r="K125" s="798"/>
      <c r="L125" s="798"/>
    </row>
    <row r="126" spans="1:12" s="962" customFormat="1">
      <c r="A126" s="2337"/>
      <c r="D126" s="2338"/>
      <c r="K126" s="798"/>
      <c r="L126" s="798"/>
    </row>
    <row r="127" spans="1:12" s="962" customFormat="1">
      <c r="A127" s="2337"/>
      <c r="D127" s="2338"/>
      <c r="K127" s="798"/>
      <c r="L127" s="798"/>
    </row>
    <row r="128" spans="1:12" s="962" customFormat="1">
      <c r="A128" s="2337"/>
      <c r="D128" s="2338"/>
      <c r="K128" s="798"/>
      <c r="L128" s="798"/>
    </row>
    <row r="129" spans="1:12" s="962" customFormat="1">
      <c r="A129" s="2337"/>
      <c r="D129" s="2338"/>
      <c r="K129" s="798"/>
      <c r="L129" s="798"/>
    </row>
    <row r="130" spans="1:12" s="962" customFormat="1">
      <c r="A130" s="2337"/>
      <c r="D130" s="2338"/>
      <c r="K130" s="798"/>
      <c r="L130" s="798"/>
    </row>
    <row r="131" spans="1:12" s="962" customFormat="1">
      <c r="A131" s="2337"/>
      <c r="D131" s="2338"/>
      <c r="K131" s="798"/>
      <c r="L131" s="798"/>
    </row>
    <row r="132" spans="1:12" s="962" customFormat="1">
      <c r="A132" s="2337"/>
      <c r="D132" s="2338"/>
      <c r="K132" s="798"/>
      <c r="L132" s="798"/>
    </row>
    <row r="133" spans="1:12" s="962"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94" t="s">
        <v>2077</v>
      </c>
      <c r="B1" s="3095"/>
      <c r="C1" s="3095"/>
      <c r="D1" s="3095"/>
      <c r="E1" s="3095"/>
      <c r="F1" s="3095"/>
      <c r="G1" s="309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2078</v>
      </c>
      <c r="D2" s="2362"/>
      <c r="E2" s="2363"/>
      <c r="F2" s="2282"/>
      <c r="G2" s="2361" t="s">
        <v>2079</v>
      </c>
      <c r="H2" s="2364"/>
      <c r="I2" s="2364"/>
      <c r="J2" s="2364"/>
      <c r="K2" s="2364"/>
      <c r="L2" s="2364"/>
      <c r="M2" s="2364"/>
      <c r="N2" s="2364"/>
      <c r="O2" s="2364"/>
      <c r="P2" s="2364"/>
      <c r="Q2" s="2364"/>
      <c r="R2" s="2364"/>
    </row>
    <row r="3" spans="1:29" ht="42.75">
      <c r="A3" s="415" t="s">
        <v>2080</v>
      </c>
      <c r="B3" s="1266" t="s">
        <v>2081</v>
      </c>
      <c r="C3" s="2366"/>
      <c r="D3" s="2367"/>
      <c r="E3" s="431" t="s">
        <v>2080</v>
      </c>
      <c r="F3" s="2368" t="s">
        <v>2082</v>
      </c>
      <c r="G3" s="2369" t="s">
        <v>2083</v>
      </c>
      <c r="H3" s="2364"/>
      <c r="I3" s="2364"/>
      <c r="J3" s="2364"/>
      <c r="K3" s="2364"/>
      <c r="L3" s="2364"/>
      <c r="M3" s="2364"/>
      <c r="N3" s="2364"/>
      <c r="O3" s="2364"/>
      <c r="P3" s="2364"/>
      <c r="Q3" s="2364"/>
      <c r="R3" s="2364"/>
    </row>
    <row r="4" spans="1:29" ht="40.5">
      <c r="A4" s="431"/>
      <c r="B4" s="1792" t="s">
        <v>2084</v>
      </c>
      <c r="C4" s="2974" t="s">
        <v>4582</v>
      </c>
      <c r="D4" s="2367"/>
      <c r="E4" s="2370"/>
      <c r="F4" s="42" t="s">
        <v>2085</v>
      </c>
      <c r="G4" s="2371" t="s">
        <v>2086</v>
      </c>
      <c r="H4" s="2364"/>
      <c r="I4" s="2364"/>
      <c r="J4" s="2364"/>
      <c r="K4" s="2364"/>
      <c r="L4" s="2364"/>
      <c r="M4" s="2364"/>
      <c r="N4" s="2364"/>
      <c r="O4" s="2364"/>
      <c r="P4" s="2364"/>
      <c r="Q4" s="2364"/>
      <c r="R4" s="2364"/>
    </row>
    <row r="5" spans="1:29" ht="40.5">
      <c r="A5" s="431"/>
      <c r="B5" s="1792" t="s">
        <v>2087</v>
      </c>
      <c r="C5" s="2974" t="s">
        <v>4583</v>
      </c>
      <c r="D5" s="2367"/>
      <c r="E5" s="2370"/>
      <c r="F5" s="1792" t="s">
        <v>2088</v>
      </c>
      <c r="G5" s="2371" t="s">
        <v>2089</v>
      </c>
      <c r="H5" s="2364"/>
      <c r="I5" s="2364"/>
      <c r="J5" s="2364"/>
      <c r="K5" s="2364"/>
      <c r="L5" s="2364"/>
      <c r="M5" s="2364"/>
      <c r="N5" s="2364"/>
      <c r="O5" s="2364"/>
      <c r="P5" s="2364"/>
      <c r="Q5" s="2364"/>
      <c r="R5" s="2364"/>
    </row>
    <row r="6" spans="1:29" ht="54">
      <c r="A6" s="431"/>
      <c r="B6" s="1792" t="s">
        <v>2090</v>
      </c>
      <c r="C6" s="2975" t="s">
        <v>4602</v>
      </c>
      <c r="D6" s="2367"/>
      <c r="E6" s="2370"/>
      <c r="F6" s="1792" t="s">
        <v>2091</v>
      </c>
      <c r="G6" s="2371" t="s">
        <v>2092</v>
      </c>
      <c r="H6" s="2364"/>
      <c r="I6" s="2364"/>
      <c r="J6" s="2364"/>
      <c r="K6" s="2364"/>
      <c r="L6" s="2364"/>
      <c r="M6" s="2364"/>
      <c r="N6" s="2364"/>
      <c r="O6" s="2364"/>
      <c r="P6" s="2364"/>
      <c r="Q6" s="2364"/>
      <c r="R6" s="2364"/>
    </row>
    <row r="7" spans="1:29" ht="41.25" thickBot="1">
      <c r="A7" s="431"/>
      <c r="B7" s="1792" t="s">
        <v>2088</v>
      </c>
      <c r="C7" s="2975" t="s">
        <v>4585</v>
      </c>
      <c r="D7" s="2372"/>
      <c r="E7" s="2373"/>
      <c r="F7" s="2374" t="s">
        <v>2093</v>
      </c>
      <c r="G7" s="2375" t="s">
        <v>2094</v>
      </c>
      <c r="H7" s="2364"/>
      <c r="I7" s="2364"/>
      <c r="J7" s="2364"/>
      <c r="K7" s="2364"/>
      <c r="L7" s="2364"/>
      <c r="M7" s="2364"/>
      <c r="N7" s="2364"/>
      <c r="O7" s="2364"/>
      <c r="P7" s="2364"/>
      <c r="Q7" s="2364"/>
      <c r="R7" s="2364"/>
    </row>
    <row r="8" spans="1:29" ht="27">
      <c r="A8" s="431"/>
      <c r="B8" s="1792" t="s">
        <v>2091</v>
      </c>
      <c r="C8" s="2975" t="s">
        <v>4586</v>
      </c>
      <c r="D8" s="2372"/>
      <c r="E8" s="2372"/>
      <c r="F8" s="1131"/>
      <c r="G8" s="1131"/>
      <c r="H8" s="2364"/>
      <c r="I8" s="2364"/>
      <c r="J8" s="2364"/>
      <c r="K8" s="2364"/>
      <c r="L8" s="2364"/>
      <c r="M8" s="2364"/>
      <c r="N8" s="2364"/>
      <c r="O8" s="2364"/>
      <c r="P8" s="2364"/>
      <c r="Q8" s="2364"/>
      <c r="R8" s="2364"/>
    </row>
    <row r="9" spans="1:29" ht="27">
      <c r="A9" s="431"/>
      <c r="B9" s="1792" t="s">
        <v>2095</v>
      </c>
      <c r="C9" s="2974" t="s">
        <v>4587</v>
      </c>
      <c r="D9" s="2367"/>
      <c r="E9" s="2372"/>
      <c r="F9" s="1131"/>
      <c r="G9" s="1131"/>
      <c r="H9" s="2364"/>
      <c r="I9" s="2364"/>
      <c r="J9" s="2364"/>
      <c r="K9" s="2364"/>
      <c r="L9" s="2364"/>
      <c r="M9" s="2364"/>
      <c r="N9" s="2364"/>
      <c r="O9" s="2364"/>
      <c r="P9" s="2364"/>
      <c r="Q9" s="2364"/>
      <c r="R9" s="2364"/>
    </row>
    <row r="10" spans="1:29" s="117" customFormat="1" ht="15.75" thickBot="1">
      <c r="A10" s="2376"/>
      <c r="B10" s="2377" t="s">
        <v>2096</v>
      </c>
      <c r="C10" s="2378"/>
      <c r="D10" s="2367"/>
      <c r="E10" s="2367"/>
      <c r="F10" s="1131"/>
      <c r="G10" s="1131"/>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7"/>
      <c r="D11" s="2367"/>
      <c r="E11" s="2367"/>
      <c r="F11" s="2372"/>
      <c r="G11" s="1149"/>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7"/>
      <c r="D12" s="2383"/>
      <c r="E12" s="2367"/>
      <c r="F12" s="2372"/>
      <c r="G12" s="1149"/>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2097</v>
      </c>
      <c r="B13" s="2383"/>
      <c r="C13" s="2383"/>
      <c r="D13" s="2390"/>
      <c r="E13" s="2383"/>
      <c r="F13" s="2383"/>
      <c r="G13" s="2383"/>
    </row>
    <row r="14" spans="1:29" ht="15.75" thickBot="1">
      <c r="A14" s="2394"/>
      <c r="B14" s="2395"/>
      <c r="C14" s="2396" t="s">
        <v>2098</v>
      </c>
      <c r="D14" s="2367"/>
      <c r="E14" s="2397"/>
      <c r="F14" s="2397"/>
      <c r="G14" s="2361" t="s">
        <v>2099</v>
      </c>
    </row>
    <row r="15" spans="1:29" ht="42.75">
      <c r="A15" s="68" t="s">
        <v>2100</v>
      </c>
      <c r="B15" s="1265" t="s">
        <v>2081</v>
      </c>
      <c r="C15" s="2398">
        <f>C3</f>
        <v>0</v>
      </c>
      <c r="D15" s="2367"/>
      <c r="E15" s="2399" t="s">
        <v>2101</v>
      </c>
      <c r="F15" s="1265" t="s">
        <v>2102</v>
      </c>
      <c r="G15" s="135" t="str">
        <f>G3</f>
        <v>估价对象位于XX开发区，园区建设成熟度XX，产业集聚程度XX</v>
      </c>
    </row>
    <row r="16" spans="1:29" ht="42.75">
      <c r="A16" s="645"/>
      <c r="B16" s="2400" t="s">
        <v>2084</v>
      </c>
      <c r="C16" s="2401" t="str">
        <f>C4</f>
        <v>估价对象周边商业氛围一般，人流量一般，商业繁华度一般</v>
      </c>
      <c r="D16" s="2367"/>
      <c r="E16" s="2402"/>
      <c r="F16" s="2403" t="s">
        <v>2085</v>
      </c>
      <c r="G16" s="136" t="str">
        <f>G4</f>
        <v>估价对象周边道路状况、公共交通通达情况、停车便捷程度，综合评价交通便捷度较好</v>
      </c>
    </row>
    <row r="17" spans="1:18" ht="42.75">
      <c r="A17" s="645"/>
      <c r="B17" s="2400" t="s">
        <v>2087</v>
      </c>
      <c r="C17" s="2401" t="str">
        <f>C5</f>
        <v>估价对象周边办公楼项目集聚度一般，入驻率一般，办公集聚程度一般</v>
      </c>
      <c r="D17" s="2372"/>
      <c r="E17" s="2402"/>
      <c r="F17" s="2403" t="s">
        <v>2103</v>
      </c>
      <c r="G17" s="1567"/>
    </row>
    <row r="18" spans="1:18" ht="57">
      <c r="A18" s="645"/>
      <c r="B18" s="2403" t="s">
        <v>2090</v>
      </c>
      <c r="C18" s="136" t="str">
        <f>C6</f>
        <v>估价对象周边道路状况、公共交通通达情况、停车便捷程度，综合评价交通便捷度较好</v>
      </c>
      <c r="D18" s="2372"/>
      <c r="E18" s="2402"/>
      <c r="F18" s="2403" t="s">
        <v>2093</v>
      </c>
      <c r="G18" s="136" t="str">
        <f>G7</f>
        <v>该园区内是否有污染型企业，绿化情况，卫生条件，整体环境状况判断</v>
      </c>
    </row>
    <row r="19" spans="1:18" ht="28.5">
      <c r="A19" s="645"/>
      <c r="B19" s="2403" t="s">
        <v>2104</v>
      </c>
      <c r="C19" s="1567"/>
      <c r="D19" s="2367"/>
      <c r="E19" s="2402"/>
      <c r="F19" s="1792" t="s">
        <v>2088</v>
      </c>
      <c r="G19" s="136" t="str">
        <f>G5</f>
        <v>估价对象所在区域公共配套设施齐备情况</v>
      </c>
    </row>
    <row r="20" spans="1:18" ht="28.5">
      <c r="A20" s="645"/>
      <c r="B20" s="2403" t="s">
        <v>2105</v>
      </c>
      <c r="C20" s="2401" t="str">
        <f>C9</f>
        <v>区域自然环境：；人文环境；综合评价环境状况较好</v>
      </c>
      <c r="D20" s="2372"/>
      <c r="E20" s="2402"/>
      <c r="F20" s="1792" t="s">
        <v>2106</v>
      </c>
      <c r="G20" s="136" t="str">
        <f>G6</f>
        <v>估价对象所在区域基础设施水平</v>
      </c>
    </row>
    <row r="21" spans="1:18" ht="28.5">
      <c r="A21" s="645"/>
      <c r="B21" s="1792" t="s">
        <v>2088</v>
      </c>
      <c r="C21" s="136" t="str">
        <f>C7</f>
        <v>估价对象所在区域公共配套设施齐备情况一般</v>
      </c>
      <c r="D21" s="2367"/>
      <c r="E21" s="2402"/>
      <c r="F21" s="2403" t="s">
        <v>2107</v>
      </c>
      <c r="G21" s="2404"/>
    </row>
    <row r="22" spans="1:18" ht="13.5" customHeight="1">
      <c r="A22" s="645"/>
      <c r="B22" s="1792" t="s">
        <v>2091</v>
      </c>
      <c r="C22" s="136" t="str">
        <f>C8</f>
        <v>估价对象所在区域基础设施水平达六通</v>
      </c>
      <c r="D22" s="2367"/>
      <c r="E22" s="2402"/>
      <c r="F22" s="2403" t="s">
        <v>2096</v>
      </c>
      <c r="G22" s="1567"/>
    </row>
    <row r="23" spans="1:18" s="2364" customFormat="1" ht="15.75" thickBot="1">
      <c r="A23" s="645"/>
      <c r="B23" s="2403" t="s">
        <v>2107</v>
      </c>
      <c r="C23" s="2404"/>
      <c r="D23" s="2391"/>
      <c r="E23" s="2405"/>
      <c r="F23" s="2406" t="s">
        <v>2108</v>
      </c>
      <c r="G23" s="2407"/>
      <c r="H23" s="2391"/>
      <c r="I23" s="2392"/>
      <c r="J23" s="2391"/>
      <c r="K23" s="2391"/>
      <c r="L23" s="2392"/>
      <c r="M23" s="2391"/>
      <c r="N23" s="2391"/>
      <c r="O23" s="2392"/>
      <c r="P23" s="2391"/>
      <c r="Q23" s="2391"/>
      <c r="R23" s="2393"/>
    </row>
    <row r="24" spans="1:18" s="2364" customFormat="1" ht="15.75" thickBot="1">
      <c r="A24" s="2408"/>
      <c r="B24" s="2406" t="s">
        <v>2109</v>
      </c>
      <c r="C24" s="137">
        <f>C10</f>
        <v>0</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7" sqref="G7"/>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61370.23999999879</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43494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46145</v>
      </c>
      <c r="C5" s="1741">
        <f ca="1">ROUND(B5*10000/$B$1,0)</f>
        <v>7519</v>
      </c>
      <c r="D5" s="1741" t="e">
        <f ca="1">ROUND(B5*10000/$B$2,0)</f>
        <v>#DIV/0!</v>
      </c>
      <c r="E5" s="1740"/>
      <c r="F5" s="1738"/>
      <c r="G5" s="1738"/>
    </row>
    <row r="6" spans="1:10" ht="16.5">
      <c r="A6" s="1741" t="s">
        <v>1352</v>
      </c>
      <c r="B6" s="1741">
        <f ca="1">SUM(G14:G23)</f>
        <v>46145</v>
      </c>
      <c r="C6" s="1741">
        <f ca="1">ROUND(B6*10000/$B$1,0)</f>
        <v>7519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'结果表-车库'!B118</f>
        <v>50189.399999998794</v>
      </c>
      <c r="C14" s="1739">
        <f>'结果表-车库'!C118</f>
        <v>0</v>
      </c>
      <c r="D14" s="1739">
        <f ca="1">'结果表-车库'!H118</f>
        <v>18830</v>
      </c>
      <c r="E14" s="1739">
        <f ca="1">ROUND(D14*10000/B14,0)</f>
        <v>3752</v>
      </c>
      <c r="F14" s="1739" t="e">
        <f ca="1">ROUND(D14*10000/C14,0)</f>
        <v>#DIV/0!</v>
      </c>
      <c r="G14" s="1739">
        <f ca="1">'结果表-车库'!D122</f>
        <v>18830</v>
      </c>
      <c r="H14" s="1739" t="str">
        <f>'结果表-车库'!D124</f>
        <v>——</v>
      </c>
      <c r="I14" s="1739" t="str">
        <f>'结果表-车库'!D126</f>
        <v>——</v>
      </c>
      <c r="J14" s="1738"/>
    </row>
    <row r="15" spans="1:10" ht="16.5">
      <c r="A15" s="1737" t="s">
        <v>1345</v>
      </c>
      <c r="B15" s="1744">
        <f>'数据-汇总表'!F19+'数据-汇总表'!F20</f>
        <v>5743.1999999999989</v>
      </c>
      <c r="C15" s="1744"/>
      <c r="D15" s="2997">
        <f ca="1">'典型户型修正-办公'!S22</f>
        <v>15551</v>
      </c>
      <c r="E15" s="1739">
        <f t="shared" ref="E15:E23" ca="1" si="0">ROUND(D15*10000/B15,0)</f>
        <v>27077</v>
      </c>
      <c r="F15" s="1739" t="e">
        <f t="shared" ref="F15:F23" ca="1" si="1">ROUND(D15*10000/C15,0)</f>
        <v>#DIV/0!</v>
      </c>
      <c r="G15" s="2998">
        <f ca="1">D15</f>
        <v>15551</v>
      </c>
      <c r="H15" s="1745"/>
      <c r="I15" s="1744"/>
      <c r="J15" s="1738"/>
    </row>
    <row r="16" spans="1:10" ht="16.5">
      <c r="A16" s="1737" t="s">
        <v>1344</v>
      </c>
      <c r="B16" s="1744">
        <f>'数据-基础表'!K15+'数据-基础表'!K16</f>
        <v>5437.64</v>
      </c>
      <c r="C16" s="1744"/>
      <c r="D16" s="2997">
        <f ca="1">'典型户型修正-商业'!S22</f>
        <v>11764</v>
      </c>
      <c r="E16" s="1739">
        <f t="shared" ca="1" si="0"/>
        <v>21634</v>
      </c>
      <c r="F16" s="1739" t="e">
        <f t="shared" ca="1" si="1"/>
        <v>#DIV/0!</v>
      </c>
      <c r="G16" s="2998">
        <f ca="1">D16</f>
        <v>11764</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4"/>
      <c r="C1" s="242"/>
      <c r="D1" s="242"/>
      <c r="E1" s="242"/>
      <c r="F1" s="242"/>
      <c r="G1" s="1377">
        <f>MATCH(B1,'数据-取费表'!A6:A16,0)+5</f>
        <v>11</v>
      </c>
    </row>
    <row r="2" spans="1:9" s="244" customFormat="1" ht="18" customHeight="1">
      <c r="A2" s="245" t="s">
        <v>2321</v>
      </c>
      <c r="B2" s="246">
        <f ca="1">IF(D2="——",C52,C52-E2)</f>
        <v>26337</v>
      </c>
      <c r="C2" s="243" t="s">
        <v>2322</v>
      </c>
      <c r="D2" s="2545" t="s">
        <v>70</v>
      </c>
      <c r="E2" s="1438" t="e">
        <f ca="1">SUMIF(INDIRECT("'"&amp;G2&amp;"'"&amp;"!A:A"),"承租人权益价值",INDIRECT("'"&amp;G2&amp;"'"&amp;"!c:c"))</f>
        <v>#REF!</v>
      </c>
      <c r="F2" s="2546" t="s">
        <v>2322</v>
      </c>
      <c r="G2" s="2547"/>
    </row>
    <row r="3" spans="1:9" s="244" customFormat="1" ht="18" customHeight="1" thickBot="1">
      <c r="A3" s="247" t="s">
        <v>2323</v>
      </c>
      <c r="B3" s="248">
        <f ca="1">ROUND(B2*10000/(IF(B1="",'数据-汇总表'!E3,INDIRECT("'数据-取费表'!k"&amp;$G$1))),0)</f>
        <v>4291</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0</v>
      </c>
      <c r="D5" s="255" t="s">
        <v>2328</v>
      </c>
      <c r="E5" s="256" t="s">
        <v>2329</v>
      </c>
      <c r="F5" s="256" t="s">
        <v>2330</v>
      </c>
      <c r="G5" s="257"/>
    </row>
    <row r="6" spans="1:9" s="258" customFormat="1" ht="13.5" customHeight="1">
      <c r="A6" s="947" t="s">
        <v>2331</v>
      </c>
      <c r="B6" s="259" t="s">
        <v>2332</v>
      </c>
      <c r="C6" s="260"/>
      <c r="D6" s="261"/>
      <c r="E6" s="262"/>
      <c r="F6" s="262"/>
      <c r="G6" s="263"/>
    </row>
    <row r="7" spans="1:9" s="258" customFormat="1" ht="13.5" customHeight="1">
      <c r="A7" s="947" t="s">
        <v>2333</v>
      </c>
      <c r="B7" s="259" t="s">
        <v>2334</v>
      </c>
      <c r="C7" s="264">
        <f>ROUND(C6*F7,0)</f>
        <v>0</v>
      </c>
      <c r="D7" s="264"/>
      <c r="E7" s="262"/>
      <c r="F7" s="265">
        <f>'数据-取费表'!B48+'数据-取费表'!B49</f>
        <v>3.0499999999999999E-2</v>
      </c>
      <c r="G7" s="263"/>
    </row>
    <row r="8" spans="1:9" s="267" customFormat="1">
      <c r="A8" s="947" t="s">
        <v>2335</v>
      </c>
      <c r="B8" s="259" t="s">
        <v>2336</v>
      </c>
      <c r="C8" s="264">
        <f>IF(G8="已包含在土地购买价格中","0",IF(B1="",'数据-取费表'!B29,IF(G9="全部缴纳",C9+C10,H9)))</f>
        <v>0</v>
      </c>
      <c r="D8" s="266"/>
      <c r="E8" s="264"/>
      <c r="F8" s="265"/>
      <c r="G8" s="2548"/>
    </row>
    <row r="9" spans="1:9" s="258" customFormat="1" ht="13.5" customHeight="1">
      <c r="A9" s="948" t="s">
        <v>800</v>
      </c>
      <c r="B9" s="268" t="s">
        <v>2337</v>
      </c>
      <c r="C9" s="269">
        <f ca="1">ROUND(D9*E9/10000,0)</f>
        <v>0</v>
      </c>
      <c r="D9" s="1030">
        <f ca="1">IF(B1="",'数据-汇总表'!E5,IF(INDIRECT("'数据-取费表'!c"&amp;$G$1)="住宅",INDIRECT("'数据-取费表'!k"&amp;$G$1),0))</f>
        <v>0</v>
      </c>
      <c r="E9" s="269">
        <f>'数据-取费表'!B27</f>
        <v>0</v>
      </c>
      <c r="F9" s="265"/>
      <c r="G9" s="2549"/>
      <c r="H9" s="1388"/>
      <c r="I9" s="2550" t="s">
        <v>2338</v>
      </c>
    </row>
    <row r="10" spans="1:9" s="258" customFormat="1" ht="13.5" customHeight="1">
      <c r="A10" s="948" t="s">
        <v>801</v>
      </c>
      <c r="B10" s="268" t="s">
        <v>2339</v>
      </c>
      <c r="C10" s="269">
        <f ca="1">ROUND(D10*E10/10000,0)</f>
        <v>0</v>
      </c>
      <c r="D10" s="1030">
        <f ca="1">IF(B1="",'数据-汇总表'!E6,IF(INDIRECT("'数据-取费表'!c"&amp;$G$1)="住宅",INDIRECT("'数据-取费表'!s"&amp;$G$1),INDIRECT("'数据-取费表'!k"&amp;$G$1)+INDIRECT("'数据-取费表'!s"&amp;$G$1)))</f>
        <v>61370.239999998797</v>
      </c>
      <c r="E10" s="269">
        <f>'数据-取费表'!B28</f>
        <v>0</v>
      </c>
      <c r="F10" s="265"/>
      <c r="G10" s="270"/>
    </row>
    <row r="11" spans="1:9" s="258" customFormat="1" ht="13.5" hidden="1" customHeight="1">
      <c r="A11" s="271" t="s">
        <v>7</v>
      </c>
      <c r="B11" s="259" t="s">
        <v>2340</v>
      </c>
      <c r="C11" s="255"/>
      <c r="D11" s="1032"/>
      <c r="E11" s="262"/>
      <c r="F11" s="262"/>
      <c r="G11" s="263"/>
    </row>
    <row r="12" spans="1:9" s="258" customFormat="1" ht="13.5" hidden="1" customHeight="1">
      <c r="A12" s="271" t="s">
        <v>8</v>
      </c>
      <c r="B12" s="259" t="s">
        <v>2341</v>
      </c>
      <c r="C12" s="255">
        <v>0</v>
      </c>
      <c r="D12" s="1032"/>
      <c r="E12" s="272"/>
      <c r="F12" s="265">
        <v>3.0499999999999999E-2</v>
      </c>
      <c r="G12" s="263"/>
    </row>
    <row r="13" spans="1:9" s="258" customFormat="1" ht="13.5" hidden="1" customHeight="1">
      <c r="A13" s="271" t="s">
        <v>9</v>
      </c>
      <c r="B13" s="259" t="s">
        <v>2342</v>
      </c>
      <c r="C13" s="255"/>
      <c r="D13" s="1032"/>
      <c r="E13" s="262"/>
      <c r="F13" s="262"/>
      <c r="G13" s="263"/>
    </row>
    <row r="14" spans="1:9" s="258" customFormat="1" ht="13.5" hidden="1" customHeight="1">
      <c r="A14" s="271" t="s">
        <v>10</v>
      </c>
      <c r="B14" s="259" t="s">
        <v>2343</v>
      </c>
      <c r="C14" s="255"/>
      <c r="D14" s="1032"/>
      <c r="E14" s="262"/>
      <c r="F14" s="262"/>
      <c r="G14" s="263" t="s">
        <v>2344</v>
      </c>
    </row>
    <row r="15" spans="1:9" s="258" customFormat="1" ht="13.5" hidden="1" customHeight="1">
      <c r="A15" s="271" t="s">
        <v>11</v>
      </c>
      <c r="B15" s="259" t="s">
        <v>2345</v>
      </c>
      <c r="C15" s="264"/>
      <c r="D15" s="1032"/>
      <c r="E15" s="262"/>
      <c r="F15" s="262"/>
      <c r="G15" s="263" t="s">
        <v>2346</v>
      </c>
    </row>
    <row r="16" spans="1:9" s="258" customFormat="1" ht="13.5" hidden="1" customHeight="1">
      <c r="A16" s="271" t="s">
        <v>12</v>
      </c>
      <c r="B16" s="259" t="s">
        <v>2343</v>
      </c>
      <c r="C16" s="264"/>
      <c r="D16" s="1032"/>
      <c r="E16" s="262"/>
      <c r="F16" s="262"/>
      <c r="G16" s="263"/>
    </row>
    <row r="17" spans="1:7" s="258" customFormat="1" ht="13.5" hidden="1" customHeight="1">
      <c r="A17" s="271" t="s">
        <v>13</v>
      </c>
      <c r="B17" s="259" t="s">
        <v>2347</v>
      </c>
      <c r="C17" s="273"/>
      <c r="D17" s="1033"/>
      <c r="E17" s="273"/>
      <c r="F17" s="273"/>
      <c r="G17" s="263" t="s">
        <v>2346</v>
      </c>
    </row>
    <row r="18" spans="1:7" s="258" customFormat="1" ht="13.5" hidden="1" customHeight="1">
      <c r="A18" s="271" t="s">
        <v>14</v>
      </c>
      <c r="B18" s="259" t="s">
        <v>2348</v>
      </c>
      <c r="C18" s="264">
        <v>0</v>
      </c>
      <c r="D18" s="1032"/>
      <c r="E18" s="262"/>
      <c r="F18" s="265">
        <v>3.0499999999999999E-2</v>
      </c>
      <c r="G18" s="263" t="s">
        <v>2349</v>
      </c>
    </row>
    <row r="19" spans="1:7" s="267" customFormat="1" ht="13.5" customHeight="1">
      <c r="A19" s="299" t="s">
        <v>2350</v>
      </c>
      <c r="B19" s="254" t="s">
        <v>2351</v>
      </c>
      <c r="C19" s="255">
        <f ca="1">IF(G19="已包含在土地取得成本中","0",ROUND(D19*E19/10000,0))</f>
        <v>1227</v>
      </c>
      <c r="D19" s="1034">
        <f ca="1">D9+D10</f>
        <v>61370.239999998797</v>
      </c>
      <c r="E19" s="255">
        <f>'数据-取费表'!B31</f>
        <v>200</v>
      </c>
      <c r="F19" s="275"/>
      <c r="G19" s="2548"/>
    </row>
    <row r="20" spans="1:7" s="258" customFormat="1" ht="13.5" customHeight="1">
      <c r="A20" s="299" t="s">
        <v>2352</v>
      </c>
      <c r="B20" s="254" t="s">
        <v>2353</v>
      </c>
      <c r="C20" s="276">
        <f ca="1">ROUND((C5+C19)*F20,0)</f>
        <v>25</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2">
        <f ca="1">ROUND(SUM(C23:C25),0)</f>
        <v>120</v>
      </c>
      <c r="D22" s="279">
        <f ca="1">C26</f>
        <v>1E-3</v>
      </c>
      <c r="E22" s="280" t="s">
        <v>2357</v>
      </c>
      <c r="F22" s="281">
        <f ca="1">'数据-取费表'!B40</f>
        <v>4.7500000000000001E-2</v>
      </c>
      <c r="G22" s="278" t="str">
        <f>IF('数据-取费表'!B22&lt;=1,"单利计息","复利计息")</f>
        <v>复利计息</v>
      </c>
    </row>
    <row r="23" spans="1:7" s="258" customFormat="1" ht="13.5" customHeight="1">
      <c r="A23" s="949" t="s">
        <v>2361</v>
      </c>
      <c r="B23" s="259" t="s">
        <v>2362</v>
      </c>
      <c r="C23" s="1353">
        <f ca="1">ROUND(IF('数据-取费表'!B22&lt;=1,C5*F22*'数据-取费表'!B23,C5*(POWER((1+F22),'数据-取费表'!B23)-1)),0)</f>
        <v>0</v>
      </c>
      <c r="D23" s="282"/>
      <c r="E23" s="282"/>
      <c r="F23" s="283"/>
      <c r="G23" s="284" t="s">
        <v>2363</v>
      </c>
    </row>
    <row r="24" spans="1:7" s="258" customFormat="1" ht="13.5" customHeight="1">
      <c r="A24" s="949" t="s">
        <v>2364</v>
      </c>
      <c r="B24" s="259" t="s">
        <v>2365</v>
      </c>
      <c r="C24" s="1353">
        <f ca="1">ROUND(IF('数据-取费表'!B22&lt;=1,C19*F22*('数据-取费表'!B19/2+'数据-取费表'!B21),C19*(POWER((1+F22),('数据-取费表'!B19/2+'数据-取费表'!B21))-1)),0)</f>
        <v>119</v>
      </c>
      <c r="D24" s="282"/>
      <c r="E24" s="282"/>
      <c r="F24" s="283"/>
      <c r="G24" s="284" t="s">
        <v>2366</v>
      </c>
    </row>
    <row r="25" spans="1:7" s="258" customFormat="1" ht="24">
      <c r="A25" s="949" t="s">
        <v>2367</v>
      </c>
      <c r="B25" s="259" t="s">
        <v>2368</v>
      </c>
      <c r="C25" s="1353">
        <f ca="1">ROUND(IF('数据-取费表'!B22&lt;=1,C20*F22*'数据-取费表'!B23/2,C20*(POWER((1+F22),'数据-取费表'!B23/2)-1)),0)</f>
        <v>1</v>
      </c>
      <c r="D25" s="282"/>
      <c r="E25" s="285"/>
      <c r="F25" s="283"/>
      <c r="G25" s="286" t="s">
        <v>2369</v>
      </c>
    </row>
    <row r="26" spans="1:7" s="258" customFormat="1">
      <c r="A26" s="949"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88</v>
      </c>
      <c r="D27" s="279">
        <f ca="1">C29</f>
        <v>1.4E-3</v>
      </c>
      <c r="E27" s="280" t="s">
        <v>2373</v>
      </c>
      <c r="F27" s="290">
        <f ca="1">IF(B1="",'数据-取费表'!Q16,INDIRECT("'数据-取费表'!q"&amp;$G$1))</f>
        <v>7.0000000000000007E-2</v>
      </c>
      <c r="G27" s="291" t="s">
        <v>2374</v>
      </c>
    </row>
    <row r="28" spans="1:7" s="258" customFormat="1" ht="13.5" customHeight="1">
      <c r="A28" s="949" t="s">
        <v>791</v>
      </c>
      <c r="B28" s="292" t="s">
        <v>2375</v>
      </c>
      <c r="C28" s="293">
        <f ca="1">ROUND((C5+C19+C20)*F27*'数据-取费表'!B21/'数据-取费表'!B20,0)</f>
        <v>88</v>
      </c>
      <c r="D28" s="279"/>
      <c r="E28" s="280"/>
      <c r="F28" s="290"/>
      <c r="G28" s="291"/>
    </row>
    <row r="29" spans="1:7" s="258" customFormat="1" ht="13.5" customHeight="1">
      <c r="A29" s="949" t="s">
        <v>792</v>
      </c>
      <c r="B29" s="292" t="s">
        <v>2376</v>
      </c>
      <c r="C29" s="282">
        <f ca="1">ROUND(C21*F27*'数据-取费表'!B21/'数据-取费表'!B20,4)</f>
        <v>1.4E-3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1578</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20466</v>
      </c>
      <c r="D33" s="276"/>
      <c r="E33" s="256"/>
      <c r="F33" s="285"/>
      <c r="G33" s="278"/>
    </row>
    <row r="34" spans="1:7" s="302" customFormat="1" ht="13.5" customHeight="1">
      <c r="A34" s="949" t="s">
        <v>791</v>
      </c>
      <c r="B34" s="259" t="s">
        <v>2384</v>
      </c>
      <c r="C34" s="264">
        <f ca="1">IF(B1="",IF(F34=100%,'数据-取费表'!M16,'数据-取费表'!O16),IF(F34=100%,INDIRECT("'数据-取费表'!m"&amp;$G$1)+INDIRECT("'数据-取费表'!t"&amp;$G$1),INDIRECT("'数据-取费表'!o"&amp;$G$1)+INDIRECT("'数据-取费表'!aq"&amp;$G$1)))</f>
        <v>18411</v>
      </c>
      <c r="D34" s="261"/>
      <c r="E34" s="264"/>
      <c r="F34" s="301">
        <f ca="1">IF('数据-取费表'!B24=0,1,IF(B1="",'数据-取费表'!N16,INDIRECT("'数据-取费表'!n"&amp;$G$1)))</f>
        <v>1</v>
      </c>
      <c r="G34" s="263" t="s">
        <v>2385</v>
      </c>
    </row>
    <row r="35" spans="1:7" ht="13.5" customHeight="1">
      <c r="A35" s="949" t="s">
        <v>796</v>
      </c>
      <c r="B35" s="259" t="s">
        <v>2386</v>
      </c>
      <c r="C35" s="264">
        <f ca="1">ROUND(C34*F35,0)</f>
        <v>552</v>
      </c>
      <c r="D35" s="264"/>
      <c r="E35" s="264"/>
      <c r="F35" s="303">
        <f>'数据-取费表'!B33</f>
        <v>0.03</v>
      </c>
      <c r="G35" s="263" t="s">
        <v>2387</v>
      </c>
    </row>
    <row r="36" spans="1:7" ht="24">
      <c r="A36" s="949"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9" t="s">
        <v>798</v>
      </c>
      <c r="B37" s="259" t="s">
        <v>2390</v>
      </c>
      <c r="C37" s="293">
        <f ca="1">ROUND(E37*D37*F34/10000,0)</f>
        <v>1227</v>
      </c>
      <c r="D37" s="261">
        <f ca="1">D19</f>
        <v>61370.239999998797</v>
      </c>
      <c r="E37" s="293">
        <f>'数据-取费表'!B35</f>
        <v>200</v>
      </c>
      <c r="F37" s="303"/>
      <c r="G37" s="305" t="s">
        <v>2391</v>
      </c>
    </row>
    <row r="38" spans="1:7" ht="13.5" customHeight="1">
      <c r="A38" s="949" t="s">
        <v>799</v>
      </c>
      <c r="B38" s="259" t="s">
        <v>2392</v>
      </c>
      <c r="C38" s="264">
        <f ca="1">ROUND(C34*F38,0)</f>
        <v>276</v>
      </c>
      <c r="D38" s="264"/>
      <c r="E38" s="264"/>
      <c r="F38" s="303">
        <f>'数据-取费表'!B36</f>
        <v>1.4999999999999999E-2</v>
      </c>
      <c r="G38" s="263" t="s">
        <v>2387</v>
      </c>
    </row>
    <row r="39" spans="1:7" s="258" customFormat="1" ht="13.5" customHeight="1">
      <c r="A39" s="299" t="s">
        <v>2393</v>
      </c>
      <c r="B39" s="254" t="s">
        <v>2394</v>
      </c>
      <c r="C39" s="276">
        <f ca="1">ROUND(C33*F20,0)</f>
        <v>409</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991</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ROUND(IF('数据-取费表'!B22&lt;=1,C33*F22*'数据-取费表'!B21/2,C33*(POWER((1+F22),'数据-取费表'!B21/2)-1)),0)</f>
        <v>972</v>
      </c>
      <c r="D42" s="282"/>
      <c r="E42" s="282"/>
      <c r="F42" s="283"/>
      <c r="G42" s="3096" t="s">
        <v>2403</v>
      </c>
    </row>
    <row r="43" spans="1:7" ht="13.5" customHeight="1">
      <c r="A43" s="949" t="s">
        <v>792</v>
      </c>
      <c r="B43" s="259" t="s">
        <v>2404</v>
      </c>
      <c r="C43" s="282">
        <f ca="1">ROUND(IF('数据-取费表'!B22&lt;=1,C39*F22*'数据-取费表'!B21/2,C39*(POWER((1+F22),'数据-取费表'!B21/2)-1)),0)</f>
        <v>19</v>
      </c>
      <c r="D43" s="282"/>
      <c r="E43" s="282"/>
      <c r="F43" s="283"/>
      <c r="G43" s="3097"/>
    </row>
    <row r="44" spans="1:7" ht="13.5" customHeight="1">
      <c r="A44" s="949" t="s">
        <v>793</v>
      </c>
      <c r="B44" s="259" t="s">
        <v>2405</v>
      </c>
      <c r="C44" s="282">
        <f ca="1">ROUND(IF('数据-取费表'!B22&lt;=1,C40*F22*'数据-取费表'!B21/2,C40*(POWER((1+F22),'数据-取费表'!B21/2)-1)),4)</f>
        <v>1E-3</v>
      </c>
      <c r="D44" s="282"/>
      <c r="E44" s="282"/>
      <c r="F44" s="283"/>
      <c r="G44" s="3098"/>
    </row>
    <row r="45" spans="1:7" s="258" customFormat="1" ht="13.5" customHeight="1">
      <c r="A45" s="299" t="s">
        <v>2406</v>
      </c>
      <c r="B45" s="288" t="s">
        <v>2372</v>
      </c>
      <c r="C45" s="289">
        <f ca="1">C46</f>
        <v>1461</v>
      </c>
      <c r="D45" s="279">
        <f ca="1">C47</f>
        <v>1.4E-3</v>
      </c>
      <c r="E45" s="280" t="s">
        <v>2398</v>
      </c>
      <c r="F45" s="290"/>
      <c r="G45" s="291" t="s">
        <v>2407</v>
      </c>
    </row>
    <row r="46" spans="1:7" s="258" customFormat="1" ht="13.5" customHeight="1">
      <c r="A46" s="949" t="s">
        <v>791</v>
      </c>
      <c r="B46" s="292" t="s">
        <v>2408</v>
      </c>
      <c r="C46" s="293">
        <f ca="1">ROUND((C33+C39)*F27,0)</f>
        <v>1461</v>
      </c>
      <c r="D46" s="307"/>
      <c r="E46" s="280"/>
      <c r="F46" s="290"/>
      <c r="G46" s="291"/>
    </row>
    <row r="47" spans="1:7" s="258" customFormat="1" ht="13.5" customHeight="1">
      <c r="A47" s="949" t="s">
        <v>792</v>
      </c>
      <c r="B47" s="292" t="s">
        <v>2409</v>
      </c>
      <c r="C47" s="282">
        <f ca="1">ROUND(C40*F27,4)</f>
        <v>1.4E-3</v>
      </c>
      <c r="D47" s="307"/>
      <c r="E47" s="280"/>
      <c r="F47" s="290"/>
      <c r="G47" s="291"/>
    </row>
    <row r="48" spans="1:7" s="258" customFormat="1" ht="13.5" customHeight="1">
      <c r="A48" s="299" t="s">
        <v>2371</v>
      </c>
      <c r="B48" s="254" t="s">
        <v>2410</v>
      </c>
      <c r="C48" s="1726">
        <f>ROUND(F30/(1+'数据-取费表'!C42),4)</f>
        <v>5.2400000000000002E-2</v>
      </c>
      <c r="D48" s="280" t="s">
        <v>2398</v>
      </c>
      <c r="E48" s="276"/>
      <c r="F48" s="281"/>
      <c r="G48" s="278" t="s">
        <v>2411</v>
      </c>
    </row>
    <row r="49" spans="1:7" ht="16.5" customHeight="1">
      <c r="A49" s="299" t="s">
        <v>2377</v>
      </c>
      <c r="B49" s="254" t="s">
        <v>2412</v>
      </c>
      <c r="C49" s="276">
        <f ca="1">ROUND((C33+C39+C41+C45)/(1-C40-D41-D45-C48),0)</f>
        <v>25213</v>
      </c>
      <c r="D49" s="276"/>
      <c r="E49" s="276"/>
      <c r="F49" s="308"/>
      <c r="G49" s="278" t="s">
        <v>2413</v>
      </c>
    </row>
    <row r="50" spans="1:7" s="302" customFormat="1" ht="24">
      <c r="A50" s="299" t="s">
        <v>2414</v>
      </c>
      <c r="B50" s="254" t="s">
        <v>2415</v>
      </c>
      <c r="C50" s="276"/>
      <c r="D50" s="276"/>
      <c r="E50" s="276"/>
      <c r="F50" s="308">
        <f>IF('数据-取费表'!B24=0,'数据-取费表'!N16,1)</f>
        <v>0.98199999999999998</v>
      </c>
      <c r="G50" s="291" t="s">
        <v>2416</v>
      </c>
    </row>
    <row r="51" spans="1:7" ht="16.5" customHeight="1">
      <c r="A51" s="299" t="s">
        <v>2417</v>
      </c>
      <c r="B51" s="254" t="s">
        <v>2418</v>
      </c>
      <c r="C51" s="276">
        <f ca="1">ROUND(C49*F50,0)</f>
        <v>24759</v>
      </c>
      <c r="D51" s="276"/>
      <c r="E51" s="276"/>
      <c r="F51" s="308"/>
      <c r="G51" s="278" t="s">
        <v>2419</v>
      </c>
    </row>
    <row r="52" spans="1:7" s="252" customFormat="1" ht="16.5" thickBot="1">
      <c r="A52" s="309" t="s">
        <v>2420</v>
      </c>
      <c r="B52" s="310"/>
      <c r="C52" s="311">
        <f ca="1">C31+C51</f>
        <v>26337</v>
      </c>
      <c r="D52" s="310"/>
      <c r="E52" s="310"/>
      <c r="F52" s="310"/>
      <c r="G52" s="312"/>
    </row>
    <row r="55" spans="1:7" ht="15">
      <c r="B55" s="314" t="s">
        <v>2421</v>
      </c>
      <c r="C55" s="315"/>
    </row>
    <row r="56" spans="1:7">
      <c r="B56" s="317" t="s">
        <v>1509</v>
      </c>
      <c r="C56" s="319">
        <f ca="1">1-C57</f>
        <v>6.0000000000000053E-2</v>
      </c>
    </row>
    <row r="57" spans="1:7">
      <c r="B57" s="317" t="s">
        <v>1510</v>
      </c>
      <c r="C57" s="318">
        <f ca="1">ROUND(C51/C52,3)</f>
        <v>0.94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4"/>
      <c r="C1" s="2551" t="s">
        <v>2422</v>
      </c>
      <c r="D1" s="242"/>
      <c r="E1" s="242"/>
      <c r="F1" s="242"/>
      <c r="G1" s="1377">
        <f>MATCH(B1,'数据-取费表'!A6:A16,0)+5</f>
        <v>11</v>
      </c>
      <c r="H1" s="1280" t="str">
        <f>IF(ISERROR(FIND("住宅",B1)),"非住宅","住宅")</f>
        <v>非住宅</v>
      </c>
    </row>
    <row r="2" spans="1:8" s="244" customFormat="1" ht="18" customHeight="1">
      <c r="A2" s="245" t="s">
        <v>2321</v>
      </c>
      <c r="B2" s="246">
        <f ca="1">ROUND(IF(D2="——",C52/10000,C52/10000-E2),0)</f>
        <v>26340</v>
      </c>
      <c r="C2" s="243" t="s">
        <v>2322</v>
      </c>
      <c r="D2" s="2545" t="s">
        <v>70</v>
      </c>
      <c r="E2" s="1438" t="e">
        <f ca="1">SUMIF(INDIRECT("'"&amp;G2&amp;"'"&amp;"!A:A"),"承租人权益价值",INDIRECT("'"&amp;G2&amp;"'"&amp;"!c:c"))</f>
        <v>#REF!</v>
      </c>
      <c r="F2" s="2546" t="s">
        <v>2322</v>
      </c>
      <c r="G2" s="2547"/>
    </row>
    <row r="3" spans="1:8" s="244" customFormat="1" ht="18" customHeight="1" thickBot="1">
      <c r="A3" s="247" t="s">
        <v>2323</v>
      </c>
      <c r="B3" s="248">
        <f ca="1">ROUND(B2*10000/(IF(B1="",'数据-汇总表'!E3,INDIRECT("'数据-取费表'!k"&amp;$G$1))),0)</f>
        <v>4292</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0</v>
      </c>
      <c r="D5" s="255" t="s">
        <v>2328</v>
      </c>
      <c r="E5" s="256" t="s">
        <v>2329</v>
      </c>
      <c r="F5" s="256" t="s">
        <v>2330</v>
      </c>
      <c r="G5" s="257"/>
    </row>
    <row r="6" spans="1:8" s="258" customFormat="1" ht="13.5" customHeight="1">
      <c r="A6" s="947" t="s">
        <v>2331</v>
      </c>
      <c r="B6" s="259" t="s">
        <v>2332</v>
      </c>
      <c r="C6" s="260"/>
      <c r="D6" s="261"/>
      <c r="E6" s="262"/>
      <c r="F6" s="262"/>
      <c r="G6" s="263"/>
    </row>
    <row r="7" spans="1:8" s="258" customFormat="1" ht="13.5" customHeight="1">
      <c r="A7" s="947" t="s">
        <v>2333</v>
      </c>
      <c r="B7" s="259" t="s">
        <v>2334</v>
      </c>
      <c r="C7" s="264">
        <f>ROUND(C6*F7,0)</f>
        <v>0</v>
      </c>
      <c r="D7" s="264"/>
      <c r="E7" s="262"/>
      <c r="F7" s="265">
        <f>'数据-取费表'!B48+'数据-取费表'!B49</f>
        <v>3.0499999999999999E-2</v>
      </c>
      <c r="G7" s="263"/>
    </row>
    <row r="8" spans="1:8" s="267" customFormat="1">
      <c r="A8" s="947" t="s">
        <v>2335</v>
      </c>
      <c r="B8" s="259" t="s">
        <v>2336</v>
      </c>
      <c r="C8" s="264">
        <f ca="1">IF(G8="已包含在土地购买价格中",0,C9+C10)</f>
        <v>0</v>
      </c>
      <c r="D8" s="266"/>
      <c r="E8" s="264"/>
      <c r="F8" s="265"/>
      <c r="G8" s="2548"/>
    </row>
    <row r="9" spans="1:8" s="258" customFormat="1" ht="13.5" customHeight="1">
      <c r="A9" s="948" t="s">
        <v>800</v>
      </c>
      <c r="B9" s="268" t="s">
        <v>2337</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2339</v>
      </c>
      <c r="C10" s="269">
        <f ca="1">ROUND(D10*E10,0)</f>
        <v>0</v>
      </c>
      <c r="D10" s="1030">
        <f ca="1">IF(B1="",'数据-汇总表'!E6,IF(INDIRECT("'数据-取费表'!c"&amp;$G$1)="住宅",INDIRECT("'数据-取费表'!s"&amp;$G$1),INDIRECT("'数据-取费表'!k"&amp;$G$1)+INDIRECT("'数据-取费表'!s"&amp;$G$1)))</f>
        <v>61370.239999998797</v>
      </c>
      <c r="E10" s="269">
        <f>'数据-取费表'!B28</f>
        <v>0</v>
      </c>
      <c r="F10" s="265"/>
      <c r="G10" s="270"/>
    </row>
    <row r="11" spans="1:8" s="258" customFormat="1" ht="13.5" hidden="1" customHeight="1">
      <c r="A11" s="271" t="s">
        <v>7</v>
      </c>
      <c r="B11" s="259" t="s">
        <v>2340</v>
      </c>
      <c r="C11" s="255"/>
      <c r="D11" s="1032"/>
      <c r="E11" s="262"/>
      <c r="F11" s="262"/>
      <c r="G11" s="263"/>
    </row>
    <row r="12" spans="1:8" s="258" customFormat="1" ht="13.5" hidden="1" customHeight="1">
      <c r="A12" s="271" t="s">
        <v>8</v>
      </c>
      <c r="B12" s="259" t="s">
        <v>2423</v>
      </c>
      <c r="C12" s="255">
        <v>0</v>
      </c>
      <c r="D12" s="1032"/>
      <c r="E12" s="272"/>
      <c r="F12" s="265">
        <v>3.0499999999999999E-2</v>
      </c>
      <c r="G12" s="263"/>
    </row>
    <row r="13" spans="1:8" s="258" customFormat="1" ht="13.5" hidden="1" customHeight="1">
      <c r="A13" s="271" t="s">
        <v>9</v>
      </c>
      <c r="B13" s="259" t="s">
        <v>2424</v>
      </c>
      <c r="C13" s="255"/>
      <c r="D13" s="1032"/>
      <c r="E13" s="262"/>
      <c r="F13" s="262"/>
      <c r="G13" s="263"/>
    </row>
    <row r="14" spans="1:8" s="258" customFormat="1" ht="13.5" hidden="1" customHeight="1">
      <c r="A14" s="271" t="s">
        <v>10</v>
      </c>
      <c r="B14" s="259" t="s">
        <v>2336</v>
      </c>
      <c r="C14" s="255"/>
      <c r="D14" s="1032"/>
      <c r="E14" s="262"/>
      <c r="F14" s="262"/>
      <c r="G14" s="263" t="s">
        <v>2425</v>
      </c>
    </row>
    <row r="15" spans="1:8" s="258" customFormat="1" ht="13.5" hidden="1" customHeight="1">
      <c r="A15" s="271" t="s">
        <v>11</v>
      </c>
      <c r="B15" s="259" t="s">
        <v>2426</v>
      </c>
      <c r="C15" s="264"/>
      <c r="D15" s="1032"/>
      <c r="E15" s="262"/>
      <c r="F15" s="262"/>
      <c r="G15" s="263" t="s">
        <v>2427</v>
      </c>
    </row>
    <row r="16" spans="1:8" s="258" customFormat="1" ht="13.5" hidden="1" customHeight="1">
      <c r="A16" s="271" t="s">
        <v>12</v>
      </c>
      <c r="B16" s="259" t="s">
        <v>2336</v>
      </c>
      <c r="C16" s="264"/>
      <c r="D16" s="1032"/>
      <c r="E16" s="262"/>
      <c r="F16" s="262"/>
      <c r="G16" s="263"/>
    </row>
    <row r="17" spans="1:7" s="258" customFormat="1" ht="13.5" hidden="1" customHeight="1">
      <c r="A17" s="271" t="s">
        <v>13</v>
      </c>
      <c r="B17" s="259" t="s">
        <v>2428</v>
      </c>
      <c r="C17" s="273"/>
      <c r="D17" s="1033"/>
      <c r="E17" s="273"/>
      <c r="F17" s="273"/>
      <c r="G17" s="263" t="s">
        <v>2427</v>
      </c>
    </row>
    <row r="18" spans="1:7" s="258" customFormat="1" ht="13.5" hidden="1" customHeight="1">
      <c r="A18" s="271" t="s">
        <v>14</v>
      </c>
      <c r="B18" s="259" t="s">
        <v>2429</v>
      </c>
      <c r="C18" s="264">
        <v>0</v>
      </c>
      <c r="D18" s="1032"/>
      <c r="E18" s="262"/>
      <c r="F18" s="265">
        <v>3.0499999999999999E-2</v>
      </c>
      <c r="G18" s="263" t="s">
        <v>2430</v>
      </c>
    </row>
    <row r="19" spans="1:7" s="267" customFormat="1" ht="13.5" customHeight="1">
      <c r="A19" s="299" t="s">
        <v>2431</v>
      </c>
      <c r="B19" s="254" t="s">
        <v>2432</v>
      </c>
      <c r="C19" s="255">
        <f ca="1">IF(G19="已包含在土地取得成本中","0",ROUND(D19*E19,0))</f>
        <v>12274048</v>
      </c>
      <c r="D19" s="1034">
        <f ca="1">D9+D10</f>
        <v>61370.239999998797</v>
      </c>
      <c r="E19" s="255">
        <f>'数据-取费表'!B31</f>
        <v>200</v>
      </c>
      <c r="F19" s="275"/>
      <c r="G19" s="2548"/>
    </row>
    <row r="20" spans="1:7" s="258" customFormat="1" ht="13.5" customHeight="1">
      <c r="A20" s="299" t="s">
        <v>2433</v>
      </c>
      <c r="B20" s="254" t="s">
        <v>2434</v>
      </c>
      <c r="C20" s="276">
        <f ca="1">ROUND((C5+C19)*F20,0)</f>
        <v>245481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8">
        <f ca="1">ROUND(SUM(C23:C25),0)</f>
        <v>1205388</v>
      </c>
      <c r="D22" s="279">
        <f ca="1">C26</f>
        <v>1E-3</v>
      </c>
      <c r="E22" s="280" t="s">
        <v>2438</v>
      </c>
      <c r="F22" s="281">
        <f ca="1">'数据-取费表'!B40</f>
        <v>4.7500000000000001E-2</v>
      </c>
      <c r="G22" s="278" t="str">
        <f>IF('数据-取费表'!B22&lt;=1,"单利计息","复利计息")</f>
        <v>复利计息</v>
      </c>
    </row>
    <row r="23" spans="1:7" s="258" customFormat="1" ht="13.5" customHeight="1">
      <c r="A23" s="949" t="s">
        <v>2331</v>
      </c>
      <c r="B23" s="259" t="s">
        <v>2442</v>
      </c>
      <c r="C23" s="1379">
        <f ca="1">ROUND(IF('数据-取费表'!B22&lt;=1,C5*F22*'数据-取费表'!B22,C5*(POWER((1+F22),'数据-取费表'!B22)-1)),0)</f>
        <v>0</v>
      </c>
      <c r="D23" s="282"/>
      <c r="E23" s="282"/>
      <c r="F23" s="283"/>
      <c r="G23" s="284" t="s">
        <v>2443</v>
      </c>
    </row>
    <row r="24" spans="1:7" s="258" customFormat="1" ht="13.5" customHeight="1">
      <c r="A24" s="949" t="s">
        <v>2333</v>
      </c>
      <c r="B24" s="259" t="s">
        <v>2444</v>
      </c>
      <c r="C24" s="1379">
        <f ca="1">ROUND(IF('数据-取费表'!B22&lt;=1,C19*F22*('数据-取费表'!B19/2+'数据-取费表'!B20),C19*(POWER((1+F22),('数据-取费表'!B19/2+'数据-取费表'!B20))-1)),0)</f>
        <v>1193728</v>
      </c>
      <c r="D24" s="282"/>
      <c r="E24" s="282"/>
      <c r="F24" s="283"/>
      <c r="G24" s="284" t="s">
        <v>2445</v>
      </c>
    </row>
    <row r="25" spans="1:7" s="258" customFormat="1" ht="24">
      <c r="A25" s="949" t="s">
        <v>2335</v>
      </c>
      <c r="B25" s="259" t="s">
        <v>2446</v>
      </c>
      <c r="C25" s="1379">
        <f ca="1">ROUND(IF('数据-取费表'!B22&lt;=1,C20*F22*'数据-取费表'!B22/2,C20*(POWER((1+F22),'数据-取费表'!B22/2)-1)),0)</f>
        <v>11660</v>
      </c>
      <c r="D25" s="282"/>
      <c r="E25" s="285"/>
      <c r="F25" s="283"/>
      <c r="G25" s="286" t="s">
        <v>2447</v>
      </c>
    </row>
    <row r="26" spans="1:7" s="258" customFormat="1">
      <c r="A26" s="949"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876367</v>
      </c>
      <c r="D27" s="279">
        <f ca="1">C29</f>
        <v>1.4E-3</v>
      </c>
      <c r="E27" s="280" t="s">
        <v>2373</v>
      </c>
      <c r="F27" s="290">
        <f ca="1">IF(B1="",'数据-取费表'!Q16,INDIRECT("'数据-取费表'!q"&amp;$G$1))</f>
        <v>7.0000000000000007E-2</v>
      </c>
      <c r="G27" s="291" t="s">
        <v>2374</v>
      </c>
    </row>
    <row r="28" spans="1:7" s="258" customFormat="1" ht="13.5" customHeight="1">
      <c r="A28" s="949" t="s">
        <v>791</v>
      </c>
      <c r="B28" s="292" t="s">
        <v>2375</v>
      </c>
      <c r="C28" s="293">
        <f ca="1">ROUND((C5+C19+C20)*F27,0)</f>
        <v>876367</v>
      </c>
      <c r="D28" s="279"/>
      <c r="E28" s="280"/>
      <c r="F28" s="290"/>
      <c r="G28" s="291"/>
    </row>
    <row r="29" spans="1:7" s="258" customFormat="1" ht="13.5" customHeight="1">
      <c r="A29" s="949" t="s">
        <v>792</v>
      </c>
      <c r="B29" s="292" t="s">
        <v>2376</v>
      </c>
      <c r="C29" s="282">
        <f ca="1">ROUND(C21*F27,4)</f>
        <v>1.4E-3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15781760</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204669751</v>
      </c>
      <c r="D33" s="276"/>
      <c r="E33" s="256"/>
      <c r="F33" s="285"/>
      <c r="G33" s="278"/>
    </row>
    <row r="34" spans="1:7" s="302" customFormat="1" ht="13.5" customHeight="1">
      <c r="A34" s="949" t="s">
        <v>791</v>
      </c>
      <c r="B34" s="259" t="s">
        <v>2384</v>
      </c>
      <c r="C34" s="264">
        <f ca="1">ROUND(IF(B1="",SUMPRODUCT('数据-取费表'!K6:K14,'数据-取费表'!L6:L14),INDIRECT("'数据-取费表'!l"&amp;$G$1)*INDIRECT("'数据-取费表'!k"&amp;$G$1)+'数据-取费表'!L14*INDIRECT("'数据-取费表'!S"&amp;$G$1)),0)</f>
        <v>184110720</v>
      </c>
      <c r="D34" s="261"/>
      <c r="E34" s="264"/>
      <c r="F34" s="301"/>
      <c r="G34" s="263"/>
    </row>
    <row r="35" spans="1:7" ht="13.5" customHeight="1">
      <c r="A35" s="949" t="s">
        <v>796</v>
      </c>
      <c r="B35" s="259" t="s">
        <v>2386</v>
      </c>
      <c r="C35" s="264">
        <f ca="1">ROUND(C34*F35,0)</f>
        <v>5523322</v>
      </c>
      <c r="D35" s="264"/>
      <c r="E35" s="264"/>
      <c r="F35" s="303">
        <f>'数据-取费表'!B33</f>
        <v>0.03</v>
      </c>
      <c r="G35" s="263" t="s">
        <v>2387</v>
      </c>
    </row>
    <row r="36" spans="1:7" ht="24">
      <c r="A36" s="949"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49" t="s">
        <v>798</v>
      </c>
      <c r="B37" s="259" t="s">
        <v>2390</v>
      </c>
      <c r="C37" s="293">
        <f ca="1">ROUND(E37*D37,0)</f>
        <v>12274048</v>
      </c>
      <c r="D37" s="261">
        <f ca="1">D19</f>
        <v>61370.239999998797</v>
      </c>
      <c r="E37" s="293">
        <f>'数据-取费表'!B35</f>
        <v>200</v>
      </c>
      <c r="F37" s="303"/>
      <c r="G37" s="305"/>
    </row>
    <row r="38" spans="1:7" ht="13.5" customHeight="1">
      <c r="A38" s="949" t="s">
        <v>799</v>
      </c>
      <c r="B38" s="259" t="s">
        <v>2392</v>
      </c>
      <c r="C38" s="264">
        <f ca="1">ROUND(C34*F38,0)</f>
        <v>2761661</v>
      </c>
      <c r="D38" s="264"/>
      <c r="E38" s="264"/>
      <c r="F38" s="303">
        <f>'数据-取费表'!B36</f>
        <v>1.4999999999999999E-2</v>
      </c>
      <c r="G38" s="263" t="s">
        <v>2387</v>
      </c>
    </row>
    <row r="39" spans="1:7" s="258" customFormat="1" ht="13.5" customHeight="1">
      <c r="A39" s="299" t="s">
        <v>2393</v>
      </c>
      <c r="B39" s="254" t="s">
        <v>2394</v>
      </c>
      <c r="C39" s="276">
        <f ca="1">ROUND(C33*F20,0)</f>
        <v>4093395</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9916249</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ROUND(IF('数据-取费表'!B22&lt;=1,C33*F22*'数据-取费表'!B20/2,C33*(POWER((1+F22),'数据-取费表'!B20/2)-1)),0)</f>
        <v>9721813</v>
      </c>
      <c r="D42" s="282"/>
      <c r="E42" s="282"/>
      <c r="F42" s="283"/>
      <c r="G42" s="3096" t="s">
        <v>2450</v>
      </c>
    </row>
    <row r="43" spans="1:7" ht="13.5" customHeight="1">
      <c r="A43" s="949" t="s">
        <v>792</v>
      </c>
      <c r="B43" s="259" t="s">
        <v>2404</v>
      </c>
      <c r="C43" s="282">
        <f ca="1">ROUND(IF('数据-取费表'!B22&lt;=1,C39*F22*'数据-取费表'!B20/2,C39*(POWER((1+F22),'数据-取费表'!B20/2)-1)),0)</f>
        <v>194436</v>
      </c>
      <c r="D43" s="282"/>
      <c r="E43" s="282"/>
      <c r="F43" s="283"/>
      <c r="G43" s="3097"/>
    </row>
    <row r="44" spans="1:7" ht="13.5" customHeight="1">
      <c r="A44" s="949" t="s">
        <v>793</v>
      </c>
      <c r="B44" s="259" t="s">
        <v>2405</v>
      </c>
      <c r="C44" s="282">
        <f ca="1">ROUND(IF('数据-取费表'!B22&lt;=1,C40*F22*'数据-取费表'!B20/2,C40*(POWER((1+F22),'数据-取费表'!B20/2)-1)),4)</f>
        <v>1E-3</v>
      </c>
      <c r="D44" s="282"/>
      <c r="E44" s="282"/>
      <c r="F44" s="283"/>
      <c r="G44" s="3098"/>
    </row>
    <row r="45" spans="1:7" s="258" customFormat="1" ht="13.5" customHeight="1">
      <c r="A45" s="299" t="s">
        <v>2406</v>
      </c>
      <c r="B45" s="288" t="s">
        <v>2372</v>
      </c>
      <c r="C45" s="289">
        <f ca="1">C46</f>
        <v>14613420</v>
      </c>
      <c r="D45" s="279">
        <f ca="1">C47</f>
        <v>1.4E-3</v>
      </c>
      <c r="E45" s="280" t="s">
        <v>2398</v>
      </c>
      <c r="F45" s="290"/>
      <c r="G45" s="291" t="s">
        <v>2407</v>
      </c>
    </row>
    <row r="46" spans="1:7" s="258" customFormat="1" ht="13.5" customHeight="1">
      <c r="A46" s="949" t="s">
        <v>791</v>
      </c>
      <c r="B46" s="292" t="s">
        <v>2408</v>
      </c>
      <c r="C46" s="293">
        <f ca="1">ROUND((C33+C39)*F27,0)</f>
        <v>14613420</v>
      </c>
      <c r="D46" s="307"/>
      <c r="E46" s="280"/>
      <c r="F46" s="290"/>
      <c r="G46" s="291"/>
    </row>
    <row r="47" spans="1:7" s="258" customFormat="1" ht="13.5" customHeight="1">
      <c r="A47" s="949" t="s">
        <v>792</v>
      </c>
      <c r="B47" s="292" t="s">
        <v>2409</v>
      </c>
      <c r="C47" s="282">
        <f ca="1">ROUND(C40*F27,4)</f>
        <v>1.4E-3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252153929</v>
      </c>
      <c r="D49" s="276"/>
      <c r="E49" s="276"/>
      <c r="F49" s="308"/>
      <c r="G49" s="278" t="s">
        <v>2413</v>
      </c>
    </row>
    <row r="50" spans="1:7" s="302" customFormat="1">
      <c r="A50" s="299" t="s">
        <v>2414</v>
      </c>
      <c r="B50" s="254" t="s">
        <v>2415</v>
      </c>
      <c r="C50" s="276"/>
      <c r="D50" s="276"/>
      <c r="E50" s="276"/>
      <c r="F50" s="308">
        <f>IF('数据-取费表'!B24=0,'数据-取费表'!N16,1)</f>
        <v>0.98199999999999998</v>
      </c>
      <c r="G50" s="291"/>
    </row>
    <row r="51" spans="1:7" ht="16.5" customHeight="1">
      <c r="A51" s="299" t="s">
        <v>2417</v>
      </c>
      <c r="B51" s="254" t="s">
        <v>2452</v>
      </c>
      <c r="C51" s="276">
        <f ca="1">ROUND(C49*F50,0)</f>
        <v>247615158</v>
      </c>
      <c r="D51" s="276"/>
      <c r="E51" s="276"/>
      <c r="F51" s="308"/>
      <c r="G51" s="278" t="s">
        <v>2419</v>
      </c>
    </row>
    <row r="52" spans="1:7" s="252" customFormat="1" ht="16.5" thickBot="1">
      <c r="A52" s="309" t="s">
        <v>2420</v>
      </c>
      <c r="B52" s="310"/>
      <c r="C52" s="311">
        <f ca="1">C31+C51</f>
        <v>263396918</v>
      </c>
      <c r="D52" s="310"/>
      <c r="E52" s="310"/>
      <c r="F52" s="310"/>
      <c r="G52" s="312"/>
    </row>
    <row r="55" spans="1:7" ht="15">
      <c r="B55" s="314" t="s">
        <v>2421</v>
      </c>
      <c r="C55" s="315"/>
    </row>
    <row r="56" spans="1:7">
      <c r="B56" s="317" t="s">
        <v>1509</v>
      </c>
      <c r="C56" s="319">
        <f ca="1">1-C57</f>
        <v>6.0000000000000053E-2</v>
      </c>
    </row>
    <row r="57" spans="1:7">
      <c r="B57" s="317" t="s">
        <v>1510</v>
      </c>
      <c r="C57" s="318">
        <f ca="1">ROUND(C51/C52,3)</f>
        <v>0.94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3" t="str">
        <f>项目基本情况!B1</f>
        <v>北京市北京市房山区拱辰街道16-03-04、16-01-05地块出让国有建设用地使用权及在建建筑物房地产抵押价值预评估</v>
      </c>
      <c r="C37" s="3003"/>
      <c r="D37" s="3003"/>
      <c r="E37" s="3003"/>
      <c r="F37" s="3003"/>
      <c r="G37" s="3003"/>
      <c r="H37" s="3003"/>
      <c r="I37" s="3003"/>
    </row>
    <row r="38" spans="1:9">
      <c r="A38" s="1014"/>
      <c r="B38" s="1014"/>
    </row>
    <row r="39" spans="1:9">
      <c r="A39" s="1012" t="s">
        <v>818</v>
      </c>
      <c r="B39" s="1012" t="s">
        <v>820</v>
      </c>
    </row>
    <row r="40" spans="1:9">
      <c r="A40" s="1012"/>
      <c r="B40" s="1939" t="str">
        <f>项目基本情况!B5</f>
        <v>北京恒隆兴置业有限公司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郑燚（注册号：1120070131)、崔锴（注册号：1120100036)</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2453</v>
      </c>
      <c r="B1" s="1579"/>
      <c r="C1" s="1580"/>
      <c r="D1" s="1578"/>
      <c r="E1" s="320"/>
      <c r="F1" s="320"/>
      <c r="G1" s="1579"/>
      <c r="H1" s="320"/>
      <c r="I1" s="320"/>
      <c r="J1" s="320"/>
      <c r="K1" s="320">
        <f>MATCH(C1,'数据-取费表'!A6:A16,0)+5</f>
        <v>11</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2" t="s">
        <v>2459</v>
      </c>
      <c r="D5" s="2552" t="s">
        <v>2460</v>
      </c>
      <c r="E5" s="2552" t="s">
        <v>2461</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50189.399999998794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2465</v>
      </c>
      <c r="B8" s="177"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5"/>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5"/>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61370.239999998797</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40"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61370.239999998797</v>
      </c>
      <c r="E17" s="24">
        <f>'数据-取费表'!B32</f>
        <v>0</v>
      </c>
      <c r="F17" s="976"/>
      <c r="G17" s="140"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0</v>
      </c>
      <c r="D18" s="1031"/>
      <c r="E18" s="24"/>
      <c r="F18" s="974"/>
      <c r="G18" s="2554"/>
      <c r="H18" s="1575"/>
      <c r="I18" s="2555"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2489</v>
      </c>
      <c r="C20" s="24">
        <f ca="1">ROUND(D20*E20/10000,0)</f>
        <v>0</v>
      </c>
      <c r="D20" s="1031">
        <f ca="1">IF(C1="",'数据-汇总表'!E6,IF(INDIRECT("'数据-取费表'!c"&amp;$K$1)="住宅",INDIRECT("'数据-取费表'!s"&amp;$K$1),INDIRECT("'数据-取费表'!k"&amp;$K$1)+INDIRECT("'数据-取费表'!s"&amp;$K$1)))</f>
        <v>61370.239999998797</v>
      </c>
      <c r="E20" s="24">
        <f>'数据-取费表'!B28</f>
        <v>0</v>
      </c>
      <c r="F20" s="974"/>
      <c r="G20" s="15"/>
      <c r="H20" s="979"/>
      <c r="I20" s="979"/>
      <c r="J20" s="979"/>
      <c r="K20" s="980"/>
    </row>
    <row r="21" spans="1:33" s="973" customFormat="1" ht="13.5" customHeight="1">
      <c r="A21" s="959" t="s">
        <v>802</v>
      </c>
      <c r="B21" s="983" t="s">
        <v>2490</v>
      </c>
      <c r="C21" s="984">
        <f ca="1">C16+C17+C18</f>
        <v>0</v>
      </c>
      <c r="D21" s="985"/>
      <c r="E21" s="325"/>
      <c r="F21" s="325"/>
      <c r="G21" s="140" t="s">
        <v>2491</v>
      </c>
      <c r="H21" s="977"/>
      <c r="I21" s="977"/>
      <c r="J21" s="977"/>
      <c r="K21" s="978"/>
    </row>
    <row r="22" spans="1:33" s="973" customFormat="1" ht="13.5" customHeight="1">
      <c r="A22" s="959" t="s">
        <v>2463</v>
      </c>
      <c r="B22" s="983" t="s">
        <v>2492</v>
      </c>
      <c r="C22" s="984">
        <f ca="1">ROUND(C21*F22,0)</f>
        <v>0</v>
      </c>
      <c r="D22" s="325"/>
      <c r="E22" s="325"/>
      <c r="F22" s="986">
        <f>'数据-取费表'!B37</f>
        <v>0.02</v>
      </c>
      <c r="G22" s="8" t="s">
        <v>2493</v>
      </c>
      <c r="H22" s="966"/>
      <c r="I22" s="966"/>
      <c r="J22" s="966"/>
      <c r="K22" s="967"/>
    </row>
    <row r="23" spans="1:33" s="973" customFormat="1" ht="13.5" customHeight="1">
      <c r="A23" s="959" t="s">
        <v>2465</v>
      </c>
      <c r="B23" s="983" t="s">
        <v>2494</v>
      </c>
      <c r="C23" s="984">
        <f ca="1">ROUND(C4*F23*F11,0)</f>
        <v>0</v>
      </c>
      <c r="D23" s="325"/>
      <c r="E23" s="325"/>
      <c r="F23" s="986">
        <f>'数据-取费表'!B38</f>
        <v>0.02</v>
      </c>
      <c r="G23" s="8" t="s">
        <v>2495</v>
      </c>
      <c r="H23" s="966"/>
      <c r="I23" s="966"/>
      <c r="J23" s="966"/>
      <c r="K23" s="967"/>
    </row>
    <row r="24" spans="1:33" s="973" customFormat="1" ht="13.5" customHeight="1">
      <c r="A24" s="959" t="s">
        <v>2496</v>
      </c>
      <c r="B24" s="983" t="s">
        <v>2497</v>
      </c>
      <c r="C24" s="324">
        <f>ROUND(F24/(1+'数据-取费表'!C42),4)</f>
        <v>2.9000000000000001E-2</v>
      </c>
      <c r="D24" s="325" t="s">
        <v>15</v>
      </c>
      <c r="E24" s="325"/>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7"/>
      <c r="I27" s="977"/>
      <c r="J27" s="977"/>
      <c r="K27" s="978"/>
    </row>
    <row r="28" spans="1:33" s="333" customFormat="1" ht="13.5" customHeight="1">
      <c r="A28" s="959" t="s">
        <v>2503</v>
      </c>
      <c r="B28" s="2557" t="s">
        <v>2504</v>
      </c>
      <c r="C28" s="331">
        <f ca="1">C30</f>
        <v>0</v>
      </c>
      <c r="D28" s="324">
        <f ca="1">C29</f>
        <v>0</v>
      </c>
      <c r="E28" s="326" t="s">
        <v>15</v>
      </c>
      <c r="F28" s="332">
        <f ca="1">IF(C1="",'数据-取费表'!Q16,INDIRECT("'数据-取费表'!q"&amp;$K$1))</f>
        <v>7.0000000000000007E-2</v>
      </c>
      <c r="G28" s="987"/>
      <c r="H28" s="988"/>
      <c r="I28" s="988"/>
      <c r="J28" s="988"/>
      <c r="K28" s="989"/>
    </row>
    <row r="29" spans="1:33" s="335" customFormat="1" ht="13.5" customHeight="1">
      <c r="A29" s="969" t="s">
        <v>803</v>
      </c>
      <c r="B29" s="992" t="s">
        <v>2505</v>
      </c>
      <c r="C29" s="328">
        <f ca="1">ROUND((1+C24)*F28*'数据-取费表'!B24/'数据-取费表'!B20,4)</f>
        <v>0</v>
      </c>
      <c r="D29" s="328"/>
      <c r="E29" s="329"/>
      <c r="F29" s="334"/>
      <c r="G29" s="140" t="s">
        <v>2506</v>
      </c>
      <c r="H29" s="977"/>
      <c r="I29" s="977"/>
      <c r="J29" s="977"/>
      <c r="K29" s="978"/>
    </row>
    <row r="30" spans="1:33" s="335" customFormat="1" ht="13.5" customHeight="1">
      <c r="A30" s="969" t="s">
        <v>804</v>
      </c>
      <c r="B30" s="992" t="s">
        <v>2507</v>
      </c>
      <c r="C30" s="336">
        <f ca="1">ROUND((C21+C22+C23)*F28,0)</f>
        <v>0</v>
      </c>
      <c r="D30" s="328"/>
      <c r="E30" s="329"/>
      <c r="F30" s="334"/>
      <c r="G30" s="140"/>
      <c r="H30" s="977"/>
      <c r="I30" s="977"/>
      <c r="J30" s="977"/>
      <c r="K30" s="978"/>
    </row>
    <row r="31" spans="1:33" s="973" customFormat="1" ht="13.5" customHeight="1" thickBot="1">
      <c r="A31" s="2558" t="s">
        <v>2508</v>
      </c>
      <c r="B31" s="1003" t="s">
        <v>2509</v>
      </c>
      <c r="C31" s="1004">
        <f>ROUND(C4*F31/(1+'数据-取费表'!C42),0)</f>
        <v>0</v>
      </c>
      <c r="D31" s="1005"/>
      <c r="E31" s="1006"/>
      <c r="F31" s="1007">
        <f>'数据-取费表'!B41</f>
        <v>5.5000000000000007E-2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c r="D1" s="1817"/>
      <c r="E1" s="1818" t="s">
        <v>1383</v>
      </c>
      <c r="F1" s="1281" t="b">
        <f>J53</f>
        <v>0</v>
      </c>
      <c r="G1" s="1833">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4"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90">
        <f ca="1">C6+C10+C12</f>
        <v>0</v>
      </c>
      <c r="D5" s="1819" t="s">
        <v>1597</v>
      </c>
      <c r="E5" s="1291"/>
      <c r="F5" s="1292"/>
      <c r="G5" s="1848"/>
      <c r="H5" s="344">
        <v>1</v>
      </c>
      <c r="I5" s="345" t="s">
        <v>1596</v>
      </c>
      <c r="J5" s="1290">
        <f ca="1">J6+J10+J12</f>
        <v>0</v>
      </c>
      <c r="K5" s="1819" t="s">
        <v>1597</v>
      </c>
      <c r="L5" s="1291"/>
      <c r="M5" s="1292"/>
    </row>
    <row r="6" spans="1:37" ht="18" customHeight="1">
      <c r="A6" s="1289" t="s">
        <v>1032</v>
      </c>
      <c r="B6" s="3099" t="s">
        <v>1399</v>
      </c>
      <c r="C6" s="1294">
        <f ca="1">ROUND(F6*F8*F7*(1-F9),0)</f>
        <v>0</v>
      </c>
      <c r="D6" s="164" t="s">
        <v>3019</v>
      </c>
      <c r="E6" s="347" t="s">
        <v>1401</v>
      </c>
      <c r="F6" s="348">
        <f ca="1">INDIRECT("'数据-取费表'!u"&amp;$G$1)</f>
        <v>0</v>
      </c>
      <c r="G6" s="1848"/>
      <c r="H6" s="1289" t="s">
        <v>1032</v>
      </c>
      <c r="I6" s="3099" t="s">
        <v>1399</v>
      </c>
      <c r="J6" s="346">
        <f ca="1">ROUND(M6*M8*M7*(1-M9),0)</f>
        <v>0</v>
      </c>
      <c r="K6" s="1831" t="s">
        <v>3020</v>
      </c>
      <c r="L6" s="347" t="s">
        <v>1401</v>
      </c>
      <c r="M6" s="348">
        <f ca="1">INDIRECT("'数据-取费表'!z"&amp;$G$1)</f>
        <v>0</v>
      </c>
    </row>
    <row r="7" spans="1:37" ht="18" customHeight="1">
      <c r="A7" s="1293"/>
      <c r="B7" s="3100"/>
      <c r="C7" s="1295"/>
      <c r="D7" s="352"/>
      <c r="E7" s="1296" t="s">
        <v>1402</v>
      </c>
      <c r="F7" s="348">
        <f ca="1">IF(INDIRECT("'数据-取费表'!ah"&amp;$G$1)="",INDIRECT("'数据-取费表'!k"&amp;$G$1),INDIRECT("'数据-取费表'!ah"&amp;$G$1))</f>
        <v>0</v>
      </c>
      <c r="G7" s="1848"/>
      <c r="H7" s="349"/>
      <c r="I7" s="3100"/>
      <c r="J7" s="351"/>
      <c r="K7" s="352"/>
      <c r="L7" s="347" t="s">
        <v>1402</v>
      </c>
      <c r="M7" s="348">
        <f ca="1">F7</f>
        <v>0</v>
      </c>
    </row>
    <row r="8" spans="1:37" ht="18" customHeight="1">
      <c r="A8" s="349"/>
      <c r="B8" s="3100"/>
      <c r="C8" s="351"/>
      <c r="D8" s="352"/>
      <c r="E8" s="347" t="s">
        <v>1403</v>
      </c>
      <c r="F8" s="348">
        <f ca="1">INDIRECT("'数据-取费表'!ai"&amp;$G$1)</f>
        <v>0</v>
      </c>
      <c r="G8" s="1848"/>
      <c r="H8" s="349"/>
      <c r="I8" s="3100"/>
      <c r="J8" s="351"/>
      <c r="K8" s="352"/>
      <c r="L8" s="347" t="s">
        <v>1403</v>
      </c>
      <c r="M8" s="348">
        <f ca="1">INDIRECT("'数据-取费表'!ai"&amp;$G$1)</f>
        <v>0</v>
      </c>
    </row>
    <row r="9" spans="1:37" ht="18" customHeight="1">
      <c r="A9" s="349"/>
      <c r="B9" s="3101"/>
      <c r="C9" s="351"/>
      <c r="D9" s="352"/>
      <c r="E9" s="347" t="s">
        <v>1404</v>
      </c>
      <c r="F9" s="357">
        <f ca="1">INDIRECT("'数据-取费表'!w"&amp;$G$1)</f>
        <v>0</v>
      </c>
      <c r="G9" s="1848"/>
      <c r="H9" s="349"/>
      <c r="I9" s="3101"/>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3030</v>
      </c>
      <c r="E10" s="358" t="s">
        <v>1406</v>
      </c>
      <c r="F10" s="1364"/>
      <c r="G10" s="1848"/>
      <c r="H10" s="1289" t="s">
        <v>1036</v>
      </c>
      <c r="I10" s="1820" t="s">
        <v>1405</v>
      </c>
      <c r="J10" s="346">
        <f ca="1">ROUND(IF(M10="押一",J6/12*M11,IF(M10="押二",J6/12*2*M11,IF(M10="押三",J6/12*3*M11,J11*M11))),0)</f>
        <v>0</v>
      </c>
      <c r="K10" s="1832" t="s">
        <v>3032</v>
      </c>
      <c r="L10" s="358" t="s">
        <v>1406</v>
      </c>
      <c r="M10" s="1364"/>
    </row>
    <row r="11" spans="1:37" ht="18" customHeight="1">
      <c r="A11" s="353"/>
      <c r="B11" s="1822" t="s">
        <v>1598</v>
      </c>
      <c r="C11" s="1176"/>
      <c r="D11" s="352"/>
      <c r="E11" s="358" t="s">
        <v>1408</v>
      </c>
      <c r="F11" s="359">
        <f ca="1">'数据-取费表'!B39</f>
        <v>1.4999999999999999E-2</v>
      </c>
      <c r="G11" s="1848"/>
      <c r="H11" s="1297"/>
      <c r="I11" s="1822" t="s">
        <v>1599</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8"/>
      <c r="H13" s="1327">
        <v>2</v>
      </c>
      <c r="I13" s="1328" t="s">
        <v>1410</v>
      </c>
      <c r="J13" s="1288">
        <f ca="1">ROUND(J14*J15,0)</f>
        <v>0</v>
      </c>
      <c r="K13" s="1335" t="s">
        <v>1411</v>
      </c>
      <c r="L13" s="1849"/>
      <c r="M13" s="1850"/>
    </row>
    <row r="14" spans="1:37" ht="18" customHeight="1">
      <c r="A14" s="1199" t="s">
        <v>1031</v>
      </c>
      <c r="B14" s="347" t="s">
        <v>1413</v>
      </c>
      <c r="C14" s="363">
        <f ca="1">ROUND(INDIRECT("'数据-取费表'!l"&amp;$G$1)*F43+'数据-取费表'!L14*INDIRECT("'数据-取费表'!S"&amp;$G$1),0)</f>
        <v>0</v>
      </c>
      <c r="D14" s="1797" t="s">
        <v>1414</v>
      </c>
      <c r="E14" s="1791"/>
      <c r="F14" s="364"/>
      <c r="G14" s="1848"/>
      <c r="H14" s="1199" t="s">
        <v>1032</v>
      </c>
      <c r="I14" s="347" t="s">
        <v>1415</v>
      </c>
      <c r="J14" s="24">
        <f ca="1">C29</f>
        <v>0</v>
      </c>
      <c r="K14" s="15"/>
      <c r="L14" s="977"/>
      <c r="M14" s="978"/>
    </row>
    <row r="15" spans="1:37" s="1855" customFormat="1" ht="18" customHeight="1" thickBot="1">
      <c r="A15" s="1199" t="s">
        <v>1033</v>
      </c>
      <c r="B15" s="347" t="s">
        <v>1416</v>
      </c>
      <c r="C15" s="24">
        <f ca="1">ROUND(C14*F15,0)</f>
        <v>0</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8"/>
      <c r="H16" s="1327" t="s">
        <v>1027</v>
      </c>
      <c r="I16" s="1328" t="s">
        <v>1420</v>
      </c>
      <c r="J16" s="355">
        <f ca="1">ROUND(J17+J22+J23+J24,0)</f>
        <v>0</v>
      </c>
      <c r="K16" s="1335" t="s">
        <v>1421</v>
      </c>
      <c r="L16" s="1336"/>
      <c r="M16" s="1292"/>
    </row>
    <row r="17" spans="1:37" s="1855" customFormat="1" ht="18" customHeight="1">
      <c r="A17" s="1199" t="s">
        <v>1386</v>
      </c>
      <c r="B17" s="347" t="s">
        <v>1422</v>
      </c>
      <c r="C17" s="24">
        <f ca="1">ROUND(F17*(F43+INDIRECT("'数据-取费表'!S"&amp;$G$1)),0)</f>
        <v>0</v>
      </c>
      <c r="D17" s="347" t="s">
        <v>1423</v>
      </c>
      <c r="E17" s="347" t="s">
        <v>1424</v>
      </c>
      <c r="F17" s="26">
        <f>'数据-取费表'!B35</f>
        <v>200</v>
      </c>
      <c r="G17" s="1851"/>
      <c r="H17" s="1199"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ROUND(J5*M18/(1+'数据-取费表'!C42),0)</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0</v>
      </c>
      <c r="D19" s="140" t="s">
        <v>1432</v>
      </c>
      <c r="E19" s="1815"/>
      <c r="F19" s="26"/>
      <c r="G19" s="1848"/>
      <c r="H19" s="1199"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9" t="s">
        <v>1036</v>
      </c>
      <c r="B20" s="347" t="s">
        <v>1435</v>
      </c>
      <c r="C20" s="24">
        <f ca="1">ROUND(C19*F20,0)</f>
        <v>0</v>
      </c>
      <c r="D20" s="369" t="s">
        <v>1436</v>
      </c>
      <c r="E20" s="347" t="s">
        <v>1418</v>
      </c>
      <c r="F20" s="367">
        <f>'数据-取费表'!B37</f>
        <v>0.02</v>
      </c>
      <c r="G20" s="1851"/>
      <c r="H20" s="1199" t="s">
        <v>1385</v>
      </c>
      <c r="I20" s="164" t="s">
        <v>1437</v>
      </c>
      <c r="J20" s="25">
        <f ca="1">ROUND(M20*M21,0)</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5"/>
      <c r="F22" s="26"/>
      <c r="G22" s="1848"/>
      <c r="H22" s="1199" t="s">
        <v>1036</v>
      </c>
      <c r="I22" s="347" t="s">
        <v>1445</v>
      </c>
      <c r="J22" s="24">
        <f ca="1">ROUND(J14*M22,0)</f>
        <v>0</v>
      </c>
      <c r="K22" s="1795" t="s">
        <v>1446</v>
      </c>
      <c r="L22" s="347" t="s">
        <v>1418</v>
      </c>
      <c r="M22" s="374">
        <f ca="1">INDIRECT("'数据-取费表'!Ak"&amp;$G$1)</f>
        <v>0</v>
      </c>
    </row>
    <row r="23" spans="1:37" s="1855"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ROUND(J5*M24,0)</f>
        <v>0</v>
      </c>
      <c r="K24" s="1340" t="s">
        <v>1455</v>
      </c>
      <c r="L24" s="1338" t="s">
        <v>1451</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1456</v>
      </c>
      <c r="B25" s="347" t="s">
        <v>1457</v>
      </c>
      <c r="C25" s="24"/>
      <c r="D25" s="140" t="s">
        <v>1458</v>
      </c>
      <c r="E25" s="1815"/>
      <c r="F25" s="26"/>
      <c r="G25" s="1848"/>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8"/>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0</v>
      </c>
      <c r="D29" s="1340"/>
      <c r="E29" s="1338"/>
      <c r="F29" s="1341"/>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0</v>
      </c>
      <c r="D30" s="1335" t="s">
        <v>1421</v>
      </c>
      <c r="E30" s="1336"/>
      <c r="F30" s="1292"/>
      <c r="G30" s="1848"/>
      <c r="H30" s="745"/>
      <c r="I30" s="746"/>
      <c r="J30" s="747"/>
      <c r="K30" s="748"/>
      <c r="L30" s="749"/>
      <c r="M30" s="750"/>
    </row>
    <row r="31" spans="1:37" ht="18" customHeight="1">
      <c r="A31" s="1199"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IF(项目基本情况!B11="自然人","——",ROUND(C5*F32/(1+'数据-取费表'!C42),0))</f>
        <v>0</v>
      </c>
      <c r="D32" s="1795"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9" t="s">
        <v>1385</v>
      </c>
      <c r="B34" s="164" t="s">
        <v>1437</v>
      </c>
      <c r="C34" s="25">
        <f ca="1">IF(项目基本情况!B11="自然人","——",ROUND(F34*F35,))</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ROUND(C29*F36,0)</f>
        <v>0</v>
      </c>
      <c r="D36" s="1795" t="s">
        <v>1478</v>
      </c>
      <c r="E36" s="347" t="s">
        <v>1418</v>
      </c>
      <c r="F36" s="374">
        <f ca="1">INDIRECT("'数据-取费表'!Ak"&amp;$G$1)</f>
        <v>0</v>
      </c>
      <c r="G36" s="1848"/>
      <c r="H36" s="1856"/>
      <c r="I36" s="1857"/>
      <c r="J36" s="1858"/>
      <c r="K36" s="751"/>
      <c r="L36" s="1856"/>
      <c r="M36" s="1856"/>
    </row>
    <row r="37" spans="1:18" ht="18" customHeight="1">
      <c r="A37" s="1199" t="s">
        <v>1072</v>
      </c>
      <c r="B37" s="347" t="s">
        <v>1449</v>
      </c>
      <c r="C37" s="24">
        <f ca="1">ROUND(C13*F37,0)</f>
        <v>0</v>
      </c>
      <c r="D37" s="1795" t="s">
        <v>1450</v>
      </c>
      <c r="E37" s="347" t="s">
        <v>1451</v>
      </c>
      <c r="F37" s="376">
        <f ca="1">INDIRECT("'数据-取费表'!Al"&amp;$G$1)</f>
        <v>0</v>
      </c>
      <c r="G37" s="1848"/>
      <c r="H37" s="1856"/>
      <c r="I37" s="1857"/>
      <c r="J37" s="1858"/>
      <c r="K37" s="751"/>
      <c r="L37" s="1856"/>
      <c r="M37" s="1856"/>
    </row>
    <row r="38" spans="1:18" ht="18" customHeight="1" thickBot="1">
      <c r="A38" s="1337" t="s">
        <v>1389</v>
      </c>
      <c r="B38" s="1338" t="s">
        <v>1435</v>
      </c>
      <c r="C38" s="1339">
        <f ca="1">ROUND(C5*F38,1)</f>
        <v>0</v>
      </c>
      <c r="D38" s="1340" t="s">
        <v>1455</v>
      </c>
      <c r="E38" s="1338" t="s">
        <v>1451</v>
      </c>
      <c r="F38" s="1334">
        <f ca="1">INDIRECT("'数据-取费表'!Am"&amp;$G$1)</f>
        <v>0</v>
      </c>
      <c r="G38" s="1848"/>
      <c r="H38" s="1856"/>
      <c r="I38" s="1857"/>
      <c r="J38" s="1858"/>
      <c r="K38" s="1862"/>
      <c r="L38" s="1856"/>
      <c r="M38" s="1856"/>
    </row>
    <row r="39" spans="1:18" ht="24.6" customHeight="1" thickTop="1">
      <c r="A39" s="1327" t="s">
        <v>1028</v>
      </c>
      <c r="B39" s="1342" t="s">
        <v>1479</v>
      </c>
      <c r="C39" s="355">
        <f ca="1">C5-C30</f>
        <v>0</v>
      </c>
      <c r="D39" s="1343" t="s">
        <v>1480</v>
      </c>
      <c r="E39" s="1344"/>
      <c r="F39" s="1345"/>
      <c r="G39" s="1848"/>
      <c r="H39" s="1856"/>
      <c r="I39" s="1857"/>
      <c r="J39" s="1858"/>
      <c r="K39" s="1862"/>
      <c r="L39" s="1856"/>
      <c r="M39" s="1856"/>
    </row>
    <row r="40" spans="1:18" ht="18" customHeight="1">
      <c r="A40" s="344" t="s">
        <v>1029</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3" t="s">
        <v>1392</v>
      </c>
      <c r="B47" s="1195" t="s">
        <v>1393</v>
      </c>
      <c r="C47" s="1195" t="s">
        <v>1394</v>
      </c>
      <c r="D47" s="1195" t="s">
        <v>1395</v>
      </c>
      <c r="E47" s="1277" t="s">
        <v>1396</v>
      </c>
      <c r="F47" s="1278"/>
      <c r="G47" s="792"/>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8" t="s">
        <v>1132</v>
      </c>
      <c r="B48" s="345" t="s">
        <v>1397</v>
      </c>
      <c r="C48" s="1814">
        <f ca="1">C49+C53+C55</f>
        <v>0</v>
      </c>
      <c r="D48" s="1360"/>
      <c r="E48" s="1361"/>
      <c r="F48" s="1179"/>
      <c r="G48" s="792"/>
      <c r="H48" s="793"/>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2" t="s">
        <v>1133</v>
      </c>
      <c r="B49" s="1826" t="s">
        <v>1486</v>
      </c>
      <c r="C49" s="1362">
        <f ca="1">ROUND(F49*F51*F50*(1-F52),0)</f>
        <v>0</v>
      </c>
      <c r="D49" s="1274" t="s">
        <v>1400</v>
      </c>
      <c r="E49" s="1827" t="s">
        <v>1487</v>
      </c>
      <c r="F49" s="1279"/>
      <c r="G49" s="1888"/>
      <c r="H49" s="793"/>
      <c r="I49" s="1884" t="s">
        <v>1530</v>
      </c>
      <c r="J49" s="1889"/>
      <c r="K49" s="1886" t="s">
        <v>1531</v>
      </c>
      <c r="L49" s="1890"/>
      <c r="O49" s="1891" t="s">
        <v>1039</v>
      </c>
      <c r="P49" s="1882" t="s">
        <v>1532</v>
      </c>
      <c r="Q49" s="1883">
        <f ca="1">C29</f>
        <v>0</v>
      </c>
      <c r="R49" s="1883" t="s">
        <v>1525</v>
      </c>
    </row>
    <row r="50" spans="1:18" s="1839" customFormat="1" ht="13.5" thickBot="1">
      <c r="A50" s="1193"/>
      <c r="B50" s="1196"/>
      <c r="C50" s="1197"/>
      <c r="D50" s="1170"/>
      <c r="E50" s="1275" t="s">
        <v>1402</v>
      </c>
      <c r="F50" s="1276">
        <f ca="1">F7</f>
        <v>0</v>
      </c>
      <c r="H50" s="793"/>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4"/>
      <c r="B51" s="1196"/>
      <c r="C51" s="1197"/>
      <c r="D51" s="1170"/>
      <c r="E51" s="1198"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4"/>
      <c r="B52" s="1196"/>
      <c r="C52" s="1197"/>
      <c r="D52" s="1170"/>
      <c r="E52" s="1198" t="s">
        <v>1404</v>
      </c>
      <c r="F52" s="1273"/>
      <c r="I52" s="1900" t="s">
        <v>1539</v>
      </c>
      <c r="J52" s="1901"/>
      <c r="K52" s="1900" t="s">
        <v>1540</v>
      </c>
      <c r="L52" s="1901"/>
      <c r="O52" s="1891" t="s">
        <v>1042</v>
      </c>
      <c r="P52" s="1882" t="s">
        <v>1541</v>
      </c>
      <c r="Q52" s="1883" t="b">
        <f>J53</f>
        <v>0</v>
      </c>
      <c r="R52" s="1883" t="s">
        <v>1542</v>
      </c>
    </row>
    <row r="53" spans="1:18" s="1839" customFormat="1" ht="30.75" customHeight="1" thickBot="1">
      <c r="A53" s="1359" t="s">
        <v>1134</v>
      </c>
      <c r="B53" s="369" t="s">
        <v>1405</v>
      </c>
      <c r="C53" s="361">
        <f ca="1">ROUND(IF(F53="押一",C49/12*F11,IF(F53="押二",C49/12*2*F11,IF(F53="押三",C49/12*3*F11,C54*F11))),0)</f>
        <v>0</v>
      </c>
      <c r="D53" s="1821" t="s">
        <v>3033</v>
      </c>
      <c r="E53" s="358" t="s">
        <v>1406</v>
      </c>
      <c r="F53" s="1364"/>
      <c r="I53" s="1902" t="s">
        <v>1543</v>
      </c>
      <c r="J53" s="1903" t="b">
        <f>IF(M47="住宅",IF(D1="——",MAX(J51,L48),IF(D1="在建（套用方法）",MAX(J51,L48-'数据-取费表'!B24),MAX(J51,L48-'数据-取费表'!B20))),IF(D1="——",MIN(J51,L48),IF(D1="在建（套用方法）",MIN(J51,L48-'数据-取费表'!B24),IF(D1="土地（套用方法）",MIN(J51,L48-'数据-取费表'!B20)))))</f>
        <v>0</v>
      </c>
      <c r="K53" s="3102" t="s">
        <v>1544</v>
      </c>
      <c r="L53" s="3103"/>
      <c r="O53" s="1881" t="s">
        <v>1043</v>
      </c>
      <c r="P53" s="1882" t="s">
        <v>1545</v>
      </c>
      <c r="Q53" s="1883" t="e">
        <f ca="1">Q47+Q48</f>
        <v>#DIV/0!</v>
      </c>
      <c r="R53" s="1883" t="s">
        <v>1044</v>
      </c>
    </row>
    <row r="54" spans="1:18" s="1839" customFormat="1" ht="13.5" thickBot="1">
      <c r="A54" s="1192"/>
      <c r="B54" s="1938" t="s">
        <v>1599</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4">
        <v>2</v>
      </c>
      <c r="B56" s="1175" t="s">
        <v>1410</v>
      </c>
      <c r="C56" s="276">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7"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5" t="s">
        <v>1420</v>
      </c>
      <c r="C58" s="361">
        <f ca="1">ROUND(C59+C64+C65+C66,0)</f>
        <v>0</v>
      </c>
      <c r="D58" s="1177" t="s">
        <v>1421</v>
      </c>
      <c r="E58" s="1178"/>
      <c r="F58" s="1179"/>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IF(项目基本情况!B11="自然人","——",ROUND(C48*F60/(1+'数据-取费表'!C42),0))</f>
        <v>0</v>
      </c>
      <c r="D60" s="1181" t="s">
        <v>1430</v>
      </c>
      <c r="E60" s="1167" t="s">
        <v>1418</v>
      </c>
      <c r="F60" s="377">
        <f t="shared" ref="F60:F66" si="0">F32</f>
        <v>5.5000000000000007E-2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IF(项目基本情况!B11="自然人","——",IF(D61="按租金收入计税",ROUND(C48*F61,0),IF(D61="按房产原值计税",ROUND(C57*F61*0.7,0),INDIRECT("'数据-取费表'!Aj"&amp;$G$1))))</f>
        <v>0</v>
      </c>
      <c r="D61" s="1825" t="s">
        <v>1434</v>
      </c>
      <c r="E61" s="1167"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9" t="s">
        <v>1491</v>
      </c>
      <c r="B62" s="1166" t="s">
        <v>1492</v>
      </c>
      <c r="C62" s="25">
        <f ca="1">IF(项目基本情况!B11="自然人","——",ROUND(F62*F63,0))</f>
        <v>0</v>
      </c>
      <c r="D62" s="1182" t="s">
        <v>1493</v>
      </c>
      <c r="E62" s="1167" t="s">
        <v>1494</v>
      </c>
      <c r="F62" s="371">
        <f t="shared" si="0"/>
        <v>1.5</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3"/>
      <c r="C63" s="29"/>
      <c r="D63" s="1183"/>
      <c r="E63" s="1167"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ROUND(C57*F64,0)</f>
        <v>0</v>
      </c>
      <c r="D64" s="1181" t="s">
        <v>1498</v>
      </c>
      <c r="E64" s="1167"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ROUND(C56*F65,0)</f>
        <v>0</v>
      </c>
      <c r="D65" s="1181" t="s">
        <v>1450</v>
      </c>
      <c r="E65" s="1167" t="s">
        <v>1451</v>
      </c>
      <c r="F65" s="376">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9" t="s">
        <v>1500</v>
      </c>
      <c r="B66" s="1167" t="s">
        <v>1435</v>
      </c>
      <c r="C66" s="24">
        <f ca="1">ROUND(C48*F66,0)</f>
        <v>0</v>
      </c>
      <c r="D66" s="1181" t="s">
        <v>1501</v>
      </c>
      <c r="E66" s="1167" t="s">
        <v>1418</v>
      </c>
      <c r="F66" s="357">
        <f t="shared" ca="1" si="0"/>
        <v>0</v>
      </c>
      <c r="O66" s="1881" t="s">
        <v>1038</v>
      </c>
      <c r="P66" s="1882" t="s">
        <v>1554</v>
      </c>
      <c r="Q66" s="1883" t="e">
        <f ca="1">L60</f>
        <v>#DIV/0!</v>
      </c>
      <c r="R66" s="1883" t="s">
        <v>1577</v>
      </c>
    </row>
    <row r="67" spans="1:18" s="1839" customFormat="1" ht="16.5" thickBot="1">
      <c r="A67" s="1174" t="s">
        <v>1028</v>
      </c>
      <c r="B67" s="1184" t="s">
        <v>1459</v>
      </c>
      <c r="C67" s="361">
        <f ca="1">C48-C58</f>
        <v>0</v>
      </c>
      <c r="D67" s="1180" t="s">
        <v>1460</v>
      </c>
      <c r="E67" s="1185"/>
      <c r="F67" s="1186"/>
      <c r="O67" s="1891" t="s">
        <v>1039</v>
      </c>
      <c r="P67" s="1882" t="s">
        <v>1558</v>
      </c>
      <c r="Q67" s="1930">
        <f ca="1">L51</f>
        <v>0</v>
      </c>
      <c r="R67" s="1883" t="s">
        <v>1578</v>
      </c>
    </row>
    <row r="68" spans="1:18" s="1839" customFormat="1" ht="16.5" thickBot="1">
      <c r="A68" s="1164" t="s">
        <v>1029</v>
      </c>
      <c r="B68" s="1165" t="s">
        <v>1481</v>
      </c>
      <c r="C68" s="346" t="e">
        <f ca="1">ROUND(C67*(1-((1+F70)/(1+F68))^F69)/(F68-F70),0)</f>
        <v>#DIV/0!</v>
      </c>
      <c r="D68" s="1182" t="s">
        <v>1465</v>
      </c>
      <c r="E68" s="1167" t="s">
        <v>1466</v>
      </c>
      <c r="F68" s="357">
        <f ca="1">F40</f>
        <v>0</v>
      </c>
      <c r="O68" s="1891" t="s">
        <v>1040</v>
      </c>
      <c r="P68" s="1931" t="s">
        <v>1579</v>
      </c>
      <c r="Q68" s="1883">
        <f ca="1">ROUND(Q69-Q70*Q71,0)</f>
        <v>0</v>
      </c>
      <c r="R68" s="1883" t="s">
        <v>1048</v>
      </c>
    </row>
    <row r="69" spans="1:18" s="1839" customFormat="1" ht="13.5" thickBot="1">
      <c r="A69" s="1168"/>
      <c r="B69" s="1169"/>
      <c r="C69" s="351"/>
      <c r="D69" s="1187" t="s">
        <v>1469</v>
      </c>
      <c r="E69" s="1167" t="s">
        <v>1470</v>
      </c>
      <c r="F69" s="379">
        <f ca="1">F41</f>
        <v>0</v>
      </c>
      <c r="O69" s="1891" t="s">
        <v>1045</v>
      </c>
      <c r="P69" s="1931" t="s">
        <v>1580</v>
      </c>
      <c r="Q69" s="1883">
        <f ca="1">C39</f>
        <v>0</v>
      </c>
      <c r="R69" s="1883" t="s">
        <v>1525</v>
      </c>
    </row>
    <row r="70" spans="1:18" s="1839" customFormat="1" ht="13.5" thickBot="1">
      <c r="A70" s="1171"/>
      <c r="B70" s="1172"/>
      <c r="C70" s="355"/>
      <c r="D70" s="1183"/>
      <c r="E70" s="1167" t="s">
        <v>1473</v>
      </c>
      <c r="F70" s="1273">
        <f ca="1">F42</f>
        <v>0</v>
      </c>
      <c r="O70" s="1891" t="s">
        <v>1046</v>
      </c>
      <c r="P70" s="1931" t="s">
        <v>1581</v>
      </c>
      <c r="Q70" s="1883">
        <f ca="1">C13</f>
        <v>0</v>
      </c>
      <c r="R70" s="1883" t="s">
        <v>1525</v>
      </c>
    </row>
    <row r="71" spans="1:18" s="1839" customFormat="1" ht="13.5" thickBot="1">
      <c r="A71" s="1188" t="s">
        <v>1030</v>
      </c>
      <c r="B71" s="1189" t="s">
        <v>1483</v>
      </c>
      <c r="C71" s="382" t="e">
        <f ca="1">ROUND(C68/F71,0)</f>
        <v>#DIV/0!</v>
      </c>
      <c r="D71" s="1190" t="s">
        <v>1484</v>
      </c>
      <c r="E71" s="1191" t="s">
        <v>1485</v>
      </c>
      <c r="F71" s="385">
        <f ca="1">F43</f>
        <v>0</v>
      </c>
      <c r="O71" s="1891" t="s">
        <v>1047</v>
      </c>
      <c r="P71" s="1931" t="s">
        <v>1582</v>
      </c>
      <c r="Q71" s="1894">
        <f ca="1">C76</f>
        <v>0</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2520</v>
      </c>
      <c r="B1" s="2560"/>
      <c r="C1" s="2560"/>
      <c r="D1" s="2560"/>
      <c r="E1" s="2561"/>
    </row>
    <row r="2" spans="1:6" ht="15.75">
      <c r="A2" s="2562" t="s">
        <v>2321</v>
      </c>
      <c r="B2" s="2563">
        <f ca="1">SUMIF(B6:B13,"&lt;&gt;#ref!",B6:B13)</f>
        <v>6227</v>
      </c>
      <c r="C2" s="2564" t="s">
        <v>2513</v>
      </c>
      <c r="D2" s="2565" t="s">
        <v>2514</v>
      </c>
      <c r="E2" s="2566">
        <f>SUM(E6:E13)</f>
        <v>50334.069999998792</v>
      </c>
    </row>
    <row r="3" spans="1:6" ht="15.75">
      <c r="A3" s="2562" t="s">
        <v>1391</v>
      </c>
      <c r="B3" s="2563">
        <f ca="1">ROUND(B2*10000/E2,0)</f>
        <v>1237</v>
      </c>
      <c r="C3" s="2564" t="s">
        <v>2521</v>
      </c>
      <c r="D3" s="2567"/>
      <c r="E3" s="2568"/>
    </row>
    <row r="4" spans="1:6" ht="15.75">
      <c r="A4" s="2569"/>
      <c r="B4" s="2567"/>
      <c r="C4" s="2567"/>
      <c r="D4" s="2567"/>
      <c r="E4" s="2568"/>
    </row>
    <row r="5" spans="1:6" ht="15">
      <c r="A5" s="2570" t="s">
        <v>2515</v>
      </c>
      <c r="B5" s="3104" t="s">
        <v>2516</v>
      </c>
      <c r="C5" s="3104"/>
      <c r="D5" s="2571"/>
      <c r="E5" s="2572" t="s">
        <v>2517</v>
      </c>
      <c r="F5" s="2573" t="s">
        <v>2518</v>
      </c>
    </row>
    <row r="6" spans="1:6">
      <c r="A6" s="2574" t="str">
        <f>'数据-取费表'!AN6</f>
        <v>收益法-办公</v>
      </c>
      <c r="B6" s="2573">
        <f ca="1">IF(F6="是",'数据-取费表'!AO6,0)</f>
        <v>108</v>
      </c>
      <c r="C6" s="2564" t="s">
        <v>2513</v>
      </c>
      <c r="D6" s="2567"/>
      <c r="E6" s="2575">
        <f>IF(OR(A6=0,F6="否"),0,'数据-取费表'!K6+'数据-取费表'!S6)</f>
        <v>47.96</v>
      </c>
      <c r="F6" s="2576" t="s">
        <v>2519</v>
      </c>
    </row>
    <row r="7" spans="1:6">
      <c r="A7" s="2574">
        <f>'数据-取费表'!AN7</f>
        <v>0</v>
      </c>
      <c r="B7" s="2573" t="e">
        <f ca="1">IF(F7="是",'数据-取费表'!AO7,0)</f>
        <v>#REF!</v>
      </c>
      <c r="C7" s="2564" t="s">
        <v>2513</v>
      </c>
      <c r="D7" s="2567"/>
      <c r="E7" s="2575">
        <f>IF(OR(A7=0,F7="否"),0,'数据-取费表'!K7+'数据-取费表'!S7)</f>
        <v>0</v>
      </c>
      <c r="F7" s="2576" t="s">
        <v>2519</v>
      </c>
    </row>
    <row r="8" spans="1:6">
      <c r="A8" s="2574" t="str">
        <f>'数据-取费表'!AN8</f>
        <v>收益法-商业</v>
      </c>
      <c r="B8" s="2573">
        <f ca="1">IF(F8="是",'数据-取费表'!AO8,0)</f>
        <v>174</v>
      </c>
      <c r="C8" s="2564" t="s">
        <v>2513</v>
      </c>
      <c r="D8" s="2567"/>
      <c r="E8" s="2575">
        <f>IF(OR(A8=0,F8="否"),0,'数据-取费表'!K8+'数据-取费表'!S8)</f>
        <v>96.71</v>
      </c>
      <c r="F8" s="2576" t="s">
        <v>2519</v>
      </c>
    </row>
    <row r="9" spans="1:6">
      <c r="A9" s="2574">
        <f>'数据-取费表'!AN9</f>
        <v>0</v>
      </c>
      <c r="B9" s="2573" t="e">
        <f ca="1">IF(F9="是",'数据-取费表'!AO9,0)</f>
        <v>#REF!</v>
      </c>
      <c r="C9" s="2564" t="s">
        <v>2513</v>
      </c>
      <c r="D9" s="2567"/>
      <c r="E9" s="2575">
        <f>IF(OR(A9=0,F9="否"),0,'数据-取费表'!K9+'数据-取费表'!S9)</f>
        <v>0</v>
      </c>
      <c r="F9" s="2576" t="s">
        <v>2519</v>
      </c>
    </row>
    <row r="10" spans="1:6">
      <c r="A10" s="2574" t="str">
        <f>'数据-取费表'!AN10</f>
        <v>收益法-车库</v>
      </c>
      <c r="B10" s="2573">
        <f ca="1">IF(F10="是",'数据-取费表'!AO10,0)</f>
        <v>5945</v>
      </c>
      <c r="C10" s="2564" t="s">
        <v>2513</v>
      </c>
      <c r="D10" s="2567"/>
      <c r="E10" s="2575">
        <f>IF(OR(A10=0,F10="否"),0,'数据-取费表'!K10+'数据-取费表'!S10)</f>
        <v>50189.399999998794</v>
      </c>
      <c r="F10" s="2576" t="s">
        <v>2519</v>
      </c>
    </row>
    <row r="11" spans="1:6">
      <c r="A11" s="2574">
        <f>'数据-取费表'!AN11</f>
        <v>0</v>
      </c>
      <c r="B11" s="2573" t="e">
        <f ca="1">IF(F11="是",'数据-取费表'!AO11,0)</f>
        <v>#REF!</v>
      </c>
      <c r="C11" s="2564" t="s">
        <v>2513</v>
      </c>
      <c r="D11" s="2567"/>
      <c r="E11" s="2575">
        <f>IF(OR(A11=0,F11="否"),0,'数据-取费表'!K11+'数据-取费表'!S11)</f>
        <v>0</v>
      </c>
      <c r="F11" s="2576" t="s">
        <v>2519</v>
      </c>
    </row>
    <row r="12" spans="1:6">
      <c r="A12" s="2574">
        <f>'数据-取费表'!AN12</f>
        <v>0</v>
      </c>
      <c r="B12" s="2573" t="e">
        <f ca="1">IF(F12="是",'数据-取费表'!AO12,0)</f>
        <v>#REF!</v>
      </c>
      <c r="C12" s="2564" t="s">
        <v>2513</v>
      </c>
      <c r="D12" s="2567"/>
      <c r="E12" s="2575">
        <f>IF(OR(A12=0,F12="否"),0,'数据-取费表'!K12+'数据-取费表'!S12)</f>
        <v>0</v>
      </c>
      <c r="F12" s="2576" t="s">
        <v>2519</v>
      </c>
    </row>
    <row r="13" spans="1:6" ht="15" thickBot="1">
      <c r="A13" s="2577">
        <f>'数据-取费表'!AN13</f>
        <v>0</v>
      </c>
      <c r="B13" s="2573" t="e">
        <f ca="1">IF(F13="是",'数据-取费表'!AO13,0)</f>
        <v>#REF!</v>
      </c>
      <c r="C13" s="2578" t="s">
        <v>2513</v>
      </c>
      <c r="D13" s="2579"/>
      <c r="E13" s="2575">
        <f>IF(OR(A13=0,F13="否"),0,'数据-取费表'!K13+'数据-取费表'!S13)</f>
        <v>0</v>
      </c>
      <c r="F13" s="2576"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21" t="s">
        <v>1073</v>
      </c>
      <c r="B1" s="3122"/>
      <c r="C1" s="3123"/>
      <c r="D1" s="3124">
        <f>SUM(I10,I15,I20,I21,I23)</f>
        <v>0</v>
      </c>
      <c r="E1" s="3124"/>
      <c r="F1" s="3124"/>
      <c r="G1" s="3124"/>
      <c r="H1" s="3124"/>
      <c r="I1" s="3125"/>
    </row>
    <row r="2" spans="1:9">
      <c r="A2" s="3111" t="s">
        <v>1074</v>
      </c>
      <c r="B2" s="3112" t="s">
        <v>1075</v>
      </c>
      <c r="C2" s="3112"/>
      <c r="D2" s="1299" t="s">
        <v>1076</v>
      </c>
      <c r="E2" s="1299" t="s">
        <v>1077</v>
      </c>
      <c r="F2" s="1299" t="s">
        <v>1078</v>
      </c>
      <c r="G2" s="1299" t="s">
        <v>1079</v>
      </c>
      <c r="H2" s="1299" t="s">
        <v>1080</v>
      </c>
      <c r="I2" s="1300" t="s">
        <v>1081</v>
      </c>
    </row>
    <row r="3" spans="1:9">
      <c r="A3" s="3111"/>
      <c r="B3" s="3112" t="s">
        <v>1082</v>
      </c>
      <c r="C3" s="3112"/>
      <c r="D3" s="1301"/>
      <c r="E3" s="1299"/>
      <c r="F3" s="1302"/>
      <c r="G3" s="1302"/>
      <c r="H3" s="1303"/>
      <c r="I3" s="1304">
        <f>ROUND(D3*E3*F3*G3*H3/10000,0)</f>
        <v>0</v>
      </c>
    </row>
    <row r="4" spans="1:9">
      <c r="A4" s="3111"/>
      <c r="B4" s="3112" t="s">
        <v>1083</v>
      </c>
      <c r="C4" s="3112"/>
      <c r="D4" s="1301"/>
      <c r="E4" s="1299"/>
      <c r="F4" s="1302"/>
      <c r="G4" s="1302"/>
      <c r="H4" s="1303"/>
      <c r="I4" s="1304">
        <f t="shared" ref="I4:I9" si="0">ROUND(D4*E4*F4*G4*H4/10000,0)</f>
        <v>0</v>
      </c>
    </row>
    <row r="5" spans="1:9">
      <c r="A5" s="3111"/>
      <c r="B5" s="3112" t="s">
        <v>1084</v>
      </c>
      <c r="C5" s="3112"/>
      <c r="D5" s="1301"/>
      <c r="E5" s="1299"/>
      <c r="F5" s="1302"/>
      <c r="G5" s="1302"/>
      <c r="H5" s="1303"/>
      <c r="I5" s="1304">
        <f t="shared" si="0"/>
        <v>0</v>
      </c>
    </row>
    <row r="6" spans="1:9">
      <c r="A6" s="3111"/>
      <c r="B6" s="3112" t="s">
        <v>1085</v>
      </c>
      <c r="C6" s="3112"/>
      <c r="D6" s="1301"/>
      <c r="E6" s="1299"/>
      <c r="F6" s="1302"/>
      <c r="G6" s="1302"/>
      <c r="H6" s="1303"/>
      <c r="I6" s="1304">
        <f t="shared" si="0"/>
        <v>0</v>
      </c>
    </row>
    <row r="7" spans="1:9">
      <c r="A7" s="3111"/>
      <c r="B7" s="3112" t="s">
        <v>1086</v>
      </c>
      <c r="C7" s="3112"/>
      <c r="D7" s="1301"/>
      <c r="E7" s="1299"/>
      <c r="F7" s="1302"/>
      <c r="G7" s="1302"/>
      <c r="H7" s="1303"/>
      <c r="I7" s="1304">
        <f t="shared" si="0"/>
        <v>0</v>
      </c>
    </row>
    <row r="8" spans="1:9">
      <c r="A8" s="3111"/>
      <c r="B8" s="3112" t="s">
        <v>1087</v>
      </c>
      <c r="C8" s="3112"/>
      <c r="D8" s="1301"/>
      <c r="E8" s="1299"/>
      <c r="F8" s="1302"/>
      <c r="G8" s="1302"/>
      <c r="H8" s="1303"/>
      <c r="I8" s="1304">
        <f t="shared" si="0"/>
        <v>0</v>
      </c>
    </row>
    <row r="9" spans="1:9">
      <c r="A9" s="3111"/>
      <c r="B9" s="3112" t="s">
        <v>1088</v>
      </c>
      <c r="C9" s="3112"/>
      <c r="D9" s="1301"/>
      <c r="E9" s="1299"/>
      <c r="F9" s="1302"/>
      <c r="G9" s="1302"/>
      <c r="H9" s="1303"/>
      <c r="I9" s="1304">
        <f t="shared" si="0"/>
        <v>0</v>
      </c>
    </row>
    <row r="10" spans="1:9">
      <c r="A10" s="3111"/>
      <c r="B10" s="3113" t="s">
        <v>1089</v>
      </c>
      <c r="C10" s="3113"/>
      <c r="D10" s="1305"/>
      <c r="E10" s="1305" t="e">
        <f>ROUND(D1*10000/D10/H9,0)</f>
        <v>#DIV/0!</v>
      </c>
      <c r="F10" s="1306"/>
      <c r="G10" s="1306"/>
      <c r="H10" s="1307"/>
      <c r="I10" s="1308">
        <f>SUM(I3:I9)</f>
        <v>0</v>
      </c>
    </row>
    <row r="11" spans="1:9" ht="14.25">
      <c r="A11" s="3111" t="s">
        <v>1090</v>
      </c>
      <c r="B11" s="3112" t="s">
        <v>1091</v>
      </c>
      <c r="C11" s="3112"/>
      <c r="D11" s="1301" t="s">
        <v>1092</v>
      </c>
      <c r="E11" s="1301" t="s">
        <v>1093</v>
      </c>
      <c r="F11" s="1302" t="s">
        <v>1094</v>
      </c>
      <c r="G11" s="1302" t="s">
        <v>1080</v>
      </c>
      <c r="H11" s="1309" t="s">
        <v>1095</v>
      </c>
      <c r="I11" s="1300" t="s">
        <v>1081</v>
      </c>
    </row>
    <row r="12" spans="1:9">
      <c r="A12" s="3111"/>
      <c r="B12" s="3112" t="s">
        <v>1096</v>
      </c>
      <c r="C12" s="3112"/>
      <c r="D12" s="1301"/>
      <c r="E12" s="1301"/>
      <c r="F12" s="1302"/>
      <c r="G12" s="1303"/>
      <c r="H12" s="1310"/>
      <c r="I12" s="1300">
        <f>ROUND(D12*E12*F12*G12/10000,0)</f>
        <v>0</v>
      </c>
    </row>
    <row r="13" spans="1:9">
      <c r="A13" s="3111"/>
      <c r="B13" s="3112" t="s">
        <v>1097</v>
      </c>
      <c r="C13" s="3112"/>
      <c r="D13" s="1301"/>
      <c r="E13" s="1301"/>
      <c r="F13" s="1302"/>
      <c r="G13" s="1303"/>
      <c r="H13" s="1310"/>
      <c r="I13" s="1300">
        <f>ROUND(D13*E13*F13*G13/10000,0)</f>
        <v>0</v>
      </c>
    </row>
    <row r="14" spans="1:9">
      <c r="A14" s="3111"/>
      <c r="B14" s="3112" t="s">
        <v>1098</v>
      </c>
      <c r="C14" s="3112"/>
      <c r="D14" s="1301"/>
      <c r="E14" s="1301"/>
      <c r="F14" s="1302"/>
      <c r="G14" s="1303"/>
      <c r="H14" s="1310"/>
      <c r="I14" s="1300">
        <f>ROUND(D14*E14*F14*G14/10000,0)</f>
        <v>0</v>
      </c>
    </row>
    <row r="15" spans="1:9">
      <c r="A15" s="3111"/>
      <c r="B15" s="3113" t="s">
        <v>1089</v>
      </c>
      <c r="C15" s="3113"/>
      <c r="D15" s="1305"/>
      <c r="E15" s="1305">
        <f>SUM(E12:E14)</f>
        <v>0</v>
      </c>
      <c r="F15" s="1306"/>
      <c r="G15" s="1303"/>
      <c r="H15" s="1310"/>
      <c r="I15" s="1311">
        <f>SUM(I12:I14)</f>
        <v>0</v>
      </c>
    </row>
    <row r="16" spans="1:9" ht="24">
      <c r="A16" s="3111" t="s">
        <v>1099</v>
      </c>
      <c r="B16" s="3112" t="s">
        <v>1100</v>
      </c>
      <c r="C16" s="3112"/>
      <c r="D16" s="1301" t="s">
        <v>1076</v>
      </c>
      <c r="E16" s="1312" t="s">
        <v>1101</v>
      </c>
      <c r="F16" s="1302" t="s">
        <v>1102</v>
      </c>
      <c r="G16" s="1303" t="s">
        <v>1080</v>
      </c>
      <c r="H16" s="1309" t="s">
        <v>1095</v>
      </c>
      <c r="I16" s="1300" t="s">
        <v>1081</v>
      </c>
    </row>
    <row r="17" spans="1:9" ht="14.25">
      <c r="A17" s="3111"/>
      <c r="B17" s="3112" t="s">
        <v>1103</v>
      </c>
      <c r="C17" s="3112"/>
      <c r="D17" s="1301"/>
      <c r="E17" s="1301"/>
      <c r="F17" s="1302"/>
      <c r="G17" s="1303"/>
      <c r="H17" s="1313"/>
      <c r="I17" s="1314">
        <f>ROUND(D17*E17*F17*G17/10000,0)</f>
        <v>0</v>
      </c>
    </row>
    <row r="18" spans="1:9" ht="14.25">
      <c r="A18" s="3111"/>
      <c r="B18" s="3112" t="s">
        <v>1104</v>
      </c>
      <c r="C18" s="3112"/>
      <c r="D18" s="1301"/>
      <c r="E18" s="1301"/>
      <c r="F18" s="1302"/>
      <c r="G18" s="1303"/>
      <c r="H18" s="1313"/>
      <c r="I18" s="1314">
        <f>ROUND(D18*E18*F18*G18/10000,0)</f>
        <v>0</v>
      </c>
    </row>
    <row r="19" spans="1:9" ht="14.25">
      <c r="A19" s="3111"/>
      <c r="B19" s="3112" t="s">
        <v>1105</v>
      </c>
      <c r="C19" s="3112"/>
      <c r="D19" s="1301"/>
      <c r="E19" s="1301"/>
      <c r="F19" s="1302"/>
      <c r="G19" s="1303"/>
      <c r="H19" s="1313"/>
      <c r="I19" s="1314">
        <f>ROUND(D19*E19*F19*G19/10000,0)</f>
        <v>0</v>
      </c>
    </row>
    <row r="20" spans="1:9">
      <c r="A20" s="3111"/>
      <c r="B20" s="3113" t="s">
        <v>1089</v>
      </c>
      <c r="C20" s="3113"/>
      <c r="D20" s="1305">
        <f>SUM(D17:D19)</f>
        <v>0</v>
      </c>
      <c r="E20" s="1305"/>
      <c r="F20" s="1306"/>
      <c r="G20" s="1303"/>
      <c r="H20" s="1310"/>
      <c r="I20" s="1311">
        <f>SUM(I17:I19)</f>
        <v>0</v>
      </c>
    </row>
    <row r="21" spans="1:9">
      <c r="A21" s="3111" t="s">
        <v>1106</v>
      </c>
      <c r="B21" s="3114"/>
      <c r="C21" s="3114"/>
      <c r="D21" s="3114"/>
      <c r="E21" s="3114"/>
      <c r="F21" s="3114"/>
      <c r="G21" s="3114"/>
      <c r="H21" s="1763">
        <v>0.1</v>
      </c>
      <c r="I21" s="1308">
        <f>ROUND(I10*H21,0)</f>
        <v>0</v>
      </c>
    </row>
    <row r="22" spans="1:9" ht="14.25">
      <c r="A22" s="3115" t="s">
        <v>1107</v>
      </c>
      <c r="B22" s="3116"/>
      <c r="C22" s="3117"/>
      <c r="D22" s="1315" t="s">
        <v>1108</v>
      </c>
      <c r="E22" s="1315" t="s">
        <v>1109</v>
      </c>
      <c r="F22" s="1316" t="s">
        <v>1110</v>
      </c>
      <c r="G22" s="1316" t="s">
        <v>1111</v>
      </c>
      <c r="H22" s="1309" t="s">
        <v>1112</v>
      </c>
      <c r="I22" s="1300" t="s">
        <v>1113</v>
      </c>
    </row>
    <row r="23" spans="1:9" ht="14.25" thickBot="1">
      <c r="A23" s="3118"/>
      <c r="B23" s="3119"/>
      <c r="C23" s="3120"/>
      <c r="D23" s="1317"/>
      <c r="E23" s="1317"/>
      <c r="F23" s="1317"/>
      <c r="G23" s="1318"/>
      <c r="H23" s="1319"/>
      <c r="I23" s="1320">
        <f>ROUND(E23*D23*F23*(1-G23)/10000,0)</f>
        <v>0</v>
      </c>
    </row>
    <row r="26" spans="1:9">
      <c r="A26" s="1321" t="s">
        <v>1114</v>
      </c>
      <c r="B26" s="1321"/>
      <c r="C26" s="1321"/>
      <c r="D26" s="1321"/>
      <c r="E26" s="3108">
        <f>C27-C30-C31-C32</f>
        <v>0</v>
      </c>
      <c r="F26" s="3108"/>
      <c r="G26" s="3108"/>
      <c r="H26" s="1735" t="s">
        <v>1336</v>
      </c>
    </row>
    <row r="27" spans="1:9">
      <c r="A27" s="1322">
        <v>1</v>
      </c>
      <c r="B27" s="1323" t="s">
        <v>1115</v>
      </c>
      <c r="C27" s="1323">
        <f>C28+C29</f>
        <v>0</v>
      </c>
      <c r="D27" s="1323"/>
      <c r="E27" s="3109"/>
      <c r="F27" s="3109"/>
      <c r="G27" s="3109"/>
    </row>
    <row r="28" spans="1:9">
      <c r="A28" s="1324" t="s">
        <v>1116</v>
      </c>
      <c r="B28" s="1323" t="s">
        <v>1117</v>
      </c>
      <c r="C28" s="1323"/>
      <c r="D28" s="1323"/>
      <c r="E28" s="3109"/>
      <c r="F28" s="3109"/>
      <c r="G28" s="3109"/>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10"/>
      <c r="F32" s="3110"/>
      <c r="G32" s="3110"/>
    </row>
    <row r="33" spans="1:7" hidden="1">
      <c r="A33" s="3105" t="s">
        <v>1126</v>
      </c>
      <c r="B33" s="3106"/>
      <c r="C33" s="3106"/>
      <c r="D33" s="3107"/>
      <c r="E33" s="3108"/>
      <c r="F33" s="3108"/>
      <c r="G33" s="3108"/>
    </row>
    <row r="34" spans="1:7" hidden="1">
      <c r="A34" s="1326">
        <v>1</v>
      </c>
      <c r="B34" s="1323" t="s">
        <v>1127</v>
      </c>
      <c r="C34" s="1323"/>
      <c r="D34" s="1323"/>
      <c r="E34" s="3109"/>
      <c r="F34" s="3109"/>
      <c r="G34" s="3109"/>
    </row>
    <row r="35" spans="1:7" hidden="1">
      <c r="A35" s="1326">
        <v>2</v>
      </c>
      <c r="B35" s="1323" t="s">
        <v>1128</v>
      </c>
      <c r="C35" s="1323"/>
      <c r="D35" s="1323"/>
      <c r="E35" s="3109"/>
      <c r="F35" s="3109"/>
      <c r="G35" s="3109"/>
    </row>
    <row r="36" spans="1:7" hidden="1">
      <c r="A36" s="1326">
        <v>3</v>
      </c>
      <c r="B36" s="1323" t="s">
        <v>1129</v>
      </c>
      <c r="C36" s="1323"/>
      <c r="D36" s="1323"/>
      <c r="E36" s="3109"/>
      <c r="F36" s="3109"/>
      <c r="G36" s="3109"/>
    </row>
    <row r="37" spans="1:7" hidden="1">
      <c r="A37" s="1326">
        <v>4</v>
      </c>
      <c r="B37" s="1323" t="s">
        <v>1130</v>
      </c>
      <c r="C37" s="1323"/>
      <c r="D37" s="1323"/>
      <c r="E37" s="3109"/>
      <c r="F37" s="3109"/>
      <c r="G37" s="3109"/>
    </row>
    <row r="38" spans="1:7" hidden="1">
      <c r="A38" s="3105" t="s">
        <v>1131</v>
      </c>
      <c r="B38" s="3106"/>
      <c r="C38" s="3106"/>
      <c r="D38" s="3107"/>
      <c r="E38" s="3108"/>
      <c r="F38" s="3108"/>
      <c r="G38" s="31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0" t="s">
        <v>2523</v>
      </c>
      <c r="C1" s="1632" t="s">
        <v>2524</v>
      </c>
      <c r="D1" s="1619"/>
      <c r="E1" s="2581"/>
      <c r="F1" s="2582" t="s">
        <v>2525</v>
      </c>
      <c r="G1" s="1629" t="s">
        <v>2526</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4"/>
      <c r="D2" s="1363" t="e">
        <f ca="1">SUMIF(INDIRECT("'"&amp;F2&amp;"'"&amp;"!A:A"),"承租人权益价值",INDIRECT("'"&amp;F2&amp;"'"&amp;"!c:c"))</f>
        <v>#REF!</v>
      </c>
      <c r="E2" s="2585" t="s">
        <v>2527</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2528</v>
      </c>
      <c r="D3" s="399">
        <f>IF(D1="",'数据-汇总表'!E3,SUMIF('数据-汇总表'!$C19:$C33,D1,'数据-汇总表'!$E19:$E33))</f>
        <v>61370.239999998797</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1" t="s">
        <v>2529</v>
      </c>
      <c r="B4" s="402"/>
      <c r="C4" s="3144" t="s">
        <v>2530</v>
      </c>
      <c r="D4" s="3145"/>
      <c r="E4" s="3146" t="s">
        <v>2531</v>
      </c>
      <c r="F4" s="3147"/>
      <c r="G4" s="3144" t="s">
        <v>2532</v>
      </c>
      <c r="H4" s="3145"/>
      <c r="I4" s="3144" t="s">
        <v>2533</v>
      </c>
      <c r="J4" s="3145"/>
      <c r="K4" s="2594" t="s">
        <v>2534</v>
      </c>
      <c r="L4" s="1128"/>
      <c r="M4" s="1129"/>
      <c r="N4" s="1129"/>
      <c r="O4" s="1129"/>
      <c r="P4" s="3148" t="s">
        <v>2535</v>
      </c>
      <c r="Q4" s="3149"/>
      <c r="R4" s="3154" t="s">
        <v>2531</v>
      </c>
      <c r="S4" s="3155"/>
      <c r="T4" s="3154" t="s">
        <v>2532</v>
      </c>
      <c r="U4" s="3155"/>
      <c r="V4" s="3160" t="s">
        <v>2533</v>
      </c>
      <c r="W4" s="3160"/>
      <c r="X4" s="1810"/>
      <c r="Y4" s="3154" t="s">
        <v>2535</v>
      </c>
      <c r="Z4" s="3155"/>
      <c r="AA4" s="3141" t="s">
        <v>2531</v>
      </c>
      <c r="AB4" s="3141" t="s">
        <v>2532</v>
      </c>
      <c r="AC4" s="3141" t="s">
        <v>2533</v>
      </c>
    </row>
    <row r="5" spans="1:29" ht="15">
      <c r="A5" s="404"/>
      <c r="B5" s="405"/>
      <c r="C5" s="3163" t="s">
        <v>2536</v>
      </c>
      <c r="D5" s="3164"/>
      <c r="E5" s="3170" t="s">
        <v>2537</v>
      </c>
      <c r="F5" s="3171"/>
      <c r="G5" s="3163" t="s">
        <v>2538</v>
      </c>
      <c r="H5" s="3164"/>
      <c r="I5" s="3163" t="s">
        <v>2539</v>
      </c>
      <c r="J5" s="3164"/>
      <c r="K5" s="2595"/>
      <c r="L5" s="1128"/>
      <c r="M5" s="1129"/>
      <c r="N5" s="1129"/>
      <c r="O5" s="1129"/>
      <c r="P5" s="3150"/>
      <c r="Q5" s="3151"/>
      <c r="R5" s="3156"/>
      <c r="S5" s="3157"/>
      <c r="T5" s="3156"/>
      <c r="U5" s="3157"/>
      <c r="V5" s="3160"/>
      <c r="W5" s="3160"/>
      <c r="X5" s="1810"/>
      <c r="Y5" s="3156"/>
      <c r="Z5" s="3157"/>
      <c r="AA5" s="3142"/>
      <c r="AB5" s="3142"/>
      <c r="AC5" s="3142"/>
    </row>
    <row r="6" spans="1:29" ht="15.75" thickBot="1">
      <c r="A6" s="406"/>
      <c r="B6" s="407"/>
      <c r="C6" s="3161" t="s">
        <v>2540</v>
      </c>
      <c r="D6" s="3162"/>
      <c r="E6" s="3168" t="s">
        <v>2540</v>
      </c>
      <c r="F6" s="3169"/>
      <c r="G6" s="3161" t="s">
        <v>2540</v>
      </c>
      <c r="H6" s="3162"/>
      <c r="I6" s="3161" t="s">
        <v>2540</v>
      </c>
      <c r="J6" s="3162"/>
      <c r="K6" s="2595" t="s">
        <v>2541</v>
      </c>
      <c r="L6" s="1128"/>
      <c r="M6" s="1129"/>
      <c r="N6" s="1129"/>
      <c r="O6" s="1129"/>
      <c r="P6" s="3152"/>
      <c r="Q6" s="3153"/>
      <c r="R6" s="3156"/>
      <c r="S6" s="3157"/>
      <c r="T6" s="3158"/>
      <c r="U6" s="3159"/>
      <c r="V6" s="3160"/>
      <c r="W6" s="3160"/>
      <c r="X6" s="1810"/>
      <c r="Y6" s="3158"/>
      <c r="Z6" s="3159"/>
      <c r="AA6" s="3143"/>
      <c r="AB6" s="3143"/>
      <c r="AC6" s="3143"/>
    </row>
    <row r="7" spans="1:29" s="117" customFormat="1" ht="15.75" thickBot="1">
      <c r="A7" s="408" t="s">
        <v>2542</v>
      </c>
      <c r="B7" s="409"/>
      <c r="C7" s="410">
        <f>'数据-取费表'!B2</f>
        <v>43494</v>
      </c>
      <c r="D7" s="411">
        <v>100</v>
      </c>
      <c r="E7" s="412"/>
      <c r="F7" s="413">
        <f>SUMIF(58:58,YEAR(E7)&amp;"-"&amp;MONTH(E7),59:59)</f>
        <v>0</v>
      </c>
      <c r="G7" s="412"/>
      <c r="H7" s="411">
        <f>SUMIF(58:58,YEAR(G7)&amp;"-"&amp;MONTH(G7),59:59)</f>
        <v>0</v>
      </c>
      <c r="I7" s="412"/>
      <c r="J7" s="411">
        <f>SUMIF(58:58,YEAR(I7)&amp;"-"&amp;MONTH(I7),59:59)</f>
        <v>0</v>
      </c>
      <c r="K7" s="2596"/>
      <c r="L7" s="1130"/>
      <c r="M7" s="1131"/>
      <c r="N7" s="1131"/>
      <c r="O7" s="1131"/>
      <c r="P7" s="3165" t="s">
        <v>2543</v>
      </c>
      <c r="Q7" s="3167"/>
      <c r="R7" s="770" t="s">
        <v>23</v>
      </c>
      <c r="S7" s="771">
        <f t="shared" ref="S7:S15" si="0">F7</f>
        <v>0</v>
      </c>
      <c r="T7" s="770" t="s">
        <v>23</v>
      </c>
      <c r="U7" s="771">
        <f t="shared" ref="U7:U15" si="1">H7</f>
        <v>0</v>
      </c>
      <c r="V7" s="770" t="s">
        <v>23</v>
      </c>
      <c r="W7" s="771">
        <f t="shared" ref="W7:W15" si="2">J7</f>
        <v>0</v>
      </c>
      <c r="X7" s="772"/>
      <c r="Y7" s="3165" t="s">
        <v>2543</v>
      </c>
      <c r="Z7" s="3166"/>
      <c r="AA7" s="773" t="e">
        <f>D7/F7</f>
        <v>#DIV/0!</v>
      </c>
      <c r="AB7" s="773" t="e">
        <f>D7/H7</f>
        <v>#DIV/0!</v>
      </c>
      <c r="AC7" s="773" t="e">
        <f>D7/J7</f>
        <v>#DIV/0!</v>
      </c>
    </row>
    <row r="8" spans="1:29" s="117" customFormat="1" ht="15.75" thickBot="1">
      <c r="A8" s="408" t="s">
        <v>2544</v>
      </c>
      <c r="B8" s="409"/>
      <c r="C8" s="414" t="s">
        <v>2545</v>
      </c>
      <c r="D8" s="411">
        <v>100</v>
      </c>
      <c r="E8" s="2597"/>
      <c r="F8" s="413">
        <f>SUMIF(61:61,E8,62:62)-SUMIF(61:61,C8,62:62)+100</f>
        <v>0</v>
      </c>
      <c r="G8" s="414"/>
      <c r="H8" s="411">
        <f>SUMIF(61:61,G8,62:62)-SUMIF(61:61,C8,62:62)+100</f>
        <v>0</v>
      </c>
      <c r="I8" s="2597"/>
      <c r="J8" s="411">
        <f>SUMIF(61:61,I8,62:62)-SUMIF(61:61,C8,62:62)+100</f>
        <v>0</v>
      </c>
      <c r="K8" s="2596"/>
      <c r="L8" s="1130"/>
      <c r="M8" s="1131"/>
      <c r="N8" s="1131"/>
      <c r="O8" s="1131"/>
      <c r="P8" s="3165" t="s">
        <v>2546</v>
      </c>
      <c r="Q8" s="3166"/>
      <c r="R8" s="770" t="s">
        <v>23</v>
      </c>
      <c r="S8" s="771">
        <f t="shared" si="0"/>
        <v>0</v>
      </c>
      <c r="T8" s="770" t="s">
        <v>23</v>
      </c>
      <c r="U8" s="771">
        <f t="shared" si="1"/>
        <v>0</v>
      </c>
      <c r="V8" s="770" t="s">
        <v>23</v>
      </c>
      <c r="W8" s="771">
        <f t="shared" si="2"/>
        <v>0</v>
      </c>
      <c r="X8" s="772"/>
      <c r="Y8" s="3165" t="s">
        <v>2546</v>
      </c>
      <c r="Z8" s="3166"/>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6"/>
      <c r="L9" s="1130"/>
      <c r="M9" s="1131"/>
      <c r="N9" s="1131"/>
      <c r="O9" s="1131"/>
      <c r="P9" s="3140" t="s">
        <v>2549</v>
      </c>
      <c r="Q9" s="1792" t="str">
        <f t="shared" ref="Q9:Q15" si="6">B9</f>
        <v>用途</v>
      </c>
      <c r="R9" s="770" t="s">
        <v>17</v>
      </c>
      <c r="S9" s="771">
        <f t="shared" si="0"/>
        <v>100</v>
      </c>
      <c r="T9" s="770" t="s">
        <v>17</v>
      </c>
      <c r="U9" s="771">
        <f t="shared" si="1"/>
        <v>100</v>
      </c>
      <c r="V9" s="770" t="s">
        <v>17</v>
      </c>
      <c r="W9" s="771">
        <f t="shared" si="2"/>
        <v>100</v>
      </c>
      <c r="X9" s="772"/>
      <c r="Y9" s="3047"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40"/>
      <c r="Q10" s="1792"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40"/>
      <c r="Q11" s="1792" t="str">
        <f t="shared" si="6"/>
        <v>容积率</v>
      </c>
      <c r="R11" s="770" t="s">
        <v>21</v>
      </c>
      <c r="S11" s="771" t="e">
        <f t="shared" si="0"/>
        <v>#N/A</v>
      </c>
      <c r="T11" s="770" t="s">
        <v>21</v>
      </c>
      <c r="U11" s="771" t="e">
        <f t="shared" si="1"/>
        <v>#N/A</v>
      </c>
      <c r="V11" s="770" t="s">
        <v>21</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0"/>
      <c r="M12" s="1131"/>
      <c r="N12" s="1131"/>
      <c r="O12" s="1131"/>
      <c r="P12" s="3140"/>
      <c r="Q12" s="1792">
        <f t="shared" si="6"/>
        <v>111</v>
      </c>
      <c r="R12" s="770" t="s">
        <v>21</v>
      </c>
      <c r="S12" s="771">
        <f t="shared" si="0"/>
        <v>100</v>
      </c>
      <c r="T12" s="770" t="s">
        <v>21</v>
      </c>
      <c r="U12" s="771">
        <f t="shared" si="1"/>
        <v>100</v>
      </c>
      <c r="V12" s="770" t="s">
        <v>21</v>
      </c>
      <c r="W12" s="771">
        <f t="shared" si="2"/>
        <v>100</v>
      </c>
      <c r="X12" s="772"/>
      <c r="Y12" s="304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8"/>
      <c r="M13" s="1129"/>
      <c r="N13" s="1129"/>
      <c r="O13" s="1129"/>
      <c r="P13" s="3140"/>
      <c r="Q13" s="1792">
        <f t="shared" si="6"/>
        <v>111</v>
      </c>
      <c r="R13" s="770" t="s">
        <v>21</v>
      </c>
      <c r="S13" s="771">
        <f t="shared" si="0"/>
        <v>100</v>
      </c>
      <c r="T13" s="770" t="s">
        <v>21</v>
      </c>
      <c r="U13" s="771">
        <f t="shared" si="1"/>
        <v>100</v>
      </c>
      <c r="V13" s="770" t="s">
        <v>21</v>
      </c>
      <c r="W13" s="771">
        <f t="shared" si="2"/>
        <v>100</v>
      </c>
      <c r="X13" s="772"/>
      <c r="Y13" s="304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8"/>
      <c r="M14" s="1129"/>
      <c r="N14" s="1129"/>
      <c r="O14" s="1129"/>
      <c r="P14" s="3140"/>
      <c r="Q14" s="1792">
        <f t="shared" si="6"/>
        <v>111</v>
      </c>
      <c r="R14" s="770" t="s">
        <v>21</v>
      </c>
      <c r="S14" s="771">
        <f t="shared" si="0"/>
        <v>100</v>
      </c>
      <c r="T14" s="770" t="s">
        <v>21</v>
      </c>
      <c r="U14" s="771">
        <f t="shared" si="1"/>
        <v>100</v>
      </c>
      <c r="V14" s="770" t="s">
        <v>21</v>
      </c>
      <c r="W14" s="771">
        <f t="shared" si="2"/>
        <v>100</v>
      </c>
      <c r="X14" s="772"/>
      <c r="Y14" s="3047"/>
      <c r="Z14" s="55">
        <f t="shared" si="7"/>
        <v>111</v>
      </c>
      <c r="AA14" s="773">
        <f t="shared" si="3"/>
        <v>1</v>
      </c>
      <c r="AB14" s="773">
        <f t="shared" si="4"/>
        <v>1</v>
      </c>
      <c r="AC14" s="773">
        <f t="shared" si="5"/>
        <v>1</v>
      </c>
    </row>
    <row r="15" spans="1:29" ht="15">
      <c r="A15" s="440" t="s">
        <v>2553</v>
      </c>
      <c r="B15" s="69" t="s">
        <v>2081</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38" t="s">
        <v>2554</v>
      </c>
      <c r="Q15" s="1807" t="str">
        <f t="shared" si="6"/>
        <v>居住社区成熟度</v>
      </c>
      <c r="R15" s="774" t="s">
        <v>21</v>
      </c>
      <c r="S15" s="775">
        <f t="shared" si="0"/>
        <v>100</v>
      </c>
      <c r="T15" s="774" t="s">
        <v>21</v>
      </c>
      <c r="U15" s="775">
        <f t="shared" si="1"/>
        <v>100</v>
      </c>
      <c r="V15" s="774" t="s">
        <v>21</v>
      </c>
      <c r="W15" s="775">
        <f t="shared" si="2"/>
        <v>100</v>
      </c>
      <c r="X15" s="1810"/>
      <c r="Y15" s="3131" t="s">
        <v>2554</v>
      </c>
      <c r="Z15" s="1811" t="str">
        <f t="shared" si="7"/>
        <v>居住社区成熟度</v>
      </c>
      <c r="AA15" s="1808">
        <f t="shared" si="3"/>
        <v>1</v>
      </c>
      <c r="AB15" s="1808">
        <f t="shared" si="4"/>
        <v>1</v>
      </c>
      <c r="AC15" s="1808">
        <f t="shared" si="5"/>
        <v>1</v>
      </c>
    </row>
    <row r="16" spans="1:29" ht="15">
      <c r="A16" s="428"/>
      <c r="B16" s="446"/>
      <c r="C16" s="447"/>
      <c r="D16" s="448"/>
      <c r="E16" s="2602"/>
      <c r="F16" s="448"/>
      <c r="G16" s="2603"/>
      <c r="H16" s="450"/>
      <c r="I16" s="2603"/>
      <c r="J16" s="448"/>
      <c r="K16" s="2604"/>
      <c r="L16" s="1138"/>
      <c r="M16" s="1129"/>
      <c r="N16" s="1129"/>
      <c r="O16" s="1129"/>
      <c r="P16" s="3139"/>
      <c r="Q16" s="1807"/>
      <c r="R16" s="774"/>
      <c r="S16" s="775"/>
      <c r="T16" s="774"/>
      <c r="U16" s="775"/>
      <c r="V16" s="774"/>
      <c r="W16" s="775"/>
      <c r="X16" s="1810"/>
      <c r="Y16" s="3132"/>
      <c r="Z16" s="1811"/>
      <c r="AA16" s="1808">
        <v>1</v>
      </c>
      <c r="AB16" s="1808">
        <v>1</v>
      </c>
      <c r="AC16" s="1808">
        <v>1</v>
      </c>
    </row>
    <row r="17" spans="1:29" ht="85.5">
      <c r="A17" s="428"/>
      <c r="B17" s="451" t="s">
        <v>2090</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39"/>
      <c r="Q17" s="1807" t="str">
        <f>B17</f>
        <v>交通便捷度</v>
      </c>
      <c r="R17" s="774" t="s">
        <v>21</v>
      </c>
      <c r="S17" s="775">
        <f>F17</f>
        <v>100</v>
      </c>
      <c r="T17" s="774" t="s">
        <v>21</v>
      </c>
      <c r="U17" s="775">
        <f>H17</f>
        <v>100</v>
      </c>
      <c r="V17" s="774" t="s">
        <v>21</v>
      </c>
      <c r="W17" s="775">
        <f>J17</f>
        <v>100</v>
      </c>
      <c r="X17" s="1810"/>
      <c r="Y17" s="3132"/>
      <c r="Z17" s="1811" t="str">
        <f>Q17</f>
        <v>交通便捷度</v>
      </c>
      <c r="AA17" s="1808">
        <f t="shared" si="3"/>
        <v>1</v>
      </c>
      <c r="AB17" s="1808">
        <f t="shared" si="4"/>
        <v>1</v>
      </c>
      <c r="AC17" s="1808">
        <f t="shared" si="5"/>
        <v>1</v>
      </c>
    </row>
    <row r="18" spans="1:29" ht="15">
      <c r="A18" s="428"/>
      <c r="B18" s="456"/>
      <c r="C18" s="2606"/>
      <c r="D18" s="450"/>
      <c r="E18" s="2607"/>
      <c r="F18" s="450"/>
      <c r="G18" s="2608"/>
      <c r="H18" s="448"/>
      <c r="I18" s="2608"/>
      <c r="J18" s="448"/>
      <c r="K18" s="2604"/>
      <c r="L18" s="1138"/>
      <c r="M18" s="1129"/>
      <c r="N18" s="1129"/>
      <c r="O18" s="1129"/>
      <c r="P18" s="3139"/>
      <c r="Q18" s="1807"/>
      <c r="R18" s="774"/>
      <c r="S18" s="775"/>
      <c r="T18" s="774"/>
      <c r="U18" s="775"/>
      <c r="V18" s="774"/>
      <c r="W18" s="775"/>
      <c r="X18" s="1810"/>
      <c r="Y18" s="3132"/>
      <c r="Z18" s="1811"/>
      <c r="AA18" s="1808">
        <v>1</v>
      </c>
      <c r="AB18" s="1808">
        <v>1</v>
      </c>
      <c r="AC18" s="1808">
        <v>1</v>
      </c>
    </row>
    <row r="19" spans="1:29" ht="42.75">
      <c r="A19" s="428"/>
      <c r="B19" s="451" t="s">
        <v>2088</v>
      </c>
      <c r="C19" s="260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39"/>
      <c r="Q19" s="1807" t="str">
        <f>B19</f>
        <v>公共配套设施</v>
      </c>
      <c r="R19" s="774" t="s">
        <v>21</v>
      </c>
      <c r="S19" s="775">
        <f>F19</f>
        <v>100</v>
      </c>
      <c r="T19" s="774" t="s">
        <v>21</v>
      </c>
      <c r="U19" s="775">
        <f>H19</f>
        <v>100</v>
      </c>
      <c r="V19" s="774" t="s">
        <v>21</v>
      </c>
      <c r="W19" s="775">
        <f>J19</f>
        <v>100</v>
      </c>
      <c r="X19" s="1810"/>
      <c r="Y19" s="3132"/>
      <c r="Z19" s="1811" t="str">
        <f>Q19</f>
        <v>公共配套设施</v>
      </c>
      <c r="AA19" s="1808">
        <f t="shared" si="3"/>
        <v>1</v>
      </c>
      <c r="AB19" s="1808">
        <f t="shared" si="4"/>
        <v>1</v>
      </c>
      <c r="AC19" s="1808">
        <f t="shared" si="5"/>
        <v>1</v>
      </c>
    </row>
    <row r="20" spans="1:29" ht="15">
      <c r="A20" s="428"/>
      <c r="B20" s="456"/>
      <c r="C20" s="447"/>
      <c r="D20" s="448"/>
      <c r="E20" s="2602"/>
      <c r="F20" s="448"/>
      <c r="G20" s="2603"/>
      <c r="H20" s="448"/>
      <c r="I20" s="2603"/>
      <c r="J20" s="448"/>
      <c r="K20" s="2604"/>
      <c r="L20" s="1138"/>
      <c r="M20" s="1129"/>
      <c r="N20" s="1129"/>
      <c r="O20" s="1129"/>
      <c r="P20" s="3139"/>
      <c r="Q20" s="1807"/>
      <c r="R20" s="774"/>
      <c r="S20" s="775"/>
      <c r="T20" s="774"/>
      <c r="U20" s="775"/>
      <c r="V20" s="774"/>
      <c r="W20" s="775"/>
      <c r="X20" s="1810"/>
      <c r="Y20" s="3132"/>
      <c r="Z20" s="1811"/>
      <c r="AA20" s="1808">
        <v>1</v>
      </c>
      <c r="AB20" s="1808">
        <v>1</v>
      </c>
      <c r="AC20" s="1808">
        <v>1</v>
      </c>
    </row>
    <row r="21" spans="1:29" ht="42.75">
      <c r="A21" s="428"/>
      <c r="B21" s="1382" t="s">
        <v>2091</v>
      </c>
      <c r="C21" s="2605" t="str">
        <f>估价对象房地状况!C8</f>
        <v>估价对象所在区域基础设施水平达六通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39"/>
      <c r="Q21" s="1807" t="str">
        <f>B21</f>
        <v>基础设施水平</v>
      </c>
      <c r="R21" s="774" t="s">
        <v>17</v>
      </c>
      <c r="S21" s="775">
        <f>F21</f>
        <v>100</v>
      </c>
      <c r="T21" s="774" t="s">
        <v>17</v>
      </c>
      <c r="U21" s="775">
        <f>H21</f>
        <v>100</v>
      </c>
      <c r="V21" s="774" t="s">
        <v>17</v>
      </c>
      <c r="W21" s="775">
        <f>J21</f>
        <v>100</v>
      </c>
      <c r="X21" s="1810"/>
      <c r="Y21" s="3132"/>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8"/>
      <c r="G22" s="2609"/>
      <c r="H22" s="448"/>
      <c r="I22" s="447"/>
      <c r="J22" s="448"/>
      <c r="K22" s="2610"/>
      <c r="L22" s="1138"/>
      <c r="M22" s="1129"/>
      <c r="N22" s="1129"/>
      <c r="O22" s="1129"/>
      <c r="P22" s="3139"/>
      <c r="Q22" s="1807"/>
      <c r="R22" s="774"/>
      <c r="S22" s="775"/>
      <c r="T22" s="774"/>
      <c r="U22" s="775"/>
      <c r="V22" s="774"/>
      <c r="W22" s="775"/>
      <c r="X22" s="1810"/>
      <c r="Y22" s="3132"/>
      <c r="Z22" s="1811"/>
      <c r="AA22" s="1808">
        <v>1</v>
      </c>
      <c r="AB22" s="1808">
        <v>1</v>
      </c>
      <c r="AC22" s="1808">
        <v>1</v>
      </c>
    </row>
    <row r="23" spans="1:29" ht="57">
      <c r="A23" s="428"/>
      <c r="B23" s="451" t="s">
        <v>2095</v>
      </c>
      <c r="C23" s="2605"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39"/>
      <c r="Q23" s="1807" t="str">
        <f>B23</f>
        <v>自然及人文环境</v>
      </c>
      <c r="R23" s="774" t="s">
        <v>21</v>
      </c>
      <c r="S23" s="775">
        <f>F23</f>
        <v>100</v>
      </c>
      <c r="T23" s="774" t="s">
        <v>21</v>
      </c>
      <c r="U23" s="775">
        <f>H23</f>
        <v>100</v>
      </c>
      <c r="V23" s="774" t="s">
        <v>21</v>
      </c>
      <c r="W23" s="775">
        <f>J23</f>
        <v>100</v>
      </c>
      <c r="X23" s="1810"/>
      <c r="Y23" s="3132"/>
      <c r="Z23" s="1811" t="str">
        <f>Q23</f>
        <v>自然及人文环境</v>
      </c>
      <c r="AA23" s="1808">
        <f>D23/F23</f>
        <v>1</v>
      </c>
      <c r="AB23" s="1808">
        <f>D23/H23</f>
        <v>1</v>
      </c>
      <c r="AC23" s="1808">
        <f>D23/J23</f>
        <v>1</v>
      </c>
    </row>
    <row r="24" spans="1:29" ht="15">
      <c r="A24" s="428"/>
      <c r="B24" s="456"/>
      <c r="C24" s="447"/>
      <c r="D24" s="448"/>
      <c r="E24" s="2602"/>
      <c r="F24" s="448"/>
      <c r="G24" s="2603"/>
      <c r="H24" s="448"/>
      <c r="I24" s="2603"/>
      <c r="J24" s="448"/>
      <c r="K24" s="2604"/>
      <c r="L24" s="1138"/>
      <c r="M24" s="1129"/>
      <c r="N24" s="1129"/>
      <c r="O24" s="1129"/>
      <c r="P24" s="3139"/>
      <c r="Q24" s="1807"/>
      <c r="R24" s="774"/>
      <c r="S24" s="775"/>
      <c r="T24" s="774"/>
      <c r="U24" s="775"/>
      <c r="V24" s="774"/>
      <c r="W24" s="775"/>
      <c r="X24" s="1810"/>
      <c r="Y24" s="3132"/>
      <c r="Z24" s="1811"/>
      <c r="AA24" s="1808">
        <v>1</v>
      </c>
      <c r="AB24" s="1808">
        <v>1</v>
      </c>
      <c r="AC24" s="1808">
        <v>1</v>
      </c>
    </row>
    <row r="25" spans="1:29" ht="15">
      <c r="A25" s="428"/>
      <c r="B25" s="422" t="s">
        <v>2555</v>
      </c>
      <c r="C25" s="460"/>
      <c r="D25" s="435">
        <v>100</v>
      </c>
      <c r="E25" s="2611"/>
      <c r="F25" s="435">
        <f>SUMIF(86:86,E25,87:87)-SUMIF(86:86,C25,87:87)+100</f>
        <v>100</v>
      </c>
      <c r="G25" s="2612"/>
      <c r="H25" s="435">
        <f>SUMIF(86:86,G25,87:87)-SUMIF(86:86,C25,87:87)+100</f>
        <v>100</v>
      </c>
      <c r="I25" s="2612"/>
      <c r="J25" s="435">
        <f>SUMIF(86:86,I25,87:87)-SUMIF(86:86,C25,87:87)+100</f>
        <v>100</v>
      </c>
      <c r="K25" s="426"/>
      <c r="L25" s="1138"/>
      <c r="M25" s="1129"/>
      <c r="N25" s="1129"/>
      <c r="O25" s="1129"/>
      <c r="P25" s="3139"/>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32"/>
      <c r="Z25" s="1811" t="str">
        <f>Q25</f>
        <v>楼层-1</v>
      </c>
      <c r="AA25" s="1808">
        <f t="shared" ref="AA25:AA46" si="15">D25/F25</f>
        <v>1</v>
      </c>
      <c r="AB25" s="1808">
        <f t="shared" ref="AB25:AB46" si="16">D25/H25</f>
        <v>1</v>
      </c>
      <c r="AC25" s="1808">
        <f t="shared" ref="AC25:AC46" si="17">D25/J25</f>
        <v>1</v>
      </c>
    </row>
    <row r="26" spans="1:29" ht="15">
      <c r="A26" s="428"/>
      <c r="B26" s="422" t="s">
        <v>2556</v>
      </c>
      <c r="C26" s="460"/>
      <c r="D26" s="435">
        <v>100</v>
      </c>
      <c r="E26" s="2611"/>
      <c r="F26" s="435">
        <f>SUMIF(88:88,E26,89:89)-SUMIF(88:88,C26,89:89)+100</f>
        <v>100</v>
      </c>
      <c r="G26" s="2612"/>
      <c r="H26" s="435">
        <f>SUMIF(88:88,G26,89:89)-SUMIF(88:88,C26,89:89)+100</f>
        <v>100</v>
      </c>
      <c r="I26" s="2612"/>
      <c r="J26" s="435">
        <f>SUMIF(88:88,I26,89:89)-SUMIF(88:88,C26,89:89)+100</f>
        <v>100</v>
      </c>
      <c r="K26" s="426"/>
      <c r="L26" s="1138"/>
      <c r="M26" s="1129"/>
      <c r="N26" s="1129"/>
      <c r="O26" s="1129"/>
      <c r="P26" s="3139"/>
      <c r="Q26" s="1807" t="str">
        <f t="shared" si="11"/>
        <v>朝向</v>
      </c>
      <c r="R26" s="774" t="s">
        <v>21</v>
      </c>
      <c r="S26" s="775">
        <f t="shared" si="12"/>
        <v>100</v>
      </c>
      <c r="T26" s="774" t="s">
        <v>21</v>
      </c>
      <c r="U26" s="775">
        <f t="shared" si="13"/>
        <v>100</v>
      </c>
      <c r="V26" s="774" t="s">
        <v>21</v>
      </c>
      <c r="W26" s="775">
        <f t="shared" si="14"/>
        <v>100</v>
      </c>
      <c r="X26" s="1810"/>
      <c r="Y26" s="3132"/>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0"/>
      <c r="M27" s="1131"/>
      <c r="N27" s="1131"/>
      <c r="O27" s="1131"/>
      <c r="P27" s="3139"/>
      <c r="Q27" s="1792">
        <f t="shared" si="11"/>
        <v>111</v>
      </c>
      <c r="R27" s="770" t="s">
        <v>21</v>
      </c>
      <c r="S27" s="771">
        <f t="shared" si="12"/>
        <v>100</v>
      </c>
      <c r="T27" s="770" t="s">
        <v>21</v>
      </c>
      <c r="U27" s="771">
        <f t="shared" si="13"/>
        <v>100</v>
      </c>
      <c r="V27" s="770" t="s">
        <v>21</v>
      </c>
      <c r="W27" s="771">
        <f t="shared" si="14"/>
        <v>100</v>
      </c>
      <c r="X27" s="772"/>
      <c r="Y27" s="3132"/>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38"/>
      <c r="M28" s="1129"/>
      <c r="N28" s="1129"/>
      <c r="O28" s="1129"/>
      <c r="P28" s="3139"/>
      <c r="Q28" s="1807">
        <f t="shared" si="11"/>
        <v>111</v>
      </c>
      <c r="R28" s="774" t="s">
        <v>21</v>
      </c>
      <c r="S28" s="775">
        <f t="shared" si="12"/>
        <v>100</v>
      </c>
      <c r="T28" s="774" t="s">
        <v>21</v>
      </c>
      <c r="U28" s="775">
        <f t="shared" si="13"/>
        <v>100</v>
      </c>
      <c r="V28" s="774" t="s">
        <v>21</v>
      </c>
      <c r="W28" s="775">
        <f t="shared" si="14"/>
        <v>100</v>
      </c>
      <c r="X28" s="1810"/>
      <c r="Y28" s="3132"/>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38"/>
      <c r="M29" s="1129"/>
      <c r="N29" s="1129"/>
      <c r="O29" s="1129"/>
      <c r="P29" s="3139"/>
      <c r="Q29" s="1807">
        <f t="shared" si="11"/>
        <v>111</v>
      </c>
      <c r="R29" s="774" t="s">
        <v>21</v>
      </c>
      <c r="S29" s="775">
        <f t="shared" si="12"/>
        <v>100</v>
      </c>
      <c r="T29" s="774" t="s">
        <v>21</v>
      </c>
      <c r="U29" s="775">
        <f t="shared" si="13"/>
        <v>100</v>
      </c>
      <c r="V29" s="774" t="s">
        <v>21</v>
      </c>
      <c r="W29" s="775">
        <f t="shared" si="14"/>
        <v>100</v>
      </c>
      <c r="X29" s="1810"/>
      <c r="Y29" s="3132"/>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38"/>
      <c r="M30" s="1129"/>
      <c r="N30" s="1129"/>
      <c r="O30" s="1129"/>
      <c r="P30" s="3139"/>
      <c r="Q30" s="1807">
        <f t="shared" si="11"/>
        <v>111</v>
      </c>
      <c r="R30" s="774" t="s">
        <v>21</v>
      </c>
      <c r="S30" s="775">
        <f t="shared" si="12"/>
        <v>100</v>
      </c>
      <c r="T30" s="774" t="s">
        <v>21</v>
      </c>
      <c r="U30" s="775">
        <f t="shared" si="13"/>
        <v>100</v>
      </c>
      <c r="V30" s="774" t="s">
        <v>21</v>
      </c>
      <c r="W30" s="775">
        <f t="shared" si="14"/>
        <v>100</v>
      </c>
      <c r="X30" s="1810"/>
      <c r="Y30" s="3132"/>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38"/>
      <c r="M31" s="1129"/>
      <c r="N31" s="1129"/>
      <c r="O31" s="1129"/>
      <c r="P31" s="3139"/>
      <c r="Q31" s="1807">
        <f t="shared" si="11"/>
        <v>111</v>
      </c>
      <c r="R31" s="774" t="s">
        <v>21</v>
      </c>
      <c r="S31" s="775">
        <f t="shared" si="12"/>
        <v>100</v>
      </c>
      <c r="T31" s="774" t="s">
        <v>21</v>
      </c>
      <c r="U31" s="775">
        <f t="shared" si="13"/>
        <v>100</v>
      </c>
      <c r="V31" s="774" t="s">
        <v>21</v>
      </c>
      <c r="W31" s="775">
        <f t="shared" si="14"/>
        <v>100</v>
      </c>
      <c r="X31" s="1810"/>
      <c r="Y31" s="3132"/>
      <c r="Z31" s="1811">
        <f t="shared" si="18"/>
        <v>111</v>
      </c>
      <c r="AA31" s="1808">
        <f t="shared" si="15"/>
        <v>1</v>
      </c>
      <c r="AB31" s="1808">
        <f t="shared" si="16"/>
        <v>1</v>
      </c>
      <c r="AC31" s="1808">
        <f t="shared" si="17"/>
        <v>1</v>
      </c>
    </row>
    <row r="32" spans="1:29" ht="15">
      <c r="A32" s="440" t="s">
        <v>2557</v>
      </c>
      <c r="B32" s="71" t="s">
        <v>2558</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8"/>
      <c r="M32" s="1129"/>
      <c r="N32" s="1129"/>
      <c r="O32" s="1129"/>
      <c r="P32" s="3133" t="s">
        <v>2559</v>
      </c>
      <c r="Q32" s="1807" t="str">
        <f t="shared" si="11"/>
        <v>建筑类型</v>
      </c>
      <c r="R32" s="774" t="s">
        <v>21</v>
      </c>
      <c r="S32" s="775">
        <f t="shared" si="12"/>
        <v>100</v>
      </c>
      <c r="T32" s="774" t="s">
        <v>21</v>
      </c>
      <c r="U32" s="775">
        <f t="shared" si="13"/>
        <v>100</v>
      </c>
      <c r="V32" s="774" t="s">
        <v>21</v>
      </c>
      <c r="W32" s="775">
        <f t="shared" si="14"/>
        <v>100</v>
      </c>
      <c r="X32" s="1810"/>
      <c r="Y32" s="3136" t="s">
        <v>2559</v>
      </c>
      <c r="Z32" s="1811" t="str">
        <f t="shared" si="18"/>
        <v>建筑类型</v>
      </c>
      <c r="AA32" s="1808">
        <f t="shared" si="15"/>
        <v>1</v>
      </c>
      <c r="AB32" s="1808">
        <f t="shared" si="16"/>
        <v>1</v>
      </c>
      <c r="AC32" s="1808">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6"/>
      <c r="M33" s="1139"/>
      <c r="N33" s="1139"/>
      <c r="O33" s="1139"/>
      <c r="P33" s="3134"/>
      <c r="Q33" s="776" t="str">
        <f t="shared" si="11"/>
        <v>项目建筑规模</v>
      </c>
      <c r="R33" s="777" t="s">
        <v>21</v>
      </c>
      <c r="S33" s="778" t="e">
        <f t="shared" si="12"/>
        <v>#N/A</v>
      </c>
      <c r="T33" s="777" t="s">
        <v>21</v>
      </c>
      <c r="U33" s="778" t="e">
        <f t="shared" si="13"/>
        <v>#N/A</v>
      </c>
      <c r="V33" s="777" t="s">
        <v>21</v>
      </c>
      <c r="W33" s="778" t="e">
        <f t="shared" si="14"/>
        <v>#N/A</v>
      </c>
      <c r="X33" s="779"/>
      <c r="Y33" s="3136"/>
      <c r="Z33" s="780" t="str">
        <f t="shared" si="18"/>
        <v>项目建筑规模</v>
      </c>
      <c r="AA33" s="1808" t="e">
        <f t="shared" si="15"/>
        <v>#N/A</v>
      </c>
      <c r="AB33" s="1808" t="e">
        <f t="shared" si="16"/>
        <v>#N/A</v>
      </c>
      <c r="AC33" s="1808" t="e">
        <f t="shared" si="17"/>
        <v>#N/A</v>
      </c>
    </row>
    <row r="34" spans="1:29" ht="15">
      <c r="A34" s="472"/>
      <c r="B34" s="422" t="s">
        <v>2561</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8"/>
      <c r="M34" s="1129"/>
      <c r="N34" s="1129"/>
      <c r="O34" s="1129"/>
      <c r="P34" s="3134"/>
      <c r="Q34" s="1807" t="str">
        <f t="shared" si="11"/>
        <v>建筑结构</v>
      </c>
      <c r="R34" s="774" t="s">
        <v>21</v>
      </c>
      <c r="S34" s="775">
        <f t="shared" si="12"/>
        <v>100</v>
      </c>
      <c r="T34" s="774" t="s">
        <v>21</v>
      </c>
      <c r="U34" s="775">
        <f t="shared" si="13"/>
        <v>100</v>
      </c>
      <c r="V34" s="774" t="s">
        <v>21</v>
      </c>
      <c r="W34" s="775">
        <f t="shared" si="14"/>
        <v>100</v>
      </c>
      <c r="X34" s="1810"/>
      <c r="Y34" s="3136"/>
      <c r="Z34" s="1811" t="str">
        <f t="shared" si="18"/>
        <v>建筑结构</v>
      </c>
      <c r="AA34" s="1808">
        <f t="shared" si="15"/>
        <v>1</v>
      </c>
      <c r="AB34" s="1808">
        <f t="shared" si="16"/>
        <v>1</v>
      </c>
      <c r="AC34" s="1808">
        <f t="shared" si="17"/>
        <v>1</v>
      </c>
    </row>
    <row r="35" spans="1:29" ht="15">
      <c r="A35" s="472"/>
      <c r="B35" s="422" t="s">
        <v>2562</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8"/>
      <c r="M35" s="1129"/>
      <c r="N35" s="1129"/>
      <c r="O35" s="1129"/>
      <c r="P35" s="3134"/>
      <c r="Q35" s="1807" t="str">
        <f t="shared" si="11"/>
        <v>建筑品质</v>
      </c>
      <c r="R35" s="774" t="s">
        <v>21</v>
      </c>
      <c r="S35" s="775">
        <f t="shared" si="12"/>
        <v>100</v>
      </c>
      <c r="T35" s="774" t="s">
        <v>21</v>
      </c>
      <c r="U35" s="775">
        <f t="shared" si="13"/>
        <v>100</v>
      </c>
      <c r="V35" s="774" t="s">
        <v>21</v>
      </c>
      <c r="W35" s="775">
        <f t="shared" si="14"/>
        <v>100</v>
      </c>
      <c r="X35" s="1810"/>
      <c r="Y35" s="3136"/>
      <c r="Z35" s="1811" t="str">
        <f t="shared" si="18"/>
        <v>建筑品质</v>
      </c>
      <c r="AA35" s="1808">
        <f t="shared" si="15"/>
        <v>1</v>
      </c>
      <c r="AB35" s="1808">
        <f t="shared" si="16"/>
        <v>1</v>
      </c>
      <c r="AC35" s="1808">
        <f t="shared" si="17"/>
        <v>1</v>
      </c>
    </row>
    <row r="36" spans="1:29" ht="15">
      <c r="A36" s="472"/>
      <c r="B36" s="422" t="s">
        <v>2563</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8"/>
      <c r="M36" s="1129"/>
      <c r="N36" s="1129"/>
      <c r="O36" s="1129"/>
      <c r="P36" s="3134"/>
      <c r="Q36" s="1807" t="str">
        <f t="shared" si="11"/>
        <v>公共部分装修</v>
      </c>
      <c r="R36" s="774" t="s">
        <v>21</v>
      </c>
      <c r="S36" s="775">
        <f t="shared" si="12"/>
        <v>100</v>
      </c>
      <c r="T36" s="774" t="s">
        <v>21</v>
      </c>
      <c r="U36" s="775">
        <f t="shared" si="13"/>
        <v>100</v>
      </c>
      <c r="V36" s="774" t="s">
        <v>21</v>
      </c>
      <c r="W36" s="775">
        <f t="shared" si="14"/>
        <v>100</v>
      </c>
      <c r="X36" s="1810"/>
      <c r="Y36" s="3136"/>
      <c r="Z36" s="1811" t="str">
        <f t="shared" si="18"/>
        <v>公共部分装修</v>
      </c>
      <c r="AA36" s="1808">
        <f t="shared" si="15"/>
        <v>1</v>
      </c>
      <c r="AB36" s="1808">
        <f t="shared" si="16"/>
        <v>1</v>
      </c>
      <c r="AC36" s="1808">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34"/>
      <c r="Q37" s="1792" t="str">
        <f t="shared" si="11"/>
        <v>成新度</v>
      </c>
      <c r="R37" s="770" t="s">
        <v>21</v>
      </c>
      <c r="S37" s="771" t="e">
        <f t="shared" si="12"/>
        <v>#N/A</v>
      </c>
      <c r="T37" s="770" t="s">
        <v>21</v>
      </c>
      <c r="U37" s="771" t="e">
        <f t="shared" si="13"/>
        <v>#N/A</v>
      </c>
      <c r="V37" s="770" t="s">
        <v>21</v>
      </c>
      <c r="W37" s="771" t="e">
        <f t="shared" si="14"/>
        <v>#N/A</v>
      </c>
      <c r="X37" s="772"/>
      <c r="Y37" s="3136"/>
      <c r="Z37" s="55" t="str">
        <f t="shared" si="18"/>
        <v>成新度</v>
      </c>
      <c r="AA37" s="773" t="e">
        <f t="shared" si="15"/>
        <v>#N/A</v>
      </c>
      <c r="AB37" s="773" t="e">
        <f t="shared" si="16"/>
        <v>#N/A</v>
      </c>
      <c r="AC37" s="773" t="e">
        <f t="shared" si="17"/>
        <v>#N/A</v>
      </c>
    </row>
    <row r="38" spans="1:29" ht="15">
      <c r="A38" s="472"/>
      <c r="B38" s="422" t="s">
        <v>2565</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8"/>
      <c r="M38" s="1129"/>
      <c r="N38" s="1129"/>
      <c r="O38" s="1129"/>
      <c r="P38" s="3134" t="s">
        <v>2559</v>
      </c>
      <c r="Q38" s="1807" t="str">
        <f t="shared" si="11"/>
        <v>物业管理</v>
      </c>
      <c r="R38" s="774" t="s">
        <v>21</v>
      </c>
      <c r="S38" s="775">
        <f t="shared" si="12"/>
        <v>100</v>
      </c>
      <c r="T38" s="774" t="s">
        <v>21</v>
      </c>
      <c r="U38" s="775">
        <f t="shared" si="13"/>
        <v>100</v>
      </c>
      <c r="V38" s="774" t="s">
        <v>21</v>
      </c>
      <c r="W38" s="775">
        <f t="shared" si="14"/>
        <v>100</v>
      </c>
      <c r="X38" s="1810"/>
      <c r="Y38" s="3136" t="s">
        <v>2559</v>
      </c>
      <c r="Z38" s="1811" t="str">
        <f t="shared" si="18"/>
        <v>物业管理</v>
      </c>
      <c r="AA38" s="1808">
        <f t="shared" si="15"/>
        <v>1</v>
      </c>
      <c r="AB38" s="1808">
        <f t="shared" si="16"/>
        <v>1</v>
      </c>
      <c r="AC38" s="1808">
        <f t="shared" si="17"/>
        <v>1</v>
      </c>
    </row>
    <row r="39" spans="1:29" ht="15">
      <c r="A39" s="472"/>
      <c r="B39" s="422" t="s">
        <v>2566</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8"/>
      <c r="M39" s="1129"/>
      <c r="N39" s="1129"/>
      <c r="O39" s="1129"/>
      <c r="P39" s="3134"/>
      <c r="Q39" s="1807" t="str">
        <f t="shared" si="11"/>
        <v>市政基础设施</v>
      </c>
      <c r="R39" s="774" t="s">
        <v>21</v>
      </c>
      <c r="S39" s="775">
        <f t="shared" si="12"/>
        <v>100</v>
      </c>
      <c r="T39" s="774" t="s">
        <v>21</v>
      </c>
      <c r="U39" s="775">
        <f t="shared" si="13"/>
        <v>100</v>
      </c>
      <c r="V39" s="774" t="s">
        <v>21</v>
      </c>
      <c r="W39" s="775">
        <f t="shared" si="14"/>
        <v>100</v>
      </c>
      <c r="X39" s="1810"/>
      <c r="Y39" s="3136"/>
      <c r="Z39" s="1811" t="str">
        <f t="shared" si="18"/>
        <v>市政基础设施</v>
      </c>
      <c r="AA39" s="1808">
        <f t="shared" si="15"/>
        <v>1</v>
      </c>
      <c r="AB39" s="1808">
        <f t="shared" si="16"/>
        <v>1</v>
      </c>
      <c r="AC39" s="1808">
        <f t="shared" si="17"/>
        <v>1</v>
      </c>
    </row>
    <row r="40" spans="1:29" ht="15">
      <c r="A40" s="472"/>
      <c r="B40" s="422" t="s">
        <v>2567</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8"/>
      <c r="M40" s="1129"/>
      <c r="N40" s="1129"/>
      <c r="O40" s="1129"/>
      <c r="P40" s="3134"/>
      <c r="Q40" s="1807" t="str">
        <f t="shared" si="11"/>
        <v>房型</v>
      </c>
      <c r="R40" s="774" t="s">
        <v>21</v>
      </c>
      <c r="S40" s="775">
        <f t="shared" si="12"/>
        <v>100</v>
      </c>
      <c r="T40" s="774" t="s">
        <v>21</v>
      </c>
      <c r="U40" s="775">
        <f t="shared" si="13"/>
        <v>100</v>
      </c>
      <c r="V40" s="774" t="s">
        <v>21</v>
      </c>
      <c r="W40" s="775">
        <f t="shared" si="14"/>
        <v>100</v>
      </c>
      <c r="X40" s="1810"/>
      <c r="Y40" s="3136"/>
      <c r="Z40" s="1811" t="str">
        <f t="shared" si="18"/>
        <v>房型</v>
      </c>
      <c r="AA40" s="1808">
        <f t="shared" si="15"/>
        <v>1</v>
      </c>
      <c r="AB40" s="1808">
        <f t="shared" si="16"/>
        <v>1</v>
      </c>
      <c r="AC40" s="1808">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6"/>
      <c r="M41" s="1139"/>
      <c r="N41" s="1139"/>
      <c r="O41" s="1139"/>
      <c r="P41" s="3134"/>
      <c r="Q41" s="776" t="str">
        <f t="shared" si="11"/>
        <v>单套/主力户型建筑面积</v>
      </c>
      <c r="R41" s="777" t="s">
        <v>21</v>
      </c>
      <c r="S41" s="778">
        <f t="shared" si="12"/>
        <v>100</v>
      </c>
      <c r="T41" s="777" t="s">
        <v>21</v>
      </c>
      <c r="U41" s="778">
        <f t="shared" si="13"/>
        <v>100</v>
      </c>
      <c r="V41" s="777" t="s">
        <v>21</v>
      </c>
      <c r="W41" s="778">
        <f t="shared" si="14"/>
        <v>100</v>
      </c>
      <c r="X41" s="779"/>
      <c r="Y41" s="3136"/>
      <c r="Z41" s="780" t="str">
        <f t="shared" si="18"/>
        <v>单套/主力户型建筑面积</v>
      </c>
      <c r="AA41" s="1808">
        <f t="shared" si="15"/>
        <v>1</v>
      </c>
      <c r="AB41" s="1808">
        <f t="shared" si="16"/>
        <v>1</v>
      </c>
      <c r="AC41" s="1808">
        <f t="shared" si="17"/>
        <v>1</v>
      </c>
    </row>
    <row r="42" spans="1:29" ht="15">
      <c r="A42" s="472"/>
      <c r="B42" s="422" t="s">
        <v>2569</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8"/>
      <c r="M42" s="1129"/>
      <c r="N42" s="1129"/>
      <c r="O42" s="1129"/>
      <c r="P42" s="3134"/>
      <c r="Q42" s="1807" t="str">
        <f t="shared" si="11"/>
        <v>内部装修</v>
      </c>
      <c r="R42" s="774" t="s">
        <v>21</v>
      </c>
      <c r="S42" s="775">
        <f t="shared" si="12"/>
        <v>100</v>
      </c>
      <c r="T42" s="774" t="s">
        <v>21</v>
      </c>
      <c r="U42" s="775">
        <f t="shared" si="13"/>
        <v>100</v>
      </c>
      <c r="V42" s="774" t="s">
        <v>21</v>
      </c>
      <c r="W42" s="775">
        <f t="shared" si="14"/>
        <v>100</v>
      </c>
      <c r="X42" s="1810"/>
      <c r="Y42" s="3136"/>
      <c r="Z42" s="1811" t="str">
        <f t="shared" si="18"/>
        <v>内部装修</v>
      </c>
      <c r="AA42" s="1808">
        <f t="shared" si="15"/>
        <v>1</v>
      </c>
      <c r="AB42" s="1808">
        <f t="shared" si="16"/>
        <v>1</v>
      </c>
      <c r="AC42" s="1808">
        <f t="shared" si="17"/>
        <v>1</v>
      </c>
    </row>
    <row r="43" spans="1:29" ht="15">
      <c r="A43" s="472"/>
      <c r="B43" s="422" t="s">
        <v>2570</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8"/>
      <c r="M43" s="1129"/>
      <c r="N43" s="1129"/>
      <c r="O43" s="1129"/>
      <c r="P43" s="3134"/>
      <c r="Q43" s="1807" t="str">
        <f t="shared" si="11"/>
        <v>内部装修维护情况</v>
      </c>
      <c r="R43" s="774" t="s">
        <v>21</v>
      </c>
      <c r="S43" s="775">
        <f t="shared" si="12"/>
        <v>100</v>
      </c>
      <c r="T43" s="774" t="s">
        <v>21</v>
      </c>
      <c r="U43" s="775">
        <f t="shared" si="13"/>
        <v>100</v>
      </c>
      <c r="V43" s="774" t="s">
        <v>21</v>
      </c>
      <c r="W43" s="775">
        <f t="shared" si="14"/>
        <v>100</v>
      </c>
      <c r="X43" s="1810"/>
      <c r="Y43" s="3136"/>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0"/>
      <c r="M44" s="1131"/>
      <c r="N44" s="1131"/>
      <c r="O44" s="1131"/>
      <c r="P44" s="3134"/>
      <c r="Q44" s="1792">
        <f t="shared" si="11"/>
        <v>111</v>
      </c>
      <c r="R44" s="770" t="s">
        <v>21</v>
      </c>
      <c r="S44" s="771">
        <f t="shared" si="12"/>
        <v>100</v>
      </c>
      <c r="T44" s="770" t="s">
        <v>21</v>
      </c>
      <c r="U44" s="771">
        <f t="shared" si="13"/>
        <v>100</v>
      </c>
      <c r="V44" s="770" t="s">
        <v>21</v>
      </c>
      <c r="W44" s="771">
        <f t="shared" si="14"/>
        <v>100</v>
      </c>
      <c r="X44" s="772"/>
      <c r="Y44" s="3136"/>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8"/>
      <c r="M45" s="1129"/>
      <c r="N45" s="1129"/>
      <c r="O45" s="1129"/>
      <c r="P45" s="3134"/>
      <c r="Q45" s="1807">
        <f t="shared" si="11"/>
        <v>111</v>
      </c>
      <c r="R45" s="774" t="s">
        <v>21</v>
      </c>
      <c r="S45" s="775">
        <f t="shared" si="12"/>
        <v>100</v>
      </c>
      <c r="T45" s="774" t="s">
        <v>21</v>
      </c>
      <c r="U45" s="775">
        <f t="shared" si="13"/>
        <v>100</v>
      </c>
      <c r="V45" s="774" t="s">
        <v>21</v>
      </c>
      <c r="W45" s="775">
        <f t="shared" si="14"/>
        <v>100</v>
      </c>
      <c r="X45" s="1810"/>
      <c r="Y45" s="3136"/>
      <c r="Z45" s="1811">
        <f t="shared" si="18"/>
        <v>111</v>
      </c>
      <c r="AA45" s="1808">
        <f t="shared" si="15"/>
        <v>1</v>
      </c>
      <c r="AB45" s="1808">
        <f t="shared" si="16"/>
        <v>1</v>
      </c>
      <c r="AC45" s="1808">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8"/>
      <c r="M46" s="1129"/>
      <c r="N46" s="1129"/>
      <c r="O46" s="1129"/>
      <c r="P46" s="3135"/>
      <c r="Q46" s="1807">
        <f t="shared" si="11"/>
        <v>111</v>
      </c>
      <c r="R46" s="774" t="s">
        <v>20</v>
      </c>
      <c r="S46" s="775">
        <f t="shared" si="12"/>
        <v>100</v>
      </c>
      <c r="T46" s="774" t="s">
        <v>20</v>
      </c>
      <c r="U46" s="775">
        <f t="shared" si="13"/>
        <v>100</v>
      </c>
      <c r="V46" s="774" t="s">
        <v>20</v>
      </c>
      <c r="W46" s="775">
        <f t="shared" si="14"/>
        <v>100</v>
      </c>
      <c r="X46" s="1810"/>
      <c r="Y46" s="3137"/>
      <c r="Z46" s="1811">
        <f t="shared" si="18"/>
        <v>111</v>
      </c>
      <c r="AA46" s="1808">
        <f t="shared" si="15"/>
        <v>1</v>
      </c>
      <c r="AB46" s="1808">
        <f t="shared" si="16"/>
        <v>1</v>
      </c>
      <c r="AC46" s="1808">
        <f t="shared" si="17"/>
        <v>1</v>
      </c>
    </row>
    <row r="47" spans="1:29" ht="15">
      <c r="A47" s="479" t="s">
        <v>2571</v>
      </c>
      <c r="B47" s="480"/>
      <c r="C47" s="1405" t="s">
        <v>19</v>
      </c>
      <c r="D47" s="1406"/>
      <c r="E47" s="1407"/>
      <c r="F47" s="1408"/>
      <c r="G47" s="1409"/>
      <c r="H47" s="1410"/>
      <c r="I47" s="1407"/>
      <c r="J47" s="1410"/>
      <c r="K47" s="2619"/>
      <c r="L47" s="1141"/>
      <c r="M47" s="1142"/>
      <c r="N47" s="1129"/>
      <c r="O47" s="1142"/>
      <c r="P47" s="3129" t="str">
        <f>A47</f>
        <v>成交单价（元/平方米）</v>
      </c>
      <c r="Q47" s="3129"/>
      <c r="R47" s="3130">
        <f>E47</f>
        <v>0</v>
      </c>
      <c r="S47" s="3130"/>
      <c r="T47" s="3130">
        <f>G47</f>
        <v>0</v>
      </c>
      <c r="U47" s="3130"/>
      <c r="V47" s="3130">
        <f>I47</f>
        <v>0</v>
      </c>
      <c r="W47" s="3130"/>
      <c r="X47" s="759"/>
      <c r="Y47" s="781"/>
      <c r="Z47" s="759"/>
      <c r="AA47" s="759"/>
      <c r="AB47" s="759"/>
      <c r="AC47" s="759"/>
    </row>
    <row r="48" spans="1:29" ht="15.75" thickBot="1">
      <c r="A48" s="486" t="s">
        <v>2572</v>
      </c>
      <c r="B48" s="487"/>
      <c r="C48" s="1411" t="e">
        <f>R49</f>
        <v>#DIV/0!</v>
      </c>
      <c r="D48" s="1412"/>
      <c r="E48" s="1413" t="e">
        <f>R48</f>
        <v>#DIV/0!</v>
      </c>
      <c r="F48" s="1413"/>
      <c r="G48" s="1411" t="e">
        <f>T48</f>
        <v>#DIV/0!</v>
      </c>
      <c r="H48" s="1412"/>
      <c r="I48" s="1413" t="e">
        <f>V48</f>
        <v>#DIV/0!</v>
      </c>
      <c r="J48" s="1412"/>
      <c r="K48" s="2620"/>
      <c r="L48" s="1141"/>
      <c r="M48" s="1142"/>
      <c r="N48" s="1142"/>
      <c r="O48" s="1142"/>
      <c r="P48" s="3129" t="str">
        <f>A48</f>
        <v>比较价值（元/平方米）</v>
      </c>
      <c r="Q48" s="3129"/>
      <c r="R48" s="3130" t="e">
        <f>IF(F1="售价",ROUND(PRODUCT(R47,AA7:AA46),0),ROUND(PRODUCT(R47,AA7:AA46),1))</f>
        <v>#DIV/0!</v>
      </c>
      <c r="S48" s="3130"/>
      <c r="T48" s="3130" t="e">
        <f>IF(F1="售价",ROUND(PRODUCT(T47,AB7:AB46),0),ROUND(PRODUCT(T47,AB7:AB46),1))</f>
        <v>#DIV/0!</v>
      </c>
      <c r="U48" s="3130"/>
      <c r="V48" s="3130" t="e">
        <f>IF(F1="售价",ROUND(PRODUCT(V47,AC7:AC46),0),ROUND(PRODUCT(V47,AC7:AC46),1))</f>
        <v>#DIV/0!</v>
      </c>
      <c r="W48" s="3130"/>
      <c r="X48" s="759"/>
      <c r="Y48" s="759"/>
      <c r="Z48" s="759"/>
      <c r="AA48" s="759"/>
      <c r="AB48" s="759"/>
      <c r="AC48" s="759"/>
    </row>
    <row r="49" spans="1:29" ht="15.75" thickBot="1">
      <c r="A49" s="492" t="s">
        <v>2573</v>
      </c>
      <c r="B49" s="493"/>
      <c r="C49" s="1414" t="e">
        <f>R49</f>
        <v>#DIV/0!</v>
      </c>
      <c r="D49" s="1415"/>
      <c r="E49" s="1415"/>
      <c r="F49" s="1415"/>
      <c r="G49" s="1415"/>
      <c r="H49" s="1415"/>
      <c r="I49" s="1415"/>
      <c r="J49" s="1415"/>
      <c r="K49" s="2621"/>
      <c r="L49" s="1141"/>
      <c r="M49" s="1142"/>
      <c r="N49" s="1142"/>
      <c r="O49" s="1142"/>
      <c r="P49" s="3126" t="str">
        <f>A49</f>
        <v>估价对象XX用房的比较价值（楼面单价，元/平方米）</v>
      </c>
      <c r="Q49" s="3127"/>
      <c r="R49" s="3128" t="e">
        <f>IF(F1="售价",ROUND(AVERAGE(R48:V48),0),ROUND(AVERAGE(R48:V48),1))</f>
        <v>#DIV/0!</v>
      </c>
      <c r="S49" s="3128"/>
      <c r="T49" s="3128"/>
      <c r="U49" s="3128"/>
      <c r="V49" s="3128"/>
      <c r="W49" s="3128"/>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3"/>
    </row>
    <row r="55" spans="1:29" s="502"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3" t="s">
        <v>2577</v>
      </c>
      <c r="B57" s="759"/>
      <c r="C57" s="764"/>
      <c r="D57" s="764"/>
      <c r="E57" s="764"/>
      <c r="F57" s="765"/>
      <c r="G57" s="765"/>
      <c r="H57" s="764"/>
      <c r="I57" s="764"/>
      <c r="J57" s="764"/>
      <c r="K57" s="1158"/>
      <c r="L57" s="1159"/>
      <c r="M57" s="1157"/>
      <c r="N57" s="1157"/>
      <c r="O57" s="1157"/>
      <c r="P57" s="2624"/>
      <c r="Q57" s="504"/>
    </row>
    <row r="58" spans="1:29" s="508" customFormat="1" ht="15">
      <c r="A58" s="505" t="s">
        <v>2578</v>
      </c>
      <c r="B58" s="506"/>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7" customFormat="1" ht="15">
      <c r="A59" s="509"/>
      <c r="B59" s="2625"/>
      <c r="C59" s="1571">
        <v>100</v>
      </c>
      <c r="D59" s="511"/>
      <c r="E59" s="512"/>
      <c r="F59" s="512"/>
      <c r="G59" s="512"/>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2580</v>
      </c>
      <c r="B61" s="510"/>
      <c r="C61" s="522" t="s">
        <v>2581</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2582</v>
      </c>
      <c r="B63" s="528" t="s">
        <v>2548</v>
      </c>
      <c r="C63" s="529">
        <f>C9</f>
        <v>0</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8"/>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8"/>
      <c r="Q67" s="504"/>
    </row>
    <row r="68" spans="1:17" ht="15">
      <c r="A68" s="534"/>
      <c r="B68" s="548"/>
      <c r="C68" s="549"/>
      <c r="D68" s="549"/>
      <c r="E68" s="549"/>
      <c r="F68" s="549"/>
      <c r="G68" s="549"/>
      <c r="H68" s="549"/>
      <c r="I68" s="549"/>
      <c r="J68" s="549"/>
      <c r="K68" s="550"/>
      <c r="L68" s="551"/>
      <c r="M68" s="552"/>
      <c r="N68" s="1150"/>
      <c r="O68" s="1150"/>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8"/>
      <c r="Q69" s="504"/>
    </row>
    <row r="70" spans="1:17" s="471" customFormat="1" ht="15.75" thickTop="1">
      <c r="A70" s="553"/>
      <c r="B70" s="538">
        <f>B12</f>
        <v>111</v>
      </c>
      <c r="C70" s="554"/>
      <c r="D70" s="554"/>
      <c r="E70" s="554"/>
      <c r="F70" s="554"/>
      <c r="G70" s="554"/>
      <c r="H70" s="555"/>
      <c r="I70" s="555"/>
      <c r="J70" s="555"/>
      <c r="K70" s="555"/>
      <c r="L70" s="556"/>
      <c r="M70" s="557"/>
      <c r="N70" s="1152"/>
      <c r="O70" s="1152"/>
      <c r="P70" s="2629"/>
      <c r="Q70" s="559"/>
    </row>
    <row r="71" spans="1:17" s="471" customFormat="1" ht="15.75" thickBot="1">
      <c r="A71" s="553"/>
      <c r="B71" s="543"/>
      <c r="C71" s="560"/>
      <c r="D71" s="536"/>
      <c r="E71" s="536"/>
      <c r="F71" s="536"/>
      <c r="G71" s="536"/>
      <c r="H71" s="536"/>
      <c r="I71" s="536"/>
      <c r="J71" s="536"/>
      <c r="K71" s="536"/>
      <c r="L71" s="536"/>
      <c r="M71" s="537"/>
      <c r="N71" s="1151"/>
      <c r="O71" s="1151"/>
      <c r="P71" s="2629"/>
      <c r="Q71" s="559"/>
    </row>
    <row r="72" spans="1:17" s="471" customFormat="1" ht="15.75" thickTop="1">
      <c r="A72" s="553"/>
      <c r="B72" s="538">
        <f>B13</f>
        <v>111</v>
      </c>
      <c r="C72" s="554"/>
      <c r="D72" s="554"/>
      <c r="E72" s="554"/>
      <c r="F72" s="554"/>
      <c r="G72" s="554"/>
      <c r="H72" s="555"/>
      <c r="I72" s="555"/>
      <c r="J72" s="555"/>
      <c r="K72" s="555"/>
      <c r="L72" s="556"/>
      <c r="M72" s="557"/>
      <c r="N72" s="1152"/>
      <c r="O72" s="1152"/>
      <c r="P72" s="2630"/>
      <c r="Q72" s="561"/>
    </row>
    <row r="73" spans="1:17" s="471" customFormat="1" ht="15.75" thickBot="1">
      <c r="A73" s="553"/>
      <c r="B73" s="543"/>
      <c r="C73" s="560"/>
      <c r="D73" s="560"/>
      <c r="E73" s="560"/>
      <c r="F73" s="560"/>
      <c r="G73" s="560"/>
      <c r="H73" s="562"/>
      <c r="I73" s="562"/>
      <c r="J73" s="562"/>
      <c r="K73" s="562"/>
      <c r="L73" s="562"/>
      <c r="M73" s="563"/>
      <c r="N73" s="1152"/>
      <c r="O73" s="1152"/>
      <c r="P73" s="2629"/>
      <c r="Q73" s="559"/>
    </row>
    <row r="74" spans="1:17" s="471" customFormat="1" ht="15.75" thickTop="1">
      <c r="A74" s="553"/>
      <c r="B74" s="546">
        <f>B14</f>
        <v>111</v>
      </c>
      <c r="C74" s="554"/>
      <c r="D74" s="554"/>
      <c r="E74" s="554"/>
      <c r="F74" s="554"/>
      <c r="G74" s="523"/>
      <c r="H74" s="564"/>
      <c r="I74" s="564"/>
      <c r="J74" s="564"/>
      <c r="K74" s="564"/>
      <c r="L74" s="565"/>
      <c r="M74" s="566"/>
      <c r="N74" s="1152"/>
      <c r="O74" s="1152"/>
      <c r="P74" s="2631"/>
      <c r="Q74" s="559"/>
    </row>
    <row r="75" spans="1:17" s="471" customFormat="1" ht="15.75" thickBot="1">
      <c r="A75" s="568"/>
      <c r="B75" s="569"/>
      <c r="C75" s="570"/>
      <c r="D75" s="570"/>
      <c r="E75" s="570"/>
      <c r="F75" s="570"/>
      <c r="G75" s="570"/>
      <c r="H75" s="571"/>
      <c r="I75" s="571"/>
      <c r="J75" s="571"/>
      <c r="K75" s="571"/>
      <c r="L75" s="571"/>
      <c r="M75" s="572"/>
      <c r="N75" s="1152"/>
      <c r="O75" s="1152"/>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8"/>
      <c r="Q81" s="504"/>
    </row>
    <row r="82" spans="1:17" ht="15.75" thickTop="1">
      <c r="A82" s="534"/>
      <c r="B82" s="546" t="s">
        <v>2091</v>
      </c>
      <c r="C82" s="539" t="s">
        <v>2598</v>
      </c>
      <c r="D82" s="539" t="s">
        <v>2599</v>
      </c>
      <c r="E82" s="539" t="s">
        <v>2600</v>
      </c>
      <c r="F82" s="539" t="s">
        <v>2601</v>
      </c>
      <c r="G82" s="539" t="s">
        <v>2602</v>
      </c>
      <c r="H82" s="539"/>
      <c r="I82" s="539"/>
      <c r="J82" s="539"/>
      <c r="K82" s="539"/>
      <c r="L82" s="539"/>
      <c r="M82" s="1380"/>
      <c r="N82" s="1151"/>
      <c r="O82" s="1151"/>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8"/>
      <c r="Q85" s="504"/>
    </row>
    <row r="86" spans="1:17" s="117" customFormat="1" ht="15.75" thickTop="1">
      <c r="A86" s="579"/>
      <c r="B86" s="538" t="s">
        <v>2604</v>
      </c>
      <c r="C86" s="554"/>
      <c r="D86" s="554"/>
      <c r="E86" s="554"/>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8"/>
      <c r="Q87" s="504"/>
    </row>
    <row r="88" spans="1:17" s="117" customFormat="1" ht="15.75" thickTop="1">
      <c r="A88" s="579"/>
      <c r="B88" s="538" t="s">
        <v>2605</v>
      </c>
      <c r="C88" s="554"/>
      <c r="D88" s="554"/>
      <c r="E88" s="554"/>
      <c r="F88" s="2633"/>
      <c r="G88" s="554"/>
      <c r="H88" s="554"/>
      <c r="I88" s="554"/>
      <c r="J88" s="554"/>
      <c r="K88" s="554"/>
      <c r="L88" s="554"/>
      <c r="M88" s="581"/>
      <c r="N88" s="1149"/>
      <c r="O88" s="1149"/>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8"/>
      <c r="Q89" s="504"/>
    </row>
    <row r="90" spans="1:17" s="471" customFormat="1" ht="15.75" thickTop="1">
      <c r="A90" s="553"/>
      <c r="B90" s="538">
        <f>B27</f>
        <v>111</v>
      </c>
      <c r="C90" s="554"/>
      <c r="D90" s="554"/>
      <c r="E90" s="554"/>
      <c r="F90" s="554"/>
      <c r="G90" s="554"/>
      <c r="H90" s="555"/>
      <c r="I90" s="555"/>
      <c r="J90" s="555"/>
      <c r="K90" s="555"/>
      <c r="L90" s="556"/>
      <c r="M90" s="557"/>
      <c r="N90" s="1152"/>
      <c r="O90" s="1152"/>
      <c r="P90" s="2629"/>
      <c r="Q90" s="559"/>
    </row>
    <row r="91" spans="1:17" s="471" customFormat="1" ht="15.75" thickBot="1">
      <c r="A91" s="553"/>
      <c r="B91" s="543"/>
      <c r="C91" s="560"/>
      <c r="D91" s="560"/>
      <c r="E91" s="560"/>
      <c r="F91" s="560"/>
      <c r="G91" s="560"/>
      <c r="H91" s="562"/>
      <c r="I91" s="562"/>
      <c r="J91" s="562"/>
      <c r="K91" s="562"/>
      <c r="L91" s="562"/>
      <c r="M91" s="563"/>
      <c r="N91" s="1152"/>
      <c r="O91" s="1152"/>
      <c r="P91" s="2629"/>
      <c r="Q91" s="559"/>
    </row>
    <row r="92" spans="1:17" ht="15.75" thickTop="1">
      <c r="A92" s="534"/>
      <c r="B92" s="538">
        <f>B28</f>
        <v>111</v>
      </c>
      <c r="C92" s="554"/>
      <c r="D92" s="554"/>
      <c r="E92" s="554"/>
      <c r="F92" s="554"/>
      <c r="G92" s="583"/>
      <c r="H92" s="583"/>
      <c r="I92" s="583"/>
      <c r="J92" s="583"/>
      <c r="K92" s="584"/>
      <c r="L92" s="585"/>
      <c r="M92" s="586"/>
      <c r="N92" s="1150"/>
      <c r="O92" s="1150"/>
      <c r="P92" s="2628"/>
      <c r="Q92" s="504"/>
    </row>
    <row r="93" spans="1:17" ht="15.75" thickBot="1">
      <c r="A93" s="534"/>
      <c r="B93" s="543"/>
      <c r="C93" s="560"/>
      <c r="D93" s="536"/>
      <c r="E93" s="536"/>
      <c r="F93" s="536"/>
      <c r="G93" s="536"/>
      <c r="H93" s="536"/>
      <c r="I93" s="536"/>
      <c r="J93" s="536"/>
      <c r="K93" s="536"/>
      <c r="L93" s="536"/>
      <c r="M93" s="537"/>
      <c r="N93" s="1151"/>
      <c r="O93" s="1151"/>
      <c r="P93" s="2628"/>
      <c r="Q93" s="504"/>
    </row>
    <row r="94" spans="1:17" ht="15.75" thickTop="1">
      <c r="A94" s="534"/>
      <c r="B94" s="538">
        <f>B29</f>
        <v>111</v>
      </c>
      <c r="C94" s="554"/>
      <c r="D94" s="554"/>
      <c r="E94" s="554"/>
      <c r="F94" s="554"/>
      <c r="G94" s="583"/>
      <c r="H94" s="583"/>
      <c r="I94" s="583"/>
      <c r="J94" s="583"/>
      <c r="K94" s="584"/>
      <c r="L94" s="585"/>
      <c r="M94" s="586"/>
      <c r="N94" s="1150"/>
      <c r="O94" s="1150"/>
      <c r="P94" s="2628"/>
      <c r="Q94" s="504"/>
    </row>
    <row r="95" spans="1:17" ht="15.75" thickBot="1">
      <c r="A95" s="534"/>
      <c r="B95" s="543"/>
      <c r="C95" s="560"/>
      <c r="D95" s="560"/>
      <c r="E95" s="560"/>
      <c r="F95" s="560"/>
      <c r="G95" s="536"/>
      <c r="H95" s="536"/>
      <c r="I95" s="536"/>
      <c r="J95" s="536"/>
      <c r="K95" s="536"/>
      <c r="L95" s="536"/>
      <c r="M95" s="537"/>
      <c r="N95" s="1151"/>
      <c r="O95" s="1151"/>
      <c r="P95" s="2628"/>
      <c r="Q95" s="504"/>
    </row>
    <row r="96" spans="1:17" ht="15.75" thickTop="1">
      <c r="A96" s="534"/>
      <c r="B96" s="538">
        <f>B30</f>
        <v>111</v>
      </c>
      <c r="C96" s="554"/>
      <c r="D96" s="554"/>
      <c r="E96" s="554"/>
      <c r="F96" s="554"/>
      <c r="G96" s="583"/>
      <c r="H96" s="583"/>
      <c r="I96" s="583"/>
      <c r="J96" s="583"/>
      <c r="K96" s="584"/>
      <c r="L96" s="585"/>
      <c r="M96" s="586"/>
      <c r="N96" s="1150"/>
      <c r="O96" s="1150"/>
      <c r="P96" s="2628"/>
      <c r="Q96" s="504"/>
    </row>
    <row r="97" spans="1:17" ht="15.75" thickBot="1">
      <c r="A97" s="534"/>
      <c r="B97" s="543"/>
      <c r="C97" s="570"/>
      <c r="D97" s="570"/>
      <c r="E97" s="570"/>
      <c r="F97" s="570"/>
      <c r="G97" s="536"/>
      <c r="H97" s="536"/>
      <c r="I97" s="536"/>
      <c r="J97" s="536"/>
      <c r="K97" s="536"/>
      <c r="L97" s="536"/>
      <c r="M97" s="537"/>
      <c r="N97" s="1151"/>
      <c r="O97" s="1151"/>
      <c r="P97" s="2628"/>
      <c r="Q97" s="504"/>
    </row>
    <row r="98" spans="1:17" ht="15.75" thickTop="1">
      <c r="A98" s="534"/>
      <c r="B98" s="546">
        <f>B31</f>
        <v>111</v>
      </c>
      <c r="C98" s="587"/>
      <c r="D98" s="587"/>
      <c r="E98" s="587"/>
      <c r="F98" s="587"/>
      <c r="G98" s="587"/>
      <c r="H98" s="587"/>
      <c r="I98" s="587"/>
      <c r="J98" s="587"/>
      <c r="K98" s="588"/>
      <c r="L98" s="589"/>
      <c r="M98" s="590"/>
      <c r="N98" s="1150"/>
      <c r="O98" s="1150"/>
      <c r="P98" s="2628"/>
      <c r="Q98" s="504"/>
    </row>
    <row r="99" spans="1:17" ht="15.75" thickBot="1">
      <c r="A99" s="2634"/>
      <c r="B99" s="569"/>
      <c r="C99" s="591"/>
      <c r="D99" s="591"/>
      <c r="E99" s="591"/>
      <c r="F99" s="591"/>
      <c r="G99" s="591"/>
      <c r="H99" s="591"/>
      <c r="I99" s="591"/>
      <c r="J99" s="591"/>
      <c r="K99" s="591"/>
      <c r="L99" s="591"/>
      <c r="M99" s="592"/>
      <c r="N99" s="1151"/>
      <c r="O99" s="1151"/>
      <c r="P99" s="2628"/>
      <c r="Q99" s="504"/>
    </row>
    <row r="100" spans="1:17">
      <c r="A100" s="527" t="s">
        <v>2557</v>
      </c>
      <c r="B100" s="528" t="s">
        <v>2606</v>
      </c>
      <c r="C100" s="530"/>
      <c r="D100" s="530"/>
      <c r="E100" s="530"/>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8"/>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8"/>
      <c r="Q102" s="504"/>
    </row>
    <row r="103" spans="1:17" s="471" customFormat="1">
      <c r="A103" s="593"/>
      <c r="B103" s="594"/>
      <c r="C103" s="595"/>
      <c r="D103" s="595"/>
      <c r="E103" s="595"/>
      <c r="F103" s="595"/>
      <c r="G103" s="595"/>
      <c r="H103" s="595"/>
      <c r="I103" s="595"/>
      <c r="J103" s="596"/>
      <c r="K103" s="596"/>
      <c r="L103" s="597"/>
      <c r="M103" s="598"/>
      <c r="N103" s="1152"/>
      <c r="O103" s="1152"/>
      <c r="P103" s="2629"/>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9"/>
      <c r="Q104" s="559"/>
    </row>
    <row r="105" spans="1:17" ht="15" thickTop="1">
      <c r="A105" s="599"/>
      <c r="B105" s="538" t="s">
        <v>2608</v>
      </c>
      <c r="C105" s="554"/>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8"/>
      <c r="Q106" s="504"/>
    </row>
    <row r="107" spans="1:17" ht="15" thickTop="1">
      <c r="A107" s="599"/>
      <c r="B107" s="538" t="s">
        <v>2609</v>
      </c>
      <c r="C107" s="583"/>
      <c r="D107" s="583"/>
      <c r="E107" s="583"/>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8"/>
      <c r="Q108" s="504"/>
    </row>
    <row r="109" spans="1:17" ht="15" thickTop="1">
      <c r="A109" s="599"/>
      <c r="B109" s="538" t="s">
        <v>2610</v>
      </c>
      <c r="C109" s="554"/>
      <c r="D109" s="554"/>
      <c r="E109" s="554"/>
      <c r="F109" s="583"/>
      <c r="G109" s="583"/>
      <c r="H109" s="583"/>
      <c r="I109" s="583"/>
      <c r="J109" s="583"/>
      <c r="K109" s="584"/>
      <c r="L109" s="585"/>
      <c r="M109" s="586"/>
      <c r="N109" s="1150"/>
      <c r="O109" s="1150"/>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9"/>
      <c r="Q113" s="559"/>
    </row>
    <row r="114" spans="1:17" ht="15" thickTop="1">
      <c r="A114" s="599"/>
      <c r="B114" s="538" t="s">
        <v>2611</v>
      </c>
      <c r="C114" s="554"/>
      <c r="D114" s="554"/>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8"/>
      <c r="Q115" s="504"/>
    </row>
    <row r="116" spans="1:17" ht="15" thickTop="1">
      <c r="A116" s="599"/>
      <c r="B116" s="538" t="s">
        <v>2612</v>
      </c>
      <c r="C116" s="554"/>
      <c r="D116" s="554"/>
      <c r="E116" s="554"/>
      <c r="F116" s="554"/>
      <c r="G116" s="554"/>
      <c r="H116" s="583"/>
      <c r="I116" s="583"/>
      <c r="J116" s="583"/>
      <c r="K116" s="584"/>
      <c r="L116" s="585"/>
      <c r="M116" s="586"/>
      <c r="N116" s="1150"/>
      <c r="O116" s="1150"/>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8"/>
      <c r="Q117" s="504"/>
    </row>
    <row r="118" spans="1:17" ht="15" thickTop="1">
      <c r="A118" s="599"/>
      <c r="B118" s="538" t="s">
        <v>2613</v>
      </c>
      <c r="C118" s="583"/>
      <c r="D118" s="583"/>
      <c r="E118" s="583"/>
      <c r="F118" s="583"/>
      <c r="G118" s="583"/>
      <c r="H118" s="583"/>
      <c r="I118" s="583"/>
      <c r="J118" s="583"/>
      <c r="K118" s="584"/>
      <c r="L118" s="585"/>
      <c r="M118" s="586"/>
      <c r="N118" s="1150"/>
      <c r="O118" s="1150"/>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8"/>
      <c r="Q119" s="504"/>
    </row>
    <row r="120" spans="1:17" s="471" customFormat="1" ht="28.5" thickTop="1">
      <c r="A120" s="593"/>
      <c r="B120" s="538" t="s">
        <v>2568</v>
      </c>
      <c r="C120" s="554"/>
      <c r="D120" s="554"/>
      <c r="E120" s="554"/>
      <c r="F120" s="554"/>
      <c r="G120" s="554"/>
      <c r="H120" s="554"/>
      <c r="I120" s="554"/>
      <c r="J120" s="554"/>
      <c r="K120" s="554"/>
      <c r="L120" s="580"/>
      <c r="M120" s="581"/>
      <c r="N120" s="1152"/>
      <c r="O120" s="1152"/>
      <c r="P120" s="2629"/>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9"/>
      <c r="Q121" s="559"/>
    </row>
    <row r="122" spans="1:17" ht="15" thickTop="1">
      <c r="A122" s="599"/>
      <c r="B122" s="538" t="s">
        <v>2614</v>
      </c>
      <c r="C122" s="554"/>
      <c r="D122" s="554"/>
      <c r="E122" s="554"/>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8"/>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9"/>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9"/>
      <c r="Q127" s="559"/>
    </row>
    <row r="128" spans="1:17" ht="15" thickTop="1">
      <c r="A128" s="599"/>
      <c r="B128" s="538">
        <f>B45</f>
        <v>111</v>
      </c>
      <c r="C128" s="554"/>
      <c r="D128" s="554"/>
      <c r="E128" s="554"/>
      <c r="F128" s="554"/>
      <c r="G128" s="583"/>
      <c r="H128" s="583"/>
      <c r="I128" s="583"/>
      <c r="J128" s="583"/>
      <c r="K128" s="584"/>
      <c r="L128" s="585"/>
      <c r="M128" s="586"/>
      <c r="N128" s="1150"/>
      <c r="O128" s="1150"/>
      <c r="P128" s="2628"/>
      <c r="Q128" s="504"/>
    </row>
    <row r="129" spans="1:17" ht="15.75" thickBot="1">
      <c r="A129" s="534"/>
      <c r="B129" s="543"/>
      <c r="C129" s="560"/>
      <c r="D129" s="560"/>
      <c r="E129" s="560"/>
      <c r="F129" s="560"/>
      <c r="G129" s="536"/>
      <c r="H129" s="536"/>
      <c r="I129" s="536"/>
      <c r="J129" s="536"/>
      <c r="K129" s="536"/>
      <c r="L129" s="536"/>
      <c r="M129" s="537"/>
      <c r="N129" s="1151"/>
      <c r="O129" s="1151"/>
      <c r="P129" s="2628"/>
      <c r="Q129" s="504"/>
    </row>
    <row r="130" spans="1:17" ht="15" thickTop="1">
      <c r="A130" s="599"/>
      <c r="B130" s="546">
        <f>B46</f>
        <v>111</v>
      </c>
      <c r="C130" s="554"/>
      <c r="D130" s="554"/>
      <c r="E130" s="554"/>
      <c r="F130" s="554"/>
      <c r="G130" s="587"/>
      <c r="H130" s="587"/>
      <c r="I130" s="587"/>
      <c r="J130" s="587"/>
      <c r="K130" s="523"/>
      <c r="L130" s="524"/>
      <c r="M130" s="590"/>
      <c r="N130" s="1150"/>
      <c r="O130" s="1150"/>
      <c r="P130" s="2628"/>
      <c r="Q130" s="504"/>
    </row>
    <row r="131" spans="1:17" ht="15.75" thickBot="1">
      <c r="A131" s="2634"/>
      <c r="B131" s="569"/>
      <c r="C131" s="570"/>
      <c r="D131" s="570"/>
      <c r="E131" s="570"/>
      <c r="F131" s="570"/>
      <c r="G131" s="591"/>
      <c r="H131" s="591"/>
      <c r="I131" s="591"/>
      <c r="J131" s="591"/>
      <c r="K131" s="591"/>
      <c r="L131" s="591"/>
      <c r="M131" s="592"/>
      <c r="N131" s="1151"/>
      <c r="O131" s="1151"/>
      <c r="P131" s="2628"/>
      <c r="Q131" s="504"/>
    </row>
    <row r="136" spans="1:17" ht="15" thickBot="1">
      <c r="B136" s="2635" t="s">
        <v>2616</v>
      </c>
    </row>
    <row r="137" spans="1:17" ht="15">
      <c r="B137" s="2636" t="s">
        <v>2617</v>
      </c>
      <c r="C137" s="2637"/>
      <c r="D137" s="2637"/>
      <c r="E137" s="2637"/>
      <c r="F137" s="2637"/>
      <c r="G137" s="2638"/>
      <c r="H137" s="2639"/>
      <c r="I137" s="2640" t="s">
        <v>2618</v>
      </c>
      <c r="J137" s="2637"/>
      <c r="K137" s="2641"/>
    </row>
    <row r="138" spans="1:17" ht="15">
      <c r="B138" s="2642"/>
      <c r="C138" s="146" t="s">
        <v>2619</v>
      </c>
      <c r="D138" s="146" t="s">
        <v>2620</v>
      </c>
      <c r="E138" s="2643" t="s">
        <v>2621</v>
      </c>
      <c r="F138" s="2644" t="s">
        <v>2622</v>
      </c>
      <c r="G138" s="146" t="s">
        <v>2620</v>
      </c>
      <c r="H138" s="147" t="s">
        <v>2621</v>
      </c>
      <c r="I138" s="2645"/>
      <c r="J138" s="146" t="s">
        <v>2623</v>
      </c>
      <c r="K138" s="147" t="s">
        <v>2624</v>
      </c>
    </row>
    <row r="139" spans="1:17" ht="15">
      <c r="B139" s="1082">
        <v>6</v>
      </c>
      <c r="C139" s="1083">
        <v>96</v>
      </c>
      <c r="D139" s="2646" t="s">
        <v>2625</v>
      </c>
      <c r="E139" s="1084">
        <v>100</v>
      </c>
      <c r="F139" s="1085">
        <v>102.5</v>
      </c>
      <c r="G139" s="2646" t="s">
        <v>2625</v>
      </c>
      <c r="H139" s="1086">
        <v>105</v>
      </c>
      <c r="I139" s="2647" t="s">
        <v>2626</v>
      </c>
      <c r="J139" s="1083">
        <v>20</v>
      </c>
      <c r="K139" s="1087">
        <f>C145/(J139-2)</f>
        <v>4.0555555555555553E-3</v>
      </c>
    </row>
    <row r="140" spans="1:17" ht="15">
      <c r="B140" s="1088">
        <v>5</v>
      </c>
      <c r="C140" s="1089">
        <v>100</v>
      </c>
      <c r="D140" s="1089"/>
      <c r="E140" s="1090"/>
      <c r="F140" s="1091">
        <v>102</v>
      </c>
      <c r="G140" s="1089"/>
      <c r="H140" s="1092"/>
      <c r="I140" s="2648" t="s">
        <v>2627</v>
      </c>
      <c r="J140" s="315">
        <f>ROUNDUP((J139-1)/2,0)</f>
        <v>10</v>
      </c>
      <c r="K140" s="1093">
        <v>100</v>
      </c>
    </row>
    <row r="141" spans="1:17" ht="15">
      <c r="B141" s="1088">
        <v>4</v>
      </c>
      <c r="C141" s="1089">
        <v>102</v>
      </c>
      <c r="D141" s="1089"/>
      <c r="E141" s="1090"/>
      <c r="F141" s="1091">
        <v>101.5</v>
      </c>
      <c r="G141" s="1089"/>
      <c r="H141" s="1092"/>
      <c r="I141" s="2648" t="s">
        <v>2628</v>
      </c>
      <c r="J141" s="315">
        <v>1</v>
      </c>
      <c r="K141" s="1094">
        <f>ROUND(100+(J141-J140)*K139*100,1)</f>
        <v>96.4</v>
      </c>
    </row>
    <row r="142" spans="1:17" ht="15">
      <c r="B142" s="1088">
        <v>3</v>
      </c>
      <c r="C142" s="1089">
        <v>103</v>
      </c>
      <c r="D142" s="1089"/>
      <c r="E142" s="1090"/>
      <c r="F142" s="1091">
        <v>101</v>
      </c>
      <c r="G142" s="1089"/>
      <c r="H142" s="1092"/>
      <c r="I142" s="2648" t="s">
        <v>2629</v>
      </c>
      <c r="J142" s="315">
        <f>J139</f>
        <v>20</v>
      </c>
      <c r="K142" s="1095">
        <v>95</v>
      </c>
    </row>
    <row r="143" spans="1:17" ht="15">
      <c r="B143" s="1088">
        <v>2</v>
      </c>
      <c r="C143" s="1089">
        <v>100</v>
      </c>
      <c r="D143" s="1089"/>
      <c r="E143" s="1090"/>
      <c r="F143" s="1091">
        <v>100.5</v>
      </c>
      <c r="G143" s="1089"/>
      <c r="H143" s="1092"/>
      <c r="I143" s="2648" t="s">
        <v>2630</v>
      </c>
      <c r="J143" s="1089">
        <v>15</v>
      </c>
      <c r="K143" s="1094">
        <f>ROUND(100+(J143-J140)*K139*100,1)</f>
        <v>102</v>
      </c>
    </row>
    <row r="144" spans="1:17" ht="15">
      <c r="B144" s="1088">
        <v>1</v>
      </c>
      <c r="C144" s="1089">
        <v>98</v>
      </c>
      <c r="D144" s="2649" t="s">
        <v>2631</v>
      </c>
      <c r="E144" s="1090">
        <v>102</v>
      </c>
      <c r="F144" s="1096">
        <v>100</v>
      </c>
      <c r="G144" s="2649" t="s">
        <v>2631</v>
      </c>
      <c r="H144" s="1092">
        <v>105</v>
      </c>
      <c r="I144" s="2648" t="s">
        <v>2630</v>
      </c>
      <c r="J144" s="1089">
        <v>18</v>
      </c>
      <c r="K144" s="1094">
        <f>ROUND(100+(J144-J140)*K139*100,1)</f>
        <v>103.2</v>
      </c>
    </row>
    <row r="145" spans="2:11" ht="15.75" thickBot="1">
      <c r="B145" s="2650" t="s">
        <v>2632</v>
      </c>
      <c r="C145" s="1097">
        <f>ROUND(MAX(C139:C144)/MIN(C139:C144)-1,3)</f>
        <v>7.2999999999999995E-2</v>
      </c>
      <c r="D145" s="1098"/>
      <c r="E145" s="1098"/>
      <c r="F145" s="2651" t="s">
        <v>2633</v>
      </c>
      <c r="G145" s="2652"/>
      <c r="H145" s="2653"/>
      <c r="I145" s="2654" t="s">
        <v>2630</v>
      </c>
      <c r="J145" s="1099">
        <v>8</v>
      </c>
      <c r="K145" s="1100">
        <f>ROUND(100+(J145-J140)*K139*100,1)</f>
        <v>99.2</v>
      </c>
    </row>
    <row r="147" spans="2:11">
      <c r="B147" s="2635" t="s">
        <v>2634</v>
      </c>
    </row>
    <row r="148" spans="2:11">
      <c r="B148" s="2635"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7" priority="15" stopIfTrue="1" operator="containsText" text="超过">
      <formula>NOT(ISERROR(SEARCH("超过",F52)))</formula>
    </cfRule>
  </conditionalFormatting>
  <conditionalFormatting sqref="J54">
    <cfRule type="containsText" dxfId="166" priority="14" stopIfTrue="1" operator="containsText" text="超过">
      <formula>NOT(ISERROR(SEARCH("超过",J54)))</formula>
    </cfRule>
  </conditionalFormatting>
  <conditionalFormatting sqref="H54">
    <cfRule type="containsText" dxfId="165" priority="13" stopIfTrue="1" operator="containsText" text="超过">
      <formula>NOT(ISERROR(SEARCH("超过",H54)))</formula>
    </cfRule>
  </conditionalFormatting>
  <conditionalFormatting sqref="F54">
    <cfRule type="containsText" dxfId="164" priority="12" stopIfTrue="1" operator="containsText" text="超过">
      <formula>NOT(ISERROR(SEARCH("超过",F54)))</formula>
    </cfRule>
  </conditionalFormatting>
  <conditionalFormatting sqref="F53 H53 J53">
    <cfRule type="containsText" dxfId="163" priority="11" stopIfTrue="1" operator="containsText" text="超过">
      <formula>NOT(ISERROR(SEARCH("超过",F53)))</formula>
    </cfRule>
  </conditionalFormatting>
  <conditionalFormatting sqref="E52">
    <cfRule type="expression" dxfId="162" priority="10"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2110</v>
      </c>
      <c r="B1" s="2414"/>
      <c r="C1" s="2415" t="s">
        <v>4660</v>
      </c>
      <c r="D1" s="2414"/>
      <c r="E1" s="2414"/>
      <c r="F1" s="2416" t="s">
        <v>2111</v>
      </c>
      <c r="G1" s="2066" t="s">
        <v>2112</v>
      </c>
      <c r="H1" s="2417" t="str">
        <f>IF(G1="现房","——","估价对象范围")</f>
        <v>估价对象范围</v>
      </c>
      <c r="I1" s="2418"/>
    </row>
    <row r="2" spans="1:12" ht="21.75" customHeight="1" thickBot="1">
      <c r="A2" s="3176" t="str">
        <f>项目基本情况!S2</f>
        <v>北京市北京市房山区拱辰街道16-03-04、16-01-05地块出让国有建设用地使用权及在建建筑物房地产</v>
      </c>
      <c r="B2" s="3177"/>
      <c r="C2" s="3177"/>
      <c r="D2" s="3177"/>
      <c r="E2" s="3177"/>
      <c r="F2" s="3177"/>
      <c r="G2" s="3177"/>
      <c r="H2" s="3177"/>
      <c r="I2" s="3178"/>
    </row>
    <row r="3" spans="1:12" ht="12.75">
      <c r="A3" s="3179" t="s">
        <v>2113</v>
      </c>
      <c r="B3" s="3180"/>
      <c r="C3" s="3180"/>
      <c r="D3" s="3180"/>
      <c r="E3" s="3180"/>
      <c r="F3" s="3180"/>
      <c r="G3" s="3180"/>
      <c r="H3" s="3180"/>
      <c r="I3" s="3180"/>
    </row>
    <row r="4" spans="1:12" ht="14.25">
      <c r="A4" s="2421" t="s">
        <v>2114</v>
      </c>
      <c r="B4" s="2422" t="s">
        <v>2115</v>
      </c>
      <c r="C4" s="2423" t="s">
        <v>4661</v>
      </c>
      <c r="D4" s="2423" t="s">
        <v>4610</v>
      </c>
      <c r="E4" s="3181" t="s">
        <v>2116</v>
      </c>
      <c r="F4" s="3182"/>
      <c r="G4" s="3182"/>
      <c r="H4" s="3182"/>
      <c r="I4" s="3183"/>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72" t="s">
        <v>2117</v>
      </c>
      <c r="B5" s="3047">
        <v>25</v>
      </c>
      <c r="C5" s="3173"/>
      <c r="D5" s="3175"/>
      <c r="E5" s="140" t="s">
        <v>2118</v>
      </c>
      <c r="F5" s="2425"/>
      <c r="G5" s="2425"/>
      <c r="H5" s="2425"/>
      <c r="I5" s="1828"/>
    </row>
    <row r="6" spans="1:12" ht="12.75">
      <c r="A6" s="3172"/>
      <c r="B6" s="3047"/>
      <c r="C6" s="3184"/>
      <c r="D6" s="3175"/>
      <c r="E6" s="140" t="s">
        <v>2119</v>
      </c>
      <c r="F6" s="2425"/>
      <c r="G6" s="2425"/>
      <c r="H6" s="2425"/>
      <c r="I6" s="1828"/>
    </row>
    <row r="7" spans="1:12" ht="12.75">
      <c r="A7" s="3172"/>
      <c r="B7" s="3047"/>
      <c r="C7" s="3174"/>
      <c r="D7" s="3175"/>
      <c r="E7" s="140" t="s">
        <v>2120</v>
      </c>
      <c r="F7" s="2425"/>
      <c r="G7" s="2425"/>
      <c r="H7" s="2425"/>
      <c r="I7" s="1828"/>
    </row>
    <row r="8" spans="1:12" ht="12.75">
      <c r="A8" s="3172" t="s">
        <v>2121</v>
      </c>
      <c r="B8" s="3047">
        <v>15</v>
      </c>
      <c r="C8" s="3173"/>
      <c r="D8" s="3175"/>
      <c r="E8" s="140" t="s">
        <v>2122</v>
      </c>
      <c r="F8" s="2425"/>
      <c r="G8" s="2425"/>
      <c r="H8" s="2425"/>
      <c r="I8" s="1828"/>
    </row>
    <row r="9" spans="1:12" ht="12.75">
      <c r="A9" s="3172"/>
      <c r="B9" s="3047"/>
      <c r="C9" s="3174"/>
      <c r="D9" s="3175"/>
      <c r="E9" s="140" t="s">
        <v>2123</v>
      </c>
      <c r="F9" s="2425"/>
      <c r="G9" s="2425"/>
      <c r="H9" s="2425"/>
      <c r="I9" s="1828"/>
    </row>
    <row r="10" spans="1:12" ht="12.75">
      <c r="A10" s="3172" t="s">
        <v>2124</v>
      </c>
      <c r="B10" s="3047">
        <v>15</v>
      </c>
      <c r="C10" s="3173"/>
      <c r="D10" s="3175"/>
      <c r="E10" s="140" t="s">
        <v>2125</v>
      </c>
      <c r="F10" s="2425"/>
      <c r="G10" s="2425"/>
      <c r="H10" s="2425"/>
      <c r="I10" s="1828"/>
    </row>
    <row r="11" spans="1:12" ht="12.75">
      <c r="A11" s="3172"/>
      <c r="B11" s="3047"/>
      <c r="C11" s="3174"/>
      <c r="D11" s="3175"/>
      <c r="E11" s="140" t="s">
        <v>2126</v>
      </c>
      <c r="F11" s="2425"/>
      <c r="G11" s="2425"/>
      <c r="H11" s="2425"/>
      <c r="I11" s="1828"/>
    </row>
    <row r="12" spans="1:12" ht="12.75">
      <c r="A12" s="3172" t="s">
        <v>2127</v>
      </c>
      <c r="B12" s="3047">
        <v>15</v>
      </c>
      <c r="C12" s="3173"/>
      <c r="D12" s="3175"/>
      <c r="E12" s="140" t="s">
        <v>2128</v>
      </c>
      <c r="F12" s="2425"/>
      <c r="G12" s="2425"/>
      <c r="H12" s="2425"/>
      <c r="I12" s="1828"/>
    </row>
    <row r="13" spans="1:12" ht="12.75">
      <c r="A13" s="3172"/>
      <c r="B13" s="3047"/>
      <c r="C13" s="3174"/>
      <c r="D13" s="3175"/>
      <c r="E13" s="140" t="s">
        <v>2129</v>
      </c>
      <c r="F13" s="2425"/>
      <c r="G13" s="2425"/>
      <c r="H13" s="2425"/>
      <c r="I13" s="1828"/>
    </row>
    <row r="14" spans="1:12" ht="12.75">
      <c r="A14" s="3172" t="s">
        <v>2130</v>
      </c>
      <c r="B14" s="3047">
        <v>30</v>
      </c>
      <c r="C14" s="3173">
        <v>7</v>
      </c>
      <c r="D14" s="3175">
        <v>3</v>
      </c>
      <c r="E14" s="140" t="s">
        <v>2131</v>
      </c>
      <c r="F14" s="2425"/>
      <c r="G14" s="2425"/>
      <c r="H14" s="2425"/>
      <c r="I14" s="1828"/>
    </row>
    <row r="15" spans="1:12" ht="12.75">
      <c r="A15" s="3172"/>
      <c r="B15" s="3047"/>
      <c r="C15" s="3184"/>
      <c r="D15" s="3175"/>
      <c r="E15" s="140" t="s">
        <v>2132</v>
      </c>
      <c r="F15" s="2425"/>
      <c r="G15" s="2425"/>
      <c r="H15" s="2425"/>
      <c r="I15" s="1828"/>
    </row>
    <row r="16" spans="1:12" ht="12.75">
      <c r="A16" s="3172"/>
      <c r="B16" s="3047"/>
      <c r="C16" s="3174"/>
      <c r="D16" s="3175"/>
      <c r="E16" s="140" t="s">
        <v>2133</v>
      </c>
      <c r="F16" s="2425"/>
      <c r="G16" s="2425"/>
      <c r="H16" s="2425"/>
      <c r="I16" s="1828"/>
    </row>
    <row r="17" spans="1:35" ht="15">
      <c r="A17" s="2426" t="s">
        <v>2134</v>
      </c>
      <c r="B17" s="64"/>
      <c r="C17" s="141">
        <f>SUM(C5:C16)</f>
        <v>7</v>
      </c>
      <c r="D17" s="141">
        <f>SUM(D5:D16)</f>
        <v>3</v>
      </c>
      <c r="E17" s="138"/>
      <c r="F17" s="138"/>
      <c r="G17" s="138"/>
      <c r="H17" s="138"/>
      <c r="I17" s="138"/>
      <c r="K17" s="2424"/>
      <c r="L17" s="2427" t="s">
        <v>2135</v>
      </c>
      <c r="M17" s="2427" t="s">
        <v>2136</v>
      </c>
    </row>
    <row r="18" spans="1:35" ht="15.75" thickBot="1">
      <c r="A18" s="2428" t="s">
        <v>2137</v>
      </c>
      <c r="B18" s="2429"/>
      <c r="C18" s="142">
        <f>ROUND(C17/SUM(C17:D17),2)</f>
        <v>0.7</v>
      </c>
      <c r="D18" s="142">
        <f>1-C18</f>
        <v>0.30000000000000004</v>
      </c>
      <c r="E18" s="138"/>
      <c r="F18" s="138"/>
      <c r="G18" s="138"/>
      <c r="H18" s="138"/>
      <c r="I18" s="138"/>
      <c r="K18" s="2424" t="s">
        <v>2138</v>
      </c>
      <c r="L18" s="2424">
        <f>IF(C1="",'数据-汇总表'!E3,SUMIF(项目类型,C1,'数据-汇总表'!E17:E26)+SUMIF(项目类型,C1,'数据-汇总表'!I17:I26))</f>
        <v>96.71</v>
      </c>
      <c r="M18" s="2424">
        <f>IF(C1="",'数据-汇总表'!E3,SUMIF(项目类型,C1,'数据-汇总表'!E17:E26))</f>
        <v>96.71</v>
      </c>
    </row>
    <row r="19" spans="1:35" ht="15">
      <c r="A19" s="2430" t="s">
        <v>2139</v>
      </c>
      <c r="B19" s="2431" t="s">
        <v>2140</v>
      </c>
      <c r="C19" s="143">
        <f ca="1">SUMIF(INDIRECT("'"&amp;C4&amp;"'"&amp;"!A:A"),'结果表-商业'!B19,INDIRECT("'"&amp;C4&amp;"'"&amp;"!B:B"))</f>
        <v>258</v>
      </c>
      <c r="D19" s="144">
        <f ca="1">SUMIF(INDIRECT("'"&amp;D4&amp;"'"&amp;"!A:A"),'结果表-商业'!B19,INDIRECT("'"&amp;D4&amp;"'"&amp;"!B:B"))</f>
        <v>174</v>
      </c>
      <c r="E19" s="2430" t="s">
        <v>2141</v>
      </c>
      <c r="F19" s="2431" t="s">
        <v>2140</v>
      </c>
      <c r="G19" s="145">
        <f ca="1">ROUND(C19*$C$18+D19*$D$18,0)</f>
        <v>233</v>
      </c>
      <c r="H19" s="2432" t="s">
        <v>2142</v>
      </c>
      <c r="I19" s="138"/>
      <c r="K19" s="2424" t="s">
        <v>2143</v>
      </c>
      <c r="L19" s="2424">
        <f>IF(C1="",'数据-汇总表'!D3,SUMIF(项目类型,C1,'数据-汇总表'!D17:D26)+SUMIF(项目类型,C1,'数据-汇总表'!H17:H27))</f>
        <v>0</v>
      </c>
      <c r="M19" s="2424">
        <f>IF(C1="",'数据-汇总表'!D3,SUMIF(项目类型,C1,'数据-汇总表'!D17:D26))</f>
        <v>0</v>
      </c>
    </row>
    <row r="20" spans="1:35" ht="15">
      <c r="A20" s="2433"/>
      <c r="B20" s="1245" t="s">
        <v>2144</v>
      </c>
      <c r="C20" s="146">
        <f ca="1">SUMIF(INDIRECT("'"&amp;C4&amp;"'"&amp;"!A:A"),'结果表-商业'!B20,INDIRECT("'"&amp;C4&amp;"'"&amp;"!B:B"))</f>
        <v>26722</v>
      </c>
      <c r="D20" s="147">
        <f ca="1">SUMIF(INDIRECT("'"&amp;D4&amp;"'"&amp;"!A:A"),'结果表-商业'!B20,INDIRECT("'"&amp;D4&amp;"'"&amp;"!B:B"))</f>
        <v>17992</v>
      </c>
      <c r="E20" s="2433"/>
      <c r="F20" s="1245" t="s">
        <v>2144</v>
      </c>
      <c r="G20" s="148">
        <f ca="1">ROUND(C20*$C$18+D20*$D$18,0)</f>
        <v>24103</v>
      </c>
      <c r="H20" s="978" t="s">
        <v>2145</v>
      </c>
      <c r="I20" s="138"/>
    </row>
    <row r="21" spans="1:35" ht="15" customHeight="1" thickBot="1">
      <c r="A21" s="998"/>
      <c r="B21" s="2434" t="s">
        <v>2146</v>
      </c>
      <c r="C21" s="789" t="e">
        <f ca="1">ROUND(C19*10000/L19,0)</f>
        <v>#DIV/0!</v>
      </c>
      <c r="D21" s="790" t="e">
        <f ca="1">ROUND(D19*10000/L19,0)</f>
        <v>#DIV/0!</v>
      </c>
      <c r="E21" s="998"/>
      <c r="F21" s="2434" t="s">
        <v>2146</v>
      </c>
      <c r="G21" s="149" t="e">
        <f ca="1">ROUND(G19*10000/L19,0)</f>
        <v>#DIV/0!</v>
      </c>
      <c r="H21" s="2435" t="s">
        <v>2145</v>
      </c>
      <c r="I21" s="138"/>
    </row>
    <row r="22" spans="1:35" ht="15" thickBot="1">
      <c r="A22" s="2277" t="s">
        <v>2147</v>
      </c>
      <c r="B22" s="2436"/>
      <c r="C22" s="2437"/>
      <c r="D22" s="791">
        <f ca="1">IF(C19&lt;D19,D19/C19-1,C19/D19-1)</f>
        <v>0.48275862068965525</v>
      </c>
      <c r="E22" s="138"/>
      <c r="F22" s="138"/>
      <c r="G22" s="138"/>
      <c r="H22" s="138"/>
      <c r="I22" s="138"/>
    </row>
    <row r="23" spans="1:35" ht="13.5" thickBot="1">
      <c r="A23" s="2414"/>
      <c r="B23" s="2414"/>
      <c r="C23" s="2414"/>
      <c r="D23" s="2414"/>
      <c r="E23" s="138"/>
      <c r="F23" s="138"/>
      <c r="G23" s="138"/>
      <c r="H23" s="138"/>
      <c r="I23" s="138"/>
    </row>
    <row r="24" spans="1:35" ht="14.25">
      <c r="A24" s="3185" t="s">
        <v>2148</v>
      </c>
      <c r="B24" s="2431" t="s">
        <v>2140</v>
      </c>
      <c r="C24" s="145">
        <f>IF(B30=0,0,D30)</f>
        <v>0</v>
      </c>
      <c r="D24" s="2438"/>
      <c r="E24" s="138"/>
      <c r="F24" s="138"/>
      <c r="G24" s="138"/>
      <c r="H24" s="138"/>
      <c r="I24" s="138"/>
    </row>
    <row r="25" spans="1:35" ht="14.25">
      <c r="A25" s="3186"/>
      <c r="B25" s="1245"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233</v>
      </c>
      <c r="D32" s="2445" t="s">
        <v>2155</v>
      </c>
      <c r="E32" s="138"/>
      <c r="F32" s="138"/>
      <c r="G32" s="138"/>
      <c r="H32" s="138"/>
      <c r="I32" s="138"/>
    </row>
    <row r="33" spans="1:15" ht="15">
      <c r="A33" s="955" t="s">
        <v>2156</v>
      </c>
      <c r="B33" s="2446"/>
      <c r="C33" s="2447"/>
      <c r="D33" s="2448"/>
      <c r="E33" s="2449" t="s">
        <v>2157</v>
      </c>
      <c r="F33" s="2943" t="str">
        <f>IF(D32="楼面单价","取值（单价）","取值（总价）")</f>
        <v>取值（总价）</v>
      </c>
      <c r="G33" s="138"/>
      <c r="H33" s="138"/>
      <c r="I33" s="138"/>
    </row>
    <row r="34" spans="1:15" ht="15">
      <c r="A34" s="2451"/>
      <c r="B34" s="2452" t="s">
        <v>2158</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2159</v>
      </c>
      <c r="F34" s="1734"/>
      <c r="G34" s="138"/>
      <c r="H34" s="138"/>
      <c r="I34" s="138"/>
    </row>
    <row r="35" spans="1:15" ht="15.75" thickBot="1">
      <c r="A35" s="2454"/>
      <c r="B35" s="2455"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187" t="s">
        <v>2162</v>
      </c>
      <c r="B36" s="2457" t="s">
        <v>2163</v>
      </c>
      <c r="C36" s="154"/>
      <c r="D36" s="2458"/>
      <c r="E36" s="2459"/>
      <c r="F36" s="2460"/>
      <c r="G36" s="138"/>
      <c r="H36" s="138"/>
      <c r="I36" s="138"/>
    </row>
    <row r="37" spans="1:15" ht="15.75" thickBot="1">
      <c r="A37" s="3188"/>
      <c r="B37" s="2263" t="s">
        <v>2164</v>
      </c>
      <c r="C37" s="156"/>
      <c r="D37" s="1390"/>
      <c r="E37" s="1390"/>
      <c r="F37" s="2460"/>
      <c r="G37" s="138"/>
      <c r="H37" s="138"/>
      <c r="I37" s="138"/>
    </row>
    <row r="38" spans="1:15" ht="15.75" thickBot="1">
      <c r="A38" s="3189"/>
      <c r="B38" s="2461" t="s">
        <v>2165</v>
      </c>
      <c r="C38" s="727"/>
      <c r="D38" s="2462" t="s">
        <v>2166</v>
      </c>
      <c r="E38" s="1390"/>
      <c r="F38" s="2460"/>
      <c r="G38" s="138"/>
      <c r="H38" s="138"/>
      <c r="I38" s="138"/>
    </row>
    <row r="39" spans="1:15" ht="15">
      <c r="A39" s="2433" t="s">
        <v>2167</v>
      </c>
      <c r="B39" s="2463" t="s">
        <v>2150</v>
      </c>
      <c r="C39" s="2464" t="s">
        <v>2151</v>
      </c>
      <c r="D39" s="2464" t="s">
        <v>2170</v>
      </c>
      <c r="E39" s="2465" t="s">
        <v>2152</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90" t="s">
        <v>2176</v>
      </c>
      <c r="B45" s="3191"/>
      <c r="C45" s="3192"/>
      <c r="D45" s="164">
        <f ca="1">ROUND(H101*F45,0)</f>
        <v>233</v>
      </c>
      <c r="E45" s="165" t="s">
        <v>2177</v>
      </c>
      <c r="F45" s="166">
        <v>1</v>
      </c>
      <c r="G45" s="167" t="s">
        <v>2178</v>
      </c>
      <c r="H45" s="138"/>
      <c r="I45" s="138"/>
      <c r="J45" s="3193" t="s">
        <v>2179</v>
      </c>
      <c r="K45" s="3193"/>
      <c r="L45" s="3193"/>
      <c r="M45" s="3193"/>
      <c r="N45" s="3193"/>
      <c r="O45" s="3193"/>
    </row>
    <row r="46" spans="1:15" ht="14.25" customHeight="1">
      <c r="A46" s="3194" t="s">
        <v>2180</v>
      </c>
      <c r="B46" s="3195"/>
      <c r="C46" s="3195"/>
      <c r="D46" s="3195"/>
      <c r="E46" s="3195"/>
      <c r="F46" s="3195"/>
      <c r="G46" s="3196"/>
      <c r="H46" s="2476"/>
      <c r="I46" s="168"/>
      <c r="J46" s="2952">
        <v>1</v>
      </c>
      <c r="K46" s="3193" t="s">
        <v>2181</v>
      </c>
      <c r="L46" s="3193"/>
      <c r="M46" s="3197"/>
      <c r="N46" s="3197"/>
      <c r="O46" s="3197"/>
    </row>
    <row r="47" spans="1:15" ht="12" customHeight="1">
      <c r="A47" s="169" t="s">
        <v>2182</v>
      </c>
      <c r="B47" s="170"/>
      <c r="C47" s="171"/>
      <c r="D47" s="172" t="s">
        <v>2183</v>
      </c>
      <c r="E47" s="24" t="s">
        <v>2184</v>
      </c>
      <c r="F47" s="173" t="s">
        <v>2185</v>
      </c>
      <c r="G47" s="174" t="s">
        <v>2186</v>
      </c>
      <c r="H47" s="2476"/>
      <c r="I47" s="168"/>
      <c r="J47" s="2952">
        <v>2</v>
      </c>
      <c r="K47" s="3193" t="s">
        <v>2187</v>
      </c>
      <c r="L47" s="3193"/>
      <c r="M47" s="3198">
        <f>'数据-取费表'!B2</f>
        <v>43494</v>
      </c>
      <c r="N47" s="3198"/>
      <c r="O47" s="3198"/>
    </row>
    <row r="48" spans="1:15" ht="25.5">
      <c r="A48" s="3199" t="s">
        <v>2188</v>
      </c>
      <c r="B48" s="3200"/>
      <c r="C48" s="3200"/>
      <c r="D48" s="140">
        <f>IF(H48="情况1",0,IF(H48="情况2",D52,IF(H48="情况3",D53,IF(H48="情况4",D54))))</f>
        <v>0</v>
      </c>
      <c r="E48" s="2961" t="str">
        <f>IF(H48="情况4","(销售额-原购置价)×税（费）率","销售额×税（费）率")</f>
        <v>销售额×税（费）率</v>
      </c>
      <c r="F48" s="175" t="str">
        <f>IF(H48="情况1","免征",'数据-取费表'!B41)</f>
        <v>免征</v>
      </c>
      <c r="G48" s="2477" t="s">
        <v>2189</v>
      </c>
      <c r="H48" s="2478" t="s">
        <v>2190</v>
      </c>
      <c r="I48" s="2476"/>
      <c r="J48" s="2952">
        <v>3</v>
      </c>
      <c r="K48" s="3193" t="s">
        <v>2191</v>
      </c>
      <c r="L48" s="3193"/>
      <c r="M48" s="3201">
        <f ca="1">H101</f>
        <v>233</v>
      </c>
      <c r="N48" s="3201"/>
      <c r="O48" s="3201"/>
    </row>
    <row r="49" spans="1:35" ht="25.5" customHeight="1">
      <c r="A49" s="176" t="s">
        <v>2192</v>
      </c>
      <c r="B49" s="3202" t="s">
        <v>2193</v>
      </c>
      <c r="C49" s="3202"/>
      <c r="D49" s="177">
        <v>0</v>
      </c>
      <c r="E49" s="23" t="s">
        <v>2194</v>
      </c>
      <c r="F49" s="28" t="s">
        <v>34</v>
      </c>
      <c r="G49" s="3203"/>
      <c r="H49" s="138"/>
      <c r="I49" s="2479"/>
      <c r="J49" s="2952">
        <v>4</v>
      </c>
      <c r="K49" s="3193" t="str">
        <f>IF(项目基本情况!E8="房地产抵押价值","房地产抵押价值","抵押担保权已注销时的房地产抵押价值")</f>
        <v>房地产抵押价值</v>
      </c>
      <c r="L49" s="3193"/>
      <c r="M49" s="3201">
        <f ca="1">IF(项目基本情况!E8="房地产抵押价值",H107,H109)</f>
        <v>233</v>
      </c>
      <c r="N49" s="3201"/>
      <c r="O49" s="3201"/>
    </row>
    <row r="50" spans="1:35" ht="25.5" customHeight="1">
      <c r="A50" s="178"/>
      <c r="B50" s="3202" t="s">
        <v>2195</v>
      </c>
      <c r="C50" s="3202"/>
      <c r="D50" s="179"/>
      <c r="E50" s="31"/>
      <c r="F50" s="180"/>
      <c r="G50" s="3204"/>
      <c r="H50" s="138"/>
      <c r="I50" s="2479"/>
      <c r="J50" s="3193" t="s">
        <v>2196</v>
      </c>
      <c r="K50" s="3193"/>
      <c r="L50" s="3193"/>
      <c r="M50" s="3193"/>
      <c r="N50" s="3193"/>
      <c r="O50" s="3193"/>
    </row>
    <row r="51" spans="1:35" ht="12" customHeight="1">
      <c r="A51" s="181"/>
      <c r="B51" s="3202" t="s">
        <v>2197</v>
      </c>
      <c r="C51" s="3202"/>
      <c r="D51" s="182"/>
      <c r="E51" s="30"/>
      <c r="F51" s="180"/>
      <c r="G51" s="3205"/>
      <c r="H51" s="138"/>
      <c r="I51" s="2479"/>
      <c r="J51" s="2945" t="s">
        <v>2198</v>
      </c>
      <c r="K51" s="3193" t="s">
        <v>2199</v>
      </c>
      <c r="L51" s="3193"/>
      <c r="M51" s="2945" t="s">
        <v>2200</v>
      </c>
      <c r="N51" s="2945" t="s">
        <v>2201</v>
      </c>
      <c r="O51" s="2945" t="s">
        <v>2202</v>
      </c>
    </row>
    <row r="52" spans="1:35" ht="24" customHeight="1">
      <c r="A52" s="183" t="s">
        <v>2203</v>
      </c>
      <c r="B52" s="3202" t="s">
        <v>2204</v>
      </c>
      <c r="C52" s="3202"/>
      <c r="D52" s="182">
        <f ca="1">ROUND(D45*'数据-取费表'!B41/(1+'数据-取费表'!C42),0)</f>
        <v>12</v>
      </c>
      <c r="E52" s="11" t="s">
        <v>2205</v>
      </c>
      <c r="F52" s="184">
        <f>'数据-取费表'!B41</f>
        <v>5.5000000000000007E-2</v>
      </c>
      <c r="G52" s="2481"/>
      <c r="H52" s="138"/>
      <c r="I52" s="2479"/>
      <c r="J52" s="2952">
        <v>1</v>
      </c>
      <c r="K52" s="3208" t="s">
        <v>2206</v>
      </c>
      <c r="L52" s="3208"/>
      <c r="M52" s="1749">
        <f>D48</f>
        <v>0</v>
      </c>
      <c r="N52" s="2952" t="str">
        <f>E48</f>
        <v>销售额×税（费）率</v>
      </c>
      <c r="O52" s="1750" t="str">
        <f>F48</f>
        <v>免征</v>
      </c>
    </row>
    <row r="53" spans="1:35" ht="12" customHeight="1">
      <c r="A53" s="183" t="s">
        <v>2207</v>
      </c>
      <c r="B53" s="3206" t="s">
        <v>2208</v>
      </c>
      <c r="C53" s="3207"/>
      <c r="D53" s="182">
        <f ca="1">ROUND(D45*'数据-取费表'!B41/(1+'数据-取费表'!C42),0)</f>
        <v>12</v>
      </c>
      <c r="E53" s="11" t="s">
        <v>2205</v>
      </c>
      <c r="F53" s="184">
        <f>'数据-取费表'!B41</f>
        <v>5.5000000000000007E-2</v>
      </c>
      <c r="G53" s="2481"/>
      <c r="H53" s="138"/>
      <c r="I53" s="2479"/>
      <c r="J53" s="2952">
        <v>2</v>
      </c>
      <c r="K53" s="3208" t="s">
        <v>2209</v>
      </c>
      <c r="L53" s="3208"/>
      <c r="M53" s="1749">
        <f t="shared" ref="M53:O54" ca="1" si="0">D55</f>
        <v>0</v>
      </c>
      <c r="N53" s="2952" t="str">
        <f t="shared" si="0"/>
        <v>销售额×税（费）率</v>
      </c>
      <c r="O53" s="1750">
        <f t="shared" si="0"/>
        <v>5.0000000000000001E-4</v>
      </c>
    </row>
    <row r="54" spans="1:35" ht="12" customHeight="1">
      <c r="A54" s="183" t="s">
        <v>2210</v>
      </c>
      <c r="B54" s="3206" t="s">
        <v>2211</v>
      </c>
      <c r="C54" s="3207"/>
      <c r="D54" s="182">
        <f ca="1">C68</f>
        <v>12</v>
      </c>
      <c r="E54" s="30" t="s">
        <v>2212</v>
      </c>
      <c r="F54" s="184">
        <f>'数据-取费表'!B41</f>
        <v>5.5000000000000007E-2</v>
      </c>
      <c r="G54" s="2481"/>
      <c r="H54" s="2482"/>
      <c r="I54" s="2479"/>
      <c r="J54" s="2952">
        <v>3</v>
      </c>
      <c r="K54" s="3208" t="s">
        <v>2213</v>
      </c>
      <c r="L54" s="3208"/>
      <c r="M54" s="1749">
        <f t="shared" ca="1" si="0"/>
        <v>132</v>
      </c>
      <c r="N54" s="2952" t="str">
        <f t="shared" si="0"/>
        <v>增值额×税（费）率</v>
      </c>
      <c r="O54" s="1751" t="str">
        <f t="shared" si="0"/>
        <v>——</v>
      </c>
    </row>
    <row r="55" spans="1:35" ht="24" customHeight="1">
      <c r="A55" s="3209" t="s">
        <v>2214</v>
      </c>
      <c r="B55" s="3200"/>
      <c r="C55" s="3200"/>
      <c r="D55" s="185">
        <f ca="1">IF(H55="个人住宅",0,ROUND(D45*I55,0))</f>
        <v>0</v>
      </c>
      <c r="E55" s="11" t="s">
        <v>2215</v>
      </c>
      <c r="F55" s="184">
        <f>IF(H55="正常",I55,"免征")</f>
        <v>5.0000000000000001E-4</v>
      </c>
      <c r="G55" s="2481"/>
      <c r="H55" s="2478" t="s">
        <v>2216</v>
      </c>
      <c r="I55" s="186">
        <f>'数据-取费表'!B49</f>
        <v>5.0000000000000001E-4</v>
      </c>
      <c r="J55" s="2952" t="str">
        <f>IF(H59="非个人房产","",4)</f>
        <v/>
      </c>
      <c r="K55" s="3208" t="str">
        <f>IF(H59="非个人房产","——","个人所得税")</f>
        <v>——</v>
      </c>
      <c r="L55" s="3208"/>
      <c r="M55" s="1752" t="str">
        <f>D59</f>
        <v>——</v>
      </c>
      <c r="N55" s="2953" t="str">
        <f>E59</f>
        <v>——</v>
      </c>
      <c r="O55" s="1753" t="str">
        <f>F59</f>
        <v>——</v>
      </c>
    </row>
    <row r="56" spans="1:35" ht="24.75">
      <c r="A56" s="3209" t="s">
        <v>2217</v>
      </c>
      <c r="B56" s="3200"/>
      <c r="C56" s="3200"/>
      <c r="D56" s="185">
        <f ca="1">IF(H56="个人住宅",D57,D58)</f>
        <v>132</v>
      </c>
      <c r="E56" s="11" t="s">
        <v>2218</v>
      </c>
      <c r="F56" s="184" t="str">
        <f>IF(H56="正常",F58,"免征")</f>
        <v>——</v>
      </c>
      <c r="G56" s="2483" t="s">
        <v>2219</v>
      </c>
      <c r="H56" s="2484" t="s">
        <v>2216</v>
      </c>
      <c r="I56" s="2485"/>
      <c r="J56" s="2952" t="str">
        <f>IF(项目基本情况!K6="上海银行",IF(J55="",4,J55+1),"")</f>
        <v/>
      </c>
      <c r="K56" s="3210" t="str">
        <f>IF(项目基本情况!K6="上海银行","其他处置费用","")</f>
        <v/>
      </c>
      <c r="L56" s="3211"/>
      <c r="M56" s="1749" t="str">
        <f>IF(项目基本情况!K6="上海银行",M69,"")</f>
        <v/>
      </c>
      <c r="N56" s="3218" t="str">
        <f>IF(项目基本情况!K6="上海银行","包含处置中涉及的律师、诉讼、拍卖、评估等费用","")</f>
        <v/>
      </c>
      <c r="O56" s="3219"/>
    </row>
    <row r="57" spans="1:35" ht="12.75">
      <c r="A57" s="183" t="s">
        <v>2192</v>
      </c>
      <c r="B57" s="3181" t="s">
        <v>2220</v>
      </c>
      <c r="C57" s="3183"/>
      <c r="D57" s="187">
        <v>0</v>
      </c>
      <c r="E57" s="23" t="s">
        <v>2194</v>
      </c>
      <c r="F57" s="155"/>
      <c r="G57" s="2481"/>
      <c r="H57" s="2485"/>
      <c r="I57" s="2485"/>
      <c r="J57" s="3208">
        <f>IF(AND(J55="",J56=""),4,IF(项目基本情况!K6="上海银行",'结果表-商业'!J56+1,'结果表-商业'!J55+1))</f>
        <v>4</v>
      </c>
      <c r="K57" s="3208" t="s">
        <v>2221</v>
      </c>
      <c r="L57" s="2486" t="s">
        <v>2222</v>
      </c>
      <c r="M57" s="1754"/>
      <c r="N57" s="1755">
        <f ca="1">SUMIF(M52:M56,"&lt;9e307")</f>
        <v>132</v>
      </c>
      <c r="O57" s="2487"/>
      <c r="P57" s="1748">
        <f ca="1">N57/M49</f>
        <v>0.5665236051502146</v>
      </c>
    </row>
    <row r="58" spans="1:35" ht="24.75">
      <c r="A58" s="183" t="s">
        <v>2203</v>
      </c>
      <c r="B58" s="3181" t="s">
        <v>2223</v>
      </c>
      <c r="C58" s="3182"/>
      <c r="D58" s="185">
        <f ca="1">IF(H58="转让取得",C81,C97)</f>
        <v>132</v>
      </c>
      <c r="E58" s="11" t="s">
        <v>2218</v>
      </c>
      <c r="F58" s="24" t="s">
        <v>34</v>
      </c>
      <c r="G58" s="2481"/>
      <c r="H58" s="2484" t="s">
        <v>2224</v>
      </c>
      <c r="I58" s="2485"/>
      <c r="J58" s="3208"/>
      <c r="K58" s="3208"/>
      <c r="L58" s="2486" t="s">
        <v>2225</v>
      </c>
      <c r="M58" s="1756"/>
      <c r="N58" s="2488" t="str">
        <f ca="1">NUMBERSTRING(INT(N57*10000),2)&amp;"元整"</f>
        <v>壹佰叁拾贰万元整</v>
      </c>
      <c r="O58" s="2489"/>
    </row>
    <row r="59" spans="1:35" ht="24.75" thickBot="1">
      <c r="A59" s="3220" t="s">
        <v>2226</v>
      </c>
      <c r="B59" s="3221"/>
      <c r="C59" s="3221"/>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222">
        <f>J57+1</f>
        <v>5</v>
      </c>
      <c r="K59" s="3208" t="s">
        <v>2228</v>
      </c>
      <c r="L59" s="2952" t="s">
        <v>2222</v>
      </c>
      <c r="M59" s="1757"/>
      <c r="N59" s="1758">
        <f ca="1">M49-N57</f>
        <v>101</v>
      </c>
      <c r="O59" s="2491"/>
    </row>
    <row r="60" spans="1:35" ht="12" customHeight="1">
      <c r="A60" s="2492"/>
      <c r="B60" s="2414"/>
      <c r="C60" s="2414"/>
      <c r="D60" s="2414"/>
      <c r="E60" s="2162"/>
      <c r="F60" s="2485"/>
      <c r="G60" s="2485"/>
      <c r="H60" s="2493"/>
      <c r="I60" s="138"/>
      <c r="J60" s="3223"/>
      <c r="K60" s="3208"/>
      <c r="L60" s="2486" t="s">
        <v>2225</v>
      </c>
      <c r="M60" s="1756"/>
      <c r="N60" s="2488" t="str">
        <f ca="1">NUMBERSTRING(INT(N59*10000),2)&amp;"元整"</f>
        <v>壹佰零壹万元整</v>
      </c>
      <c r="O60" s="2489"/>
    </row>
    <row r="61" spans="1:35" ht="13.5" thickBot="1">
      <c r="A61" s="3212" t="s">
        <v>2229</v>
      </c>
      <c r="B61" s="3212"/>
      <c r="C61" s="3212"/>
      <c r="D61" s="3212"/>
      <c r="E61" s="3212"/>
      <c r="F61" s="2485"/>
      <c r="G61" s="2485"/>
      <c r="H61" s="2493"/>
      <c r="I61" s="138"/>
      <c r="J61" s="2952">
        <f>J59+1</f>
        <v>6</v>
      </c>
      <c r="K61" s="3208" t="s">
        <v>2230</v>
      </c>
      <c r="L61" s="3208"/>
      <c r="M61" s="1759"/>
      <c r="N61" s="1760">
        <f ca="1">ROUND(N59*10000/'数据-汇总表'!E3,0)</f>
        <v>16</v>
      </c>
      <c r="O61" s="2494"/>
    </row>
    <row r="62" spans="1:35" ht="12.75">
      <c r="A62" s="3213" t="s">
        <v>2231</v>
      </c>
      <c r="B62" s="3214"/>
      <c r="C62" s="2957"/>
      <c r="D62" s="2957" t="s">
        <v>2232</v>
      </c>
      <c r="E62" s="192" t="s">
        <v>2233</v>
      </c>
      <c r="F62" s="2485"/>
      <c r="G62" s="2485"/>
      <c r="H62" s="2493"/>
      <c r="I62" s="138"/>
    </row>
    <row r="63" spans="1:35" ht="12.75">
      <c r="A63" s="203" t="s">
        <v>775</v>
      </c>
      <c r="B63" s="193" t="s">
        <v>2234</v>
      </c>
      <c r="C63" s="194">
        <f ca="1">ROUND((C64+C65)/(1+'数据-取费表'!C42),0)</f>
        <v>222</v>
      </c>
      <c r="D63" s="195"/>
      <c r="E63" s="196"/>
      <c r="F63" s="2485"/>
      <c r="G63" s="2485"/>
      <c r="H63" s="2493"/>
      <c r="I63" s="138"/>
      <c r="J63" s="3215" t="s">
        <v>2235</v>
      </c>
      <c r="K63" s="2948" t="s">
        <v>2236</v>
      </c>
      <c r="L63" s="1747">
        <f ca="1">IF(M49&gt;10000,M49*0.5%,IF(AND(M49&gt;1000,M49&lt;=10000),M49*1%,IF(AND(M49&gt;100,M49&lt;=1000),M49*3%,IF(AND(M49&gt;10,M49&lt;=100),M49*5%,M49*8%))))</f>
        <v>6.9899999999999993</v>
      </c>
      <c r="M63" s="24">
        <f ca="1">ROUND(L63,1)</f>
        <v>7</v>
      </c>
      <c r="Z63" s="2419"/>
      <c r="AI63" s="2420"/>
    </row>
    <row r="64" spans="1:35" ht="14.25" customHeight="1">
      <c r="A64" s="197" t="s">
        <v>770</v>
      </c>
      <c r="B64" s="198" t="s">
        <v>2237</v>
      </c>
      <c r="C64" s="199">
        <f ca="1">D45</f>
        <v>233</v>
      </c>
      <c r="D64" s="200" t="s">
        <v>32</v>
      </c>
      <c r="E64" s="201"/>
      <c r="F64" s="2485"/>
      <c r="G64" s="2485"/>
      <c r="H64" s="2493"/>
      <c r="I64" s="138"/>
      <c r="J64" s="3215"/>
      <c r="K64" s="2948" t="s">
        <v>2238</v>
      </c>
      <c r="L64" s="1747">
        <f ca="1">IF(M49&gt;2000,M49*0.5%,IF(AND(M49&gt;1000,M49&lt;=2000),M49*0.6%,IF(AND(M49&gt;500,M49&lt;=1000),M49*0.7%,IF(AND(M49&gt;200,M49&lt;=500),M49*0.8%,IF(AND(M49&gt;100,M49&lt;=200),M49*0.9%,IF(AND(M49&gt;50,M49&lt;=100),M49*1%,IF(AND(M49&gt;20,M49&lt;=50),M49*1.5%,IF(AND(M49&gt;10,M49&lt;=20),M49*2%,IF(AND(M49&gt;1,M49&lt;=10),M49*2.5%)))))))))</f>
        <v>1.8640000000000001</v>
      </c>
      <c r="M64" s="24">
        <f t="shared" ref="M64:M65" ca="1" si="1">ROUND(L64,1)</f>
        <v>1.9</v>
      </c>
      <c r="N64" s="138" t="s">
        <v>2239</v>
      </c>
      <c r="Z64" s="2419"/>
      <c r="AI64" s="2420"/>
    </row>
    <row r="65" spans="1:35" ht="14.25" customHeight="1">
      <c r="A65" s="197" t="s">
        <v>771</v>
      </c>
      <c r="B65" s="198" t="s">
        <v>2240</v>
      </c>
      <c r="C65" s="202"/>
      <c r="D65" s="200"/>
      <c r="E65" s="201"/>
      <c r="F65" s="2485"/>
      <c r="G65" s="2485"/>
      <c r="H65" s="2493"/>
      <c r="I65" s="138"/>
      <c r="J65" s="3215"/>
      <c r="K65" s="2948" t="s">
        <v>2241</v>
      </c>
      <c r="L65" s="1747">
        <f ca="1">IF(M49&gt;1000,M49*0.1%,IF(AND(M49&gt;500,M49&lt;=1000),M49*0.5%,IF(AND(M49&gt;50,M49&lt;=500),M49*1%,IF(AND(M49&gt;1,M49&lt;=50),M49*1.5%))))</f>
        <v>2.33</v>
      </c>
      <c r="M65" s="24">
        <f t="shared" ca="1" si="1"/>
        <v>2.2999999999999998</v>
      </c>
      <c r="N65" s="138" t="s">
        <v>2239</v>
      </c>
      <c r="Z65" s="2419"/>
      <c r="AI65" s="2420"/>
    </row>
    <row r="66" spans="1:35" ht="14.25" customHeight="1">
      <c r="A66" s="203" t="s">
        <v>772</v>
      </c>
      <c r="B66" s="204" t="s">
        <v>2242</v>
      </c>
      <c r="C66" s="205"/>
      <c r="D66" s="206" t="s">
        <v>32</v>
      </c>
      <c r="E66" s="1770" t="s">
        <v>1367</v>
      </c>
      <c r="F66" s="2485"/>
      <c r="G66" s="2485"/>
      <c r="H66" s="2493"/>
      <c r="I66" s="138"/>
      <c r="J66" s="3215"/>
      <c r="K66" s="2948" t="s">
        <v>2243</v>
      </c>
      <c r="L66" s="1747">
        <f ca="1">M49*0.5%</f>
        <v>1.165</v>
      </c>
      <c r="M66" s="24">
        <f ca="1">IF(L66&gt;0.5,0.5,ROUND(L66,0))</f>
        <v>0.5</v>
      </c>
      <c r="N66" s="138" t="s">
        <v>2244</v>
      </c>
      <c r="Z66" s="2419"/>
      <c r="AI66" s="2420"/>
    </row>
    <row r="67" spans="1:35" ht="14.25" customHeight="1">
      <c r="A67" s="203" t="s">
        <v>773</v>
      </c>
      <c r="B67" s="204" t="s">
        <v>2245</v>
      </c>
      <c r="C67" s="207">
        <f ca="1">C63-C66</f>
        <v>222</v>
      </c>
      <c r="D67" s="200" t="s">
        <v>32</v>
      </c>
      <c r="E67" s="201"/>
      <c r="F67" s="2485"/>
      <c r="G67" s="2485"/>
      <c r="H67" s="2493"/>
      <c r="I67" s="138"/>
      <c r="J67" s="3215"/>
      <c r="K67" s="2948" t="s">
        <v>2246</v>
      </c>
      <c r="L67" s="1747">
        <f ca="1">IF(M49&gt;=10000,(8.25+(M49-10000)*0.01%),IF(AND(M49&gt;=8000,M49&lt;10000),(7.85+(M49-8000)*0.02%),IF(AND(M49&gt;=5000,M49&lt;8000),(6.65+(M49-5000)*0.04%),IF(AND(M49&gt;=2000,M49&lt;5000),(4.25+(PM49-2000)*0.08%),IF(AND(M49&gt;=1000,M49&lt;2000),(2.75+(M49-1000)*0.15%),IF(AND(M49&gt;=100,M49&lt;1000),(0.5+(M49-100)*0.25%),IF(AND(M49&gt;0,M49&lt;100),M49*0.5%)))))))</f>
        <v>0.83250000000000002</v>
      </c>
      <c r="M67" s="24">
        <f ca="1">ROUND(L67*0.9,1)</f>
        <v>0.7</v>
      </c>
      <c r="Z67" s="2419"/>
      <c r="AI67" s="2420"/>
    </row>
    <row r="68" spans="1:35" ht="14.25" customHeight="1" thickBot="1">
      <c r="A68" s="208" t="s">
        <v>774</v>
      </c>
      <c r="B68" s="209" t="s">
        <v>2247</v>
      </c>
      <c r="C68" s="210">
        <f ca="1">IF(C67&lt;=0,0,ROUND(C67*D68,0))</f>
        <v>12</v>
      </c>
      <c r="D68" s="211">
        <f>'数据-取费表'!B41</f>
        <v>5.5000000000000007E-2</v>
      </c>
      <c r="E68" s="212"/>
      <c r="F68" s="2485"/>
      <c r="G68" s="2485"/>
      <c r="H68" s="2493"/>
      <c r="I68" s="138"/>
      <c r="J68" s="3215"/>
      <c r="K68" s="2948" t="s">
        <v>2248</v>
      </c>
      <c r="L68" s="1747">
        <f ca="1">IF(M49&gt;10000,M49*0.5%,IF(AND(M49&gt;5000,M49&lt;=10000),M49*1%,IF(AND(M49&gt;1000,M49&lt;=5000),M49*2%,IF(AND(M49&gt;200,M49&lt;=1000),M49*3%,M49*5%))))</f>
        <v>6.9899999999999993</v>
      </c>
      <c r="M68" s="24">
        <f ca="1">ROUND(L68,1)</f>
        <v>7</v>
      </c>
      <c r="Z68" s="2419"/>
      <c r="AI68" s="2420"/>
    </row>
    <row r="69" spans="1:35" s="2442" customFormat="1" ht="16.5" customHeight="1">
      <c r="A69" s="2496"/>
      <c r="B69" s="2497"/>
      <c r="C69" s="2498"/>
      <c r="D69" s="2499"/>
      <c r="E69" s="2500"/>
      <c r="F69" s="2162"/>
      <c r="G69" s="2162"/>
      <c r="H69" s="2161"/>
      <c r="I69" s="2414"/>
      <c r="J69" s="3215"/>
      <c r="K69" s="2948" t="s">
        <v>2249</v>
      </c>
      <c r="L69" s="2501"/>
      <c r="M69" s="24">
        <f ca="1">ROUND(SUM(M63:M68),0)</f>
        <v>19</v>
      </c>
      <c r="N69" s="1748">
        <f ca="1">M69/M49</f>
        <v>8.15450643776824E-2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16" t="s">
        <v>2250</v>
      </c>
      <c r="B70" s="3217"/>
      <c r="C70" s="3217"/>
      <c r="D70" s="3217"/>
      <c r="E70" s="3217"/>
      <c r="F70" s="3217"/>
      <c r="G70" s="3217"/>
      <c r="H70" s="321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213" t="s">
        <v>2231</v>
      </c>
      <c r="B71" s="3214"/>
      <c r="C71" s="2957"/>
      <c r="D71" s="2957"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222</v>
      </c>
      <c r="D72" s="200" t="s">
        <v>32</v>
      </c>
      <c r="E72" s="2959"/>
      <c r="F72" s="2958"/>
      <c r="G72" s="2958"/>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1</v>
      </c>
      <c r="D73" s="200" t="s">
        <v>32</v>
      </c>
      <c r="E73" s="2959"/>
      <c r="F73" s="2958"/>
      <c r="G73" s="2958"/>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2959"/>
      <c r="F74" s="2958"/>
      <c r="G74" s="2958"/>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206" t="s">
        <v>2259</v>
      </c>
      <c r="F76" s="3202"/>
      <c r="G76" s="3202"/>
      <c r="H76" s="323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2949" t="s">
        <v>2261</v>
      </c>
      <c r="F77" s="224"/>
      <c r="G77" s="2509" t="s">
        <v>2262</v>
      </c>
      <c r="H77" s="296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1</v>
      </c>
      <c r="D78" s="226">
        <f>'数据-取费表'!B43</f>
        <v>5.000000000000001E-3</v>
      </c>
      <c r="E78" s="3224" t="s">
        <v>2264</v>
      </c>
      <c r="F78" s="3225"/>
      <c r="G78" s="3225"/>
      <c r="H78" s="322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2265</v>
      </c>
      <c r="C79" s="207">
        <f ca="1">C72-C73</f>
        <v>221</v>
      </c>
      <c r="D79" s="200" t="s">
        <v>32</v>
      </c>
      <c r="E79" s="2959"/>
      <c r="F79" s="2958"/>
      <c r="G79" s="2958"/>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221</v>
      </c>
      <c r="D80" s="200" t="s">
        <v>32</v>
      </c>
      <c r="E80" s="2949"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132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16" t="s">
        <v>2268</v>
      </c>
      <c r="B83" s="3217"/>
      <c r="C83" s="3217"/>
      <c r="D83" s="3217"/>
      <c r="E83" s="3217"/>
      <c r="F83" s="3217"/>
      <c r="G83" s="3217"/>
      <c r="H83" s="321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213" t="s">
        <v>2231</v>
      </c>
      <c r="B84" s="3214"/>
      <c r="C84" s="2957"/>
      <c r="D84" s="2957"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222</v>
      </c>
      <c r="D85" s="200" t="s">
        <v>32</v>
      </c>
      <c r="E85" s="2959"/>
      <c r="F85" s="2958"/>
      <c r="G85" s="2958"/>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1</v>
      </c>
      <c r="D86" s="235"/>
      <c r="E86" s="2959"/>
      <c r="F86" s="2958"/>
      <c r="G86" s="2958"/>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2954"/>
      <c r="F87" s="2955"/>
      <c r="G87" s="2955"/>
      <c r="H87" s="295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2955"/>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2955"/>
      <c r="G89" s="2955"/>
      <c r="H89" s="295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2955"/>
      <c r="G90" s="2955"/>
      <c r="H90" s="295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224" t="s">
        <v>2277</v>
      </c>
      <c r="F91" s="3225"/>
      <c r="G91" s="3225"/>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224" t="s">
        <v>2281</v>
      </c>
      <c r="F92" s="3225"/>
      <c r="G92" s="3225"/>
      <c r="H92" s="322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1</v>
      </c>
      <c r="D93" s="226">
        <f>'数据-取费表'!B43</f>
        <v>5.000000000000001E-3</v>
      </c>
      <c r="E93" s="3224" t="s">
        <v>2264</v>
      </c>
      <c r="F93" s="3225"/>
      <c r="G93" s="3225"/>
      <c r="H93" s="322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227" t="s">
        <v>2285</v>
      </c>
      <c r="F94" s="3228"/>
      <c r="G94" s="3228"/>
      <c r="H94" s="322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2265</v>
      </c>
      <c r="C95" s="207">
        <f ca="1">ROUND(C85-C86,0)</f>
        <v>221</v>
      </c>
      <c r="D95" s="200" t="s">
        <v>32</v>
      </c>
      <c r="E95" s="2959"/>
      <c r="F95" s="2958"/>
      <c r="G95" s="2958"/>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221</v>
      </c>
      <c r="D96" s="200" t="s">
        <v>32</v>
      </c>
      <c r="E96" s="2949"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132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2286</v>
      </c>
      <c r="B99" s="2414"/>
      <c r="C99" s="2414"/>
      <c r="D99" s="2414"/>
      <c r="E99" s="2162"/>
      <c r="F99" s="2162"/>
      <c r="G99" s="2162"/>
      <c r="H99" s="2161"/>
      <c r="I99" s="138"/>
    </row>
    <row r="100" spans="1:35" ht="18.75" customHeight="1">
      <c r="A100" s="3090" t="s">
        <v>2287</v>
      </c>
      <c r="B100" s="3091"/>
      <c r="C100" s="3091"/>
      <c r="D100" s="3230"/>
      <c r="E100" s="3091" t="s">
        <v>2288</v>
      </c>
      <c r="F100" s="3091"/>
      <c r="G100" s="3091"/>
      <c r="H100" s="3230"/>
      <c r="I100" s="138"/>
    </row>
    <row r="101" spans="1:35" ht="18.75" customHeight="1">
      <c r="A101" s="3231" t="s">
        <v>2289</v>
      </c>
      <c r="B101" s="3232"/>
      <c r="C101" s="736" t="str">
        <f>C4</f>
        <v>比较法-商业</v>
      </c>
      <c r="D101" s="737" t="str">
        <f>D4</f>
        <v>收益法-商业</v>
      </c>
      <c r="E101" s="3233" t="s">
        <v>2290</v>
      </c>
      <c r="F101" s="3234"/>
      <c r="G101" s="2516" t="s">
        <v>2291</v>
      </c>
      <c r="H101" s="1043">
        <f ca="1">H118</f>
        <v>233</v>
      </c>
      <c r="I101" s="138"/>
    </row>
    <row r="102" spans="1:35" ht="18.75" customHeight="1">
      <c r="A102" s="3235" t="s">
        <v>2292</v>
      </c>
      <c r="B102" s="2516" t="s">
        <v>2291</v>
      </c>
      <c r="C102" s="736">
        <f ca="1">C19</f>
        <v>258</v>
      </c>
      <c r="D102" s="737">
        <f ca="1">D19</f>
        <v>174</v>
      </c>
      <c r="E102" s="3233"/>
      <c r="F102" s="3234"/>
      <c r="G102" s="2516" t="s">
        <v>2293</v>
      </c>
      <c r="H102" s="371">
        <f ca="1">I118</f>
        <v>24093</v>
      </c>
      <c r="I102" s="138"/>
    </row>
    <row r="103" spans="1:35" ht="42.75" customHeight="1">
      <c r="A103" s="3235"/>
      <c r="B103" s="2516" t="s">
        <v>2293</v>
      </c>
      <c r="C103" s="738">
        <f ca="1">C20</f>
        <v>26722</v>
      </c>
      <c r="D103" s="739">
        <f ca="1">D20</f>
        <v>17992</v>
      </c>
      <c r="E103" s="3236" t="s">
        <v>2294</v>
      </c>
      <c r="F103" s="3237"/>
      <c r="G103" s="2517" t="s">
        <v>2295</v>
      </c>
      <c r="H103" s="1043">
        <f>IF(D36="正常操作",H104+H105+H106,H105+H106)</f>
        <v>0</v>
      </c>
      <c r="I103" s="138"/>
    </row>
    <row r="104" spans="1:35" ht="18.75" customHeight="1">
      <c r="A104" s="3235" t="s">
        <v>2296</v>
      </c>
      <c r="B104" s="2518" t="s">
        <v>2291</v>
      </c>
      <c r="C104" s="740">
        <f ca="1">H118</f>
        <v>233</v>
      </c>
      <c r="D104" s="741"/>
      <c r="E104" s="2263" t="s">
        <v>2297</v>
      </c>
      <c r="F104" s="2254"/>
      <c r="G104" s="2517" t="s">
        <v>2295</v>
      </c>
      <c r="H104" s="1044">
        <f>IF(D36="同一抵押权人同一抵押物续贷",C36&amp;"（未扣减，详见特别提示）",C36)</f>
        <v>0</v>
      </c>
      <c r="I104" s="138"/>
    </row>
    <row r="105" spans="1:35" ht="18.75" customHeight="1" thickBot="1">
      <c r="A105" s="3244"/>
      <c r="B105" s="2519" t="s">
        <v>2293</v>
      </c>
      <c r="C105" s="742">
        <f ca="1">I118</f>
        <v>24093</v>
      </c>
      <c r="D105" s="743"/>
      <c r="E105" s="2263" t="s">
        <v>2298</v>
      </c>
      <c r="F105" s="2254"/>
      <c r="G105" s="2517" t="s">
        <v>2295</v>
      </c>
      <c r="H105" s="1044">
        <f>C37</f>
        <v>0</v>
      </c>
      <c r="I105" s="138"/>
    </row>
    <row r="106" spans="1:35" ht="18.75" customHeight="1">
      <c r="A106" s="2414" t="s">
        <v>2299</v>
      </c>
      <c r="B106" s="2414"/>
      <c r="C106" s="2414"/>
      <c r="D106" s="2414"/>
      <c r="E106" s="2520" t="s">
        <v>2300</v>
      </c>
      <c r="F106" s="2254"/>
      <c r="G106" s="2517" t="s">
        <v>2295</v>
      </c>
      <c r="H106" s="1044">
        <f>C38</f>
        <v>0</v>
      </c>
      <c r="I106" s="138"/>
    </row>
    <row r="107" spans="1:35" ht="18.75" customHeight="1">
      <c r="A107" s="138"/>
      <c r="B107" s="138"/>
      <c r="C107" s="138"/>
      <c r="D107" s="138"/>
      <c r="E107" s="3245" t="str">
        <f>IF(项目基本情况!E8="已注销","——","3.房地产抵押价值")</f>
        <v>3.房地产抵押价值</v>
      </c>
      <c r="F107" s="3234"/>
      <c r="G107" s="2516" t="s">
        <v>2291</v>
      </c>
      <c r="H107" s="1043">
        <f ca="1">IF(E107="——","——",H101-H103)</f>
        <v>233</v>
      </c>
      <c r="I107" s="138"/>
    </row>
    <row r="108" spans="1:35" ht="18.75" customHeight="1">
      <c r="A108" s="138"/>
      <c r="B108" s="138"/>
      <c r="C108" s="138"/>
      <c r="D108" s="138"/>
      <c r="E108" s="3245"/>
      <c r="F108" s="3234"/>
      <c r="G108" s="2516" t="s">
        <v>2293</v>
      </c>
      <c r="H108" s="371">
        <f ca="1">ROUND(H107*10000/'数据-汇总表'!E3,0)</f>
        <v>38</v>
      </c>
      <c r="I108" s="138"/>
    </row>
    <row r="109" spans="1:35" ht="18.75" customHeight="1">
      <c r="A109" s="138"/>
      <c r="B109" s="138"/>
      <c r="C109" s="138"/>
      <c r="D109" s="138"/>
      <c r="E109" s="3245" t="str">
        <f>IF(项目基本情况!E8="已注销及未注销","4.抵押担保权已注销时的房地产抵押价值",IF(项目基本情况!E8="已注销","3.抵押担保权已注销时的房地产抵押价值","——"))</f>
        <v>——</v>
      </c>
      <c r="F109" s="3234"/>
      <c r="G109" s="2516" t="s">
        <v>2291</v>
      </c>
      <c r="H109" s="348" t="str">
        <f>IF(E109="——","——",H101-H105-H106)</f>
        <v>——</v>
      </c>
      <c r="I109" s="138"/>
    </row>
    <row r="110" spans="1:35" ht="18.75" customHeight="1">
      <c r="A110" s="138"/>
      <c r="B110" s="138"/>
      <c r="C110" s="138"/>
      <c r="D110" s="138"/>
      <c r="E110" s="3245"/>
      <c r="F110" s="3234"/>
      <c r="G110" s="2516" t="s">
        <v>2293</v>
      </c>
      <c r="H110" s="371" t="str">
        <f>IF(H109="——","——",ROUND(H109*10000/'数据-汇总表'!E3,0))</f>
        <v>——</v>
      </c>
      <c r="I110" s="138"/>
    </row>
    <row r="111" spans="1:35" ht="18.75" customHeight="1">
      <c r="A111" s="138"/>
      <c r="B111" s="138"/>
      <c r="C111" s="138"/>
      <c r="D111" s="138"/>
      <c r="E111" s="3246" t="str">
        <f>IF(项目基本情况!E9="抵押净值",IF(OR(项目基本情况!E8="已注销",项目基本情况!E8="房地产抵押价值"),"4.抵押净值","5.抵押净值"),"——")</f>
        <v>——</v>
      </c>
      <c r="F111" s="3247"/>
      <c r="G111" s="2516" t="s">
        <v>2291</v>
      </c>
      <c r="H111" s="1043" t="str">
        <f>IF(E111="——","——",N59)</f>
        <v>——</v>
      </c>
      <c r="I111" s="138"/>
    </row>
    <row r="112" spans="1:35" ht="18.75" customHeight="1" thickBot="1">
      <c r="A112" s="138"/>
      <c r="B112" s="138"/>
      <c r="C112" s="138"/>
      <c r="D112" s="138"/>
      <c r="E112" s="3248"/>
      <c r="F112" s="3249"/>
      <c r="G112" s="2521" t="s">
        <v>2293</v>
      </c>
      <c r="H112" s="790" t="str">
        <f>IF(E111="——","——",N61)</f>
        <v>——</v>
      </c>
      <c r="I112" s="138"/>
    </row>
    <row r="113" spans="1:11" ht="18.75" customHeight="1">
      <c r="A113" s="138"/>
      <c r="B113" s="138"/>
      <c r="C113" s="138"/>
      <c r="D113" s="138"/>
      <c r="E113" s="3250" t="s">
        <v>2299</v>
      </c>
      <c r="F113" s="3250"/>
      <c r="G113" s="3250"/>
      <c r="H113" s="3250"/>
      <c r="I113" s="138"/>
    </row>
    <row r="114" spans="1:11" ht="3.75" customHeight="1">
      <c r="A114" s="2414"/>
      <c r="B114" s="2414"/>
      <c r="C114" s="2414"/>
      <c r="D114" s="2414"/>
      <c r="E114" s="2492"/>
      <c r="F114" s="2492"/>
      <c r="G114" s="2492"/>
      <c r="H114" s="2492"/>
      <c r="I114" s="2414"/>
    </row>
    <row r="115" spans="1:11" ht="18.75" customHeight="1">
      <c r="A115" s="3251" t="s">
        <v>2301</v>
      </c>
      <c r="B115" s="3252"/>
      <c r="C115" s="3252"/>
      <c r="D115" s="3252"/>
      <c r="E115" s="3252"/>
      <c r="F115" s="3252"/>
      <c r="G115" s="3252"/>
      <c r="H115" s="3252"/>
      <c r="I115" s="3253"/>
    </row>
    <row r="116" spans="1:11" ht="27" customHeight="1">
      <c r="A116" s="3047" t="s">
        <v>2302</v>
      </c>
      <c r="B116" s="3239" t="s">
        <v>2303</v>
      </c>
      <c r="C116" s="3239" t="s">
        <v>2304</v>
      </c>
      <c r="D116" s="3241" t="s">
        <v>2305</v>
      </c>
      <c r="E116" s="3242"/>
      <c r="F116" s="3243" t="s">
        <v>2306</v>
      </c>
      <c r="G116" s="3243"/>
      <c r="H116" s="3047" t="s">
        <v>2307</v>
      </c>
      <c r="I116" s="3047"/>
    </row>
    <row r="117" spans="1:11" ht="18.75" customHeight="1">
      <c r="A117" s="3047"/>
      <c r="B117" s="3240"/>
      <c r="C117" s="3240"/>
      <c r="D117" s="2944" t="s">
        <v>2308</v>
      </c>
      <c r="E117" s="2944" t="s">
        <v>2309</v>
      </c>
      <c r="F117" s="2944" t="s">
        <v>2308</v>
      </c>
      <c r="G117" s="2944" t="s">
        <v>2310</v>
      </c>
      <c r="H117" s="2944" t="s">
        <v>2308</v>
      </c>
      <c r="I117" s="2944" t="s">
        <v>2310</v>
      </c>
    </row>
    <row r="118" spans="1:11" ht="24.75" customHeight="1">
      <c r="A118" s="2522" t="str">
        <f>项目基本情况!S2</f>
        <v>北京市北京市房山区拱辰街道16-03-04、16-01-05地块出让国有建设用地使用权及在建建筑物房地产</v>
      </c>
      <c r="B118" s="2944">
        <f>M18</f>
        <v>96.71</v>
      </c>
      <c r="C118" s="2944">
        <f>M19</f>
        <v>0</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f ca="1">ROUND(IF(D32="总价",C32,I118*B118/10000),0)</f>
        <v>233</v>
      </c>
      <c r="I118" s="2944">
        <f ca="1">ROUND(IF(D32="楼面单价",C32,H118*10000/B118),0)</f>
        <v>24093</v>
      </c>
    </row>
    <row r="119" spans="1:11" ht="18.75" customHeight="1">
      <c r="A119" s="3047" t="s">
        <v>2311</v>
      </c>
      <c r="B119" s="3047"/>
      <c r="C119" s="3047"/>
      <c r="D119" s="3257" t="e">
        <f ca="1">NUMBERSTRING(INT(D118*10000),2)&amp;"元整"</f>
        <v>#REF!</v>
      </c>
      <c r="E119" s="3259"/>
      <c r="F119" s="3257" t="e">
        <f ca="1">NUMBERSTRING(INT(F118*10000),2)&amp;"元整"</f>
        <v>#REF!</v>
      </c>
      <c r="G119" s="3259"/>
      <c r="H119" s="3257" t="str">
        <f ca="1">NUMBERSTRING(INT(H118*10000),2)&amp;"元整"</f>
        <v>贰佰叁拾叁万元整</v>
      </c>
      <c r="I119" s="3259"/>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419" t="str">
        <f>IF(D120=0,"故，本次评估不存在"&amp;A120,"故，本次评估"&amp;A120&amp;"为人民币"&amp;D120&amp;"万元整。")</f>
        <v>故，本次评估不存在估价师知悉的法定优先受偿款</v>
      </c>
    </row>
    <row r="121" spans="1:11" ht="18.75" customHeight="1">
      <c r="A121" s="3254" t="s">
        <v>2311</v>
      </c>
      <c r="B121" s="3255"/>
      <c r="C121" s="3256"/>
      <c r="D121" s="3257" t="str">
        <f>IF(D120=0,"零元整",NUMBERSTRING(INT(D120*10000),2)&amp;"元整")</f>
        <v>零元整</v>
      </c>
      <c r="E121" s="3258"/>
      <c r="F121" s="3258"/>
      <c r="G121" s="3258"/>
      <c r="H121" s="3258"/>
      <c r="I121" s="3259"/>
    </row>
    <row r="122" spans="1:11" ht="18.75" customHeight="1">
      <c r="A122" s="3260" t="str">
        <f>IF(项目基本情况!B9="房地产市场价值","",MID(E107,3,LEN(E107)-2))</f>
        <v>房地产抵押价值</v>
      </c>
      <c r="B122" s="3260"/>
      <c r="C122" s="3260"/>
      <c r="D122" s="3261">
        <f ca="1">H107</f>
        <v>233</v>
      </c>
      <c r="E122" s="3262"/>
      <c r="F122" s="3262"/>
      <c r="G122" s="3262"/>
      <c r="H122" s="3262"/>
      <c r="I122" s="3263"/>
    </row>
    <row r="123" spans="1:11" ht="18.75" customHeight="1">
      <c r="A123" s="3047" t="s">
        <v>2311</v>
      </c>
      <c r="B123" s="3047"/>
      <c r="C123" s="3047"/>
      <c r="D123" s="3257" t="str">
        <f ca="1">NUMBERSTRING(INT(D122*10000),2)&amp;"元整"</f>
        <v>贰佰叁拾叁万元整</v>
      </c>
      <c r="E123" s="3258"/>
      <c r="F123" s="3258"/>
      <c r="G123" s="3258"/>
      <c r="H123" s="3258"/>
      <c r="I123" s="3259"/>
    </row>
    <row r="124" spans="1:11" ht="18.75" customHeight="1">
      <c r="A124" s="3260" t="str">
        <f>IF(项目基本情况!B9="房地产市场价值","",MID(E109,3,LEN(E109)-2))</f>
        <v/>
      </c>
      <c r="B124" s="3260"/>
      <c r="C124" s="3260"/>
      <c r="D124" s="3261" t="str">
        <f>H109</f>
        <v>——</v>
      </c>
      <c r="E124" s="3262"/>
      <c r="F124" s="3262"/>
      <c r="G124" s="3262"/>
      <c r="H124" s="3262"/>
      <c r="I124" s="3263"/>
    </row>
    <row r="125" spans="1:11" ht="18.75" customHeight="1">
      <c r="A125" s="3047" t="s">
        <v>2311</v>
      </c>
      <c r="B125" s="3047"/>
      <c r="C125" s="3047"/>
      <c r="D125" s="3257" t="e">
        <f>NUMBERSTRING(INT(D124*10000),2)&amp;"元整"</f>
        <v>#VALUE!</v>
      </c>
      <c r="E125" s="3258"/>
      <c r="F125" s="3258"/>
      <c r="G125" s="3258"/>
      <c r="H125" s="3258"/>
      <c r="I125" s="3259"/>
    </row>
    <row r="126" spans="1:11" ht="18.75" customHeight="1">
      <c r="A126" s="3260" t="str">
        <f>IF(项目基本情况!B9="房地产市场价值","",MID(E111,3,LEN(E111)-2))</f>
        <v/>
      </c>
      <c r="B126" s="3260"/>
      <c r="C126" s="3260"/>
      <c r="D126" s="3261" t="str">
        <f>H111</f>
        <v>——</v>
      </c>
      <c r="E126" s="3262"/>
      <c r="F126" s="3262"/>
      <c r="G126" s="3262"/>
      <c r="H126" s="3262"/>
      <c r="I126" s="3263"/>
    </row>
    <row r="127" spans="1:11" ht="18.75" customHeight="1">
      <c r="A127" s="3047" t="s">
        <v>2311</v>
      </c>
      <c r="B127" s="3047"/>
      <c r="C127" s="3047"/>
      <c r="D127" s="3257" t="e">
        <f>NUMBERSTRING(INT(D126*10000),2)&amp;"元整"</f>
        <v>#VALUE!</v>
      </c>
      <c r="E127" s="3258"/>
      <c r="F127" s="3258"/>
      <c r="G127" s="3258"/>
      <c r="H127" s="3258"/>
      <c r="I127" s="3259"/>
    </row>
    <row r="128" spans="1:11" ht="21.75" customHeight="1">
      <c r="A128" s="3264" t="s">
        <v>2312</v>
      </c>
      <c r="B128" s="3264"/>
      <c r="C128" s="3264"/>
      <c r="D128" s="3264"/>
      <c r="E128" s="3264"/>
      <c r="F128" s="3264"/>
      <c r="G128" s="3264"/>
      <c r="H128" s="3264"/>
      <c r="I128" s="3264"/>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85" zoomScaleNormal="85" workbookViewId="0">
      <selection activeCell="G40" sqref="G40"/>
    </sheetView>
  </sheetViews>
  <sheetFormatPr defaultColWidth="9" defaultRowHeight="14.25"/>
  <cols>
    <col min="1" max="1" width="10.5" style="403" customWidth="1"/>
    <col min="2" max="2" width="15.75" style="403" customWidth="1"/>
    <col min="3" max="3" width="16.5" style="403" customWidth="1"/>
    <col min="4" max="4" width="12.25" style="403" customWidth="1"/>
    <col min="5" max="5" width="16.375" style="403" customWidth="1"/>
    <col min="6" max="6" width="12.25" style="403" customWidth="1"/>
    <col min="7" max="7" width="17.375" style="403" customWidth="1"/>
    <col min="8" max="8" width="12.25" style="403" customWidth="1"/>
    <col min="9" max="9" width="16.7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0" t="s">
        <v>2636</v>
      </c>
      <c r="C1" s="1632" t="s">
        <v>2524</v>
      </c>
      <c r="D1" s="1619" t="s">
        <v>4660</v>
      </c>
      <c r="E1" s="2655"/>
      <c r="F1" s="2582" t="s">
        <v>4576</v>
      </c>
      <c r="G1" s="1629" t="s">
        <v>2637</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8" customFormat="1" ht="28.5" customHeight="1" thickTop="1">
      <c r="A2" s="1615" t="s">
        <v>2321</v>
      </c>
      <c r="B2" s="1416">
        <f>IF(C2="——",ROUND(C49*D3/10000,0),ROUND(C49*D3/10000,0)-D2)</f>
        <v>258</v>
      </c>
      <c r="C2" s="2584" t="s">
        <v>70</v>
      </c>
      <c r="D2" s="1363" t="e">
        <f ca="1">SUMIF(INDIRECT("'"&amp;F2&amp;"'"&amp;"!A:A"),"承租人权益价值",INDIRECT("'"&amp;F2&amp;"'"&amp;"!c:c"))</f>
        <v>#REF!</v>
      </c>
      <c r="E2" s="2585" t="s">
        <v>2322</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8" customFormat="1" ht="28.5" customHeight="1" thickBot="1">
      <c r="A3" s="247" t="s">
        <v>2323</v>
      </c>
      <c r="B3" s="609">
        <f>IF(C2="——",C49,ROUND(B2*10000/D3,0))</f>
        <v>26722</v>
      </c>
      <c r="C3" s="400" t="s">
        <v>2638</v>
      </c>
      <c r="D3" s="399">
        <f>IF(D1="",'数据-汇总表'!E3,SUMIF('数据-汇总表'!$C19:$C33,D1,'数据-汇总表'!$E19:$E33))</f>
        <v>96.71</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54" t="s">
        <v>2641</v>
      </c>
      <c r="S4" s="3155"/>
      <c r="T4" s="3154" t="s">
        <v>2642</v>
      </c>
      <c r="U4" s="3155"/>
      <c r="V4" s="3160" t="s">
        <v>2643</v>
      </c>
      <c r="W4" s="3160"/>
      <c r="X4" s="1810"/>
      <c r="Y4" s="3154" t="s">
        <v>2645</v>
      </c>
      <c r="Z4" s="3155"/>
      <c r="AA4" s="3141" t="s">
        <v>2641</v>
      </c>
      <c r="AB4" s="3160" t="s">
        <v>2642</v>
      </c>
      <c r="AC4" s="3141" t="s">
        <v>2643</v>
      </c>
    </row>
    <row r="5" spans="1:29" ht="15">
      <c r="A5" s="404"/>
      <c r="B5" s="405"/>
      <c r="C5" s="3163" t="s">
        <v>2536</v>
      </c>
      <c r="D5" s="3164"/>
      <c r="E5" s="3266" t="s">
        <v>4659</v>
      </c>
      <c r="F5" s="3171"/>
      <c r="G5" s="3265" t="s">
        <v>4599</v>
      </c>
      <c r="H5" s="3164"/>
      <c r="I5" s="3265" t="s">
        <v>4657</v>
      </c>
      <c r="J5" s="3164"/>
      <c r="K5" s="610"/>
      <c r="L5" s="1128"/>
      <c r="M5" s="1129"/>
      <c r="N5" s="1129"/>
      <c r="O5" s="1129"/>
      <c r="P5" s="3150"/>
      <c r="Q5" s="3151"/>
      <c r="R5" s="3156"/>
      <c r="S5" s="3157"/>
      <c r="T5" s="3156"/>
      <c r="U5" s="3157"/>
      <c r="V5" s="3160"/>
      <c r="W5" s="3160"/>
      <c r="X5" s="1810"/>
      <c r="Y5" s="3156"/>
      <c r="Z5" s="3157"/>
      <c r="AA5" s="3142"/>
      <c r="AB5" s="3160"/>
      <c r="AC5" s="3142"/>
    </row>
    <row r="6" spans="1:29" ht="15.75" thickBot="1">
      <c r="A6" s="406"/>
      <c r="B6" s="407"/>
      <c r="C6" s="3161" t="s">
        <v>2540</v>
      </c>
      <c r="D6" s="3162"/>
      <c r="E6" s="3168" t="s">
        <v>2540</v>
      </c>
      <c r="F6" s="3169"/>
      <c r="G6" s="3161" t="s">
        <v>2540</v>
      </c>
      <c r="H6" s="3162"/>
      <c r="I6" s="3161" t="s">
        <v>2540</v>
      </c>
      <c r="J6" s="3162"/>
      <c r="K6" s="610" t="s">
        <v>2541</v>
      </c>
      <c r="L6" s="1128"/>
      <c r="M6" s="1129"/>
      <c r="N6" s="1129"/>
      <c r="O6" s="1129"/>
      <c r="P6" s="3152"/>
      <c r="Q6" s="3153"/>
      <c r="R6" s="3156"/>
      <c r="S6" s="3157"/>
      <c r="T6" s="3158"/>
      <c r="U6" s="3159"/>
      <c r="V6" s="3160"/>
      <c r="W6" s="3160"/>
      <c r="X6" s="1810"/>
      <c r="Y6" s="3158"/>
      <c r="Z6" s="3159"/>
      <c r="AA6" s="3143"/>
      <c r="AB6" s="3160"/>
      <c r="AC6" s="3143"/>
    </row>
    <row r="7" spans="1:29" s="117" customFormat="1" ht="15.75" thickBot="1">
      <c r="A7" s="408" t="s">
        <v>2542</v>
      </c>
      <c r="B7" s="409"/>
      <c r="C7" s="410">
        <f>'数据-取费表'!B2</f>
        <v>43494</v>
      </c>
      <c r="D7" s="411">
        <v>100</v>
      </c>
      <c r="E7" s="412">
        <v>43435</v>
      </c>
      <c r="F7" s="413">
        <f>SUMIF(58:58,YEAR(E7)&amp;"-"&amp;MONTH(E7),59:59)</f>
        <v>100</v>
      </c>
      <c r="G7" s="412">
        <v>43435</v>
      </c>
      <c r="H7" s="411">
        <f>SUMIF(58:58,YEAR(G7)&amp;"-"&amp;MONTH(G7),59:59)</f>
        <v>100</v>
      </c>
      <c r="I7" s="412">
        <v>43344</v>
      </c>
      <c r="J7" s="411">
        <f>SUMIF(58:58,YEAR(I7)&amp;"-"&amp;MONTH(I7),59:59)</f>
        <v>99</v>
      </c>
      <c r="K7" s="611"/>
      <c r="L7" s="1130"/>
      <c r="M7" s="1131"/>
      <c r="N7" s="1131"/>
      <c r="O7" s="1131"/>
      <c r="P7" s="3165" t="s">
        <v>2543</v>
      </c>
      <c r="Q7" s="3167"/>
      <c r="R7" s="770" t="s">
        <v>17</v>
      </c>
      <c r="S7" s="771">
        <f t="shared" ref="S7:S15" si="0">F7</f>
        <v>100</v>
      </c>
      <c r="T7" s="770" t="s">
        <v>17</v>
      </c>
      <c r="U7" s="771">
        <f t="shared" ref="U7:U15" si="1">H7</f>
        <v>100</v>
      </c>
      <c r="V7" s="770" t="s">
        <v>17</v>
      </c>
      <c r="W7" s="771">
        <f t="shared" ref="W7:W15" si="2">J7</f>
        <v>99</v>
      </c>
      <c r="X7" s="772"/>
      <c r="Y7" s="3165" t="s">
        <v>2543</v>
      </c>
      <c r="Z7" s="3166"/>
      <c r="AA7" s="773">
        <f>D7/F7</f>
        <v>1</v>
      </c>
      <c r="AB7" s="773">
        <f>D7/H7</f>
        <v>1</v>
      </c>
      <c r="AC7" s="773">
        <f>D7/J7</f>
        <v>1.0101010101010102</v>
      </c>
    </row>
    <row r="8" spans="1:29" s="117" customFormat="1" ht="15.75" thickBot="1">
      <c r="A8" s="408" t="s">
        <v>2544</v>
      </c>
      <c r="B8" s="409"/>
      <c r="C8" s="414" t="s">
        <v>2646</v>
      </c>
      <c r="D8" s="411">
        <v>100</v>
      </c>
      <c r="E8" s="414" t="s">
        <v>2581</v>
      </c>
      <c r="F8" s="413">
        <f>SUMIF(61:61,E8,62:62)-SUMIF(61:61,C8,62:62)+100</f>
        <v>100</v>
      </c>
      <c r="G8" s="414" t="s">
        <v>2581</v>
      </c>
      <c r="H8" s="411">
        <f>SUMIF(61:61,G8,62:62)-SUMIF(61:61,C8,62:62)+100</f>
        <v>100</v>
      </c>
      <c r="I8" s="414" t="s">
        <v>2581</v>
      </c>
      <c r="J8" s="411">
        <f>SUMIF(61:61,I8,62:62)-SUMIF(61:61,C8,62:62)+100</f>
        <v>100</v>
      </c>
      <c r="K8" s="611"/>
      <c r="L8" s="1130"/>
      <c r="M8" s="1131"/>
      <c r="N8" s="1131"/>
      <c r="O8" s="1131"/>
      <c r="P8" s="3165" t="s">
        <v>2546</v>
      </c>
      <c r="Q8" s="3166"/>
      <c r="R8" s="770" t="s">
        <v>17</v>
      </c>
      <c r="S8" s="771">
        <f t="shared" si="0"/>
        <v>100</v>
      </c>
      <c r="T8" s="770" t="s">
        <v>17</v>
      </c>
      <c r="U8" s="771">
        <f t="shared" si="1"/>
        <v>100</v>
      </c>
      <c r="V8" s="770" t="s">
        <v>17</v>
      </c>
      <c r="W8" s="771">
        <f t="shared" si="2"/>
        <v>100</v>
      </c>
      <c r="X8" s="772"/>
      <c r="Y8" s="3165" t="s">
        <v>2546</v>
      </c>
      <c r="Z8" s="3166"/>
      <c r="AA8" s="773">
        <f t="shared" ref="AA8:AA46" si="3">D8/F8</f>
        <v>1</v>
      </c>
      <c r="AB8" s="773">
        <f t="shared" ref="AB8:AB46" si="4">D8/H8</f>
        <v>1</v>
      </c>
      <c r="AC8" s="773">
        <f t="shared" ref="AC8:AC46" si="5">D8/J8</f>
        <v>1</v>
      </c>
    </row>
    <row r="9" spans="1:29" s="117" customFormat="1">
      <c r="A9" s="415" t="s">
        <v>2547</v>
      </c>
      <c r="B9" s="71" t="s">
        <v>2548</v>
      </c>
      <c r="C9" s="2973" t="s">
        <v>4616</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140" t="s">
        <v>2549</v>
      </c>
      <c r="Q9" s="1792" t="str">
        <f t="shared" ref="Q9:Q15" si="6">B9</f>
        <v>用途</v>
      </c>
      <c r="R9" s="770" t="s">
        <v>17</v>
      </c>
      <c r="S9" s="771">
        <f t="shared" si="0"/>
        <v>100</v>
      </c>
      <c r="T9" s="770" t="s">
        <v>17</v>
      </c>
      <c r="U9" s="771">
        <f t="shared" si="1"/>
        <v>100</v>
      </c>
      <c r="V9" s="770" t="s">
        <v>17</v>
      </c>
      <c r="W9" s="771">
        <f t="shared" si="2"/>
        <v>100</v>
      </c>
      <c r="X9" s="772"/>
      <c r="Y9" s="3047" t="s">
        <v>2550</v>
      </c>
      <c r="Z9" s="55" t="str">
        <f t="shared" ref="Z9:Z15" si="7">Q9</f>
        <v>用途</v>
      </c>
      <c r="AA9" s="773">
        <f t="shared" si="3"/>
        <v>1</v>
      </c>
      <c r="AB9" s="773">
        <f t="shared" si="4"/>
        <v>1</v>
      </c>
      <c r="AC9" s="773">
        <f t="shared" si="5"/>
        <v>1</v>
      </c>
    </row>
    <row r="10" spans="1:29" s="427" customFormat="1" ht="27.75" thickBot="1">
      <c r="A10" s="421"/>
      <c r="B10" s="422" t="s">
        <v>2551</v>
      </c>
      <c r="C10" s="423" t="s">
        <v>4580</v>
      </c>
      <c r="D10" s="136">
        <v>100</v>
      </c>
      <c r="E10" s="424" t="s">
        <v>4580</v>
      </c>
      <c r="F10" s="425">
        <f>SUMIF(65:65,E10,66:66)-SUMIF(65:65,C10,66:66)+100</f>
        <v>100</v>
      </c>
      <c r="G10" s="424" t="s">
        <v>4580</v>
      </c>
      <c r="H10" s="136">
        <f>SUMIF(65:65,G10,66:66)-SUMIF(65:65,C10,66:66)+100</f>
        <v>100</v>
      </c>
      <c r="I10" s="424" t="s">
        <v>4580</v>
      </c>
      <c r="J10" s="136">
        <f>SUMIF(65:65,I10,66:66)-SUMIF(65:65,C10,66:66)+100</f>
        <v>100</v>
      </c>
      <c r="K10" s="612">
        <v>1</v>
      </c>
      <c r="L10" s="1133"/>
      <c r="M10" s="1134"/>
      <c r="N10" s="1134"/>
      <c r="O10" s="1134"/>
      <c r="P10" s="3140"/>
      <c r="Q10" s="1792"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hidden="1">
      <c r="A11" s="428"/>
      <c r="B11" s="422" t="s">
        <v>2552</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6"/>
      <c r="M11" s="1129"/>
      <c r="N11" s="1129"/>
      <c r="O11" s="1129"/>
      <c r="P11" s="3140"/>
      <c r="Q11" s="1792" t="str">
        <f t="shared" si="6"/>
        <v>容积率</v>
      </c>
      <c r="R11" s="770" t="s">
        <v>17</v>
      </c>
      <c r="S11" s="771">
        <f t="shared" si="0"/>
        <v>100</v>
      </c>
      <c r="T11" s="770" t="s">
        <v>17</v>
      </c>
      <c r="U11" s="771">
        <f t="shared" si="1"/>
        <v>100</v>
      </c>
      <c r="V11" s="770" t="s">
        <v>17</v>
      </c>
      <c r="W11" s="771">
        <f t="shared" si="2"/>
        <v>100</v>
      </c>
      <c r="X11" s="772"/>
      <c r="Y11" s="3047"/>
      <c r="Z11" s="55" t="str">
        <f t="shared" si="7"/>
        <v>容积率</v>
      </c>
      <c r="AA11" s="773">
        <f t="shared" si="3"/>
        <v>1</v>
      </c>
      <c r="AB11" s="773">
        <f t="shared" si="4"/>
        <v>1</v>
      </c>
      <c r="AC11" s="773">
        <f t="shared" si="5"/>
        <v>1</v>
      </c>
    </row>
    <row r="12" spans="1:29" s="117" customFormat="1" ht="15" hidden="1">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40"/>
      <c r="Q12" s="1792">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40"/>
      <c r="Q13" s="1792">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hidden="1"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40"/>
      <c r="Q14" s="1792">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57">
      <c r="A15" s="440" t="s">
        <v>2553</v>
      </c>
      <c r="B15" s="69" t="s">
        <v>2647</v>
      </c>
      <c r="C15" s="2601" t="str">
        <f>估价对象房地状况!C4</f>
        <v>估价对象周边商业氛围一般，人流量一般，商业繁华度一般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3</v>
      </c>
      <c r="L15" s="1138"/>
      <c r="M15" s="1129"/>
      <c r="N15" s="1129"/>
      <c r="O15" s="1129"/>
      <c r="P15" s="3138" t="s">
        <v>2554</v>
      </c>
      <c r="Q15" s="1807" t="str">
        <f t="shared" si="6"/>
        <v>商业繁华度</v>
      </c>
      <c r="R15" s="774" t="s">
        <v>17</v>
      </c>
      <c r="S15" s="775">
        <f t="shared" si="0"/>
        <v>100</v>
      </c>
      <c r="T15" s="774" t="s">
        <v>17</v>
      </c>
      <c r="U15" s="775">
        <f t="shared" si="1"/>
        <v>100</v>
      </c>
      <c r="V15" s="774" t="s">
        <v>17</v>
      </c>
      <c r="W15" s="775">
        <f t="shared" si="2"/>
        <v>100</v>
      </c>
      <c r="X15" s="1810"/>
      <c r="Y15" s="3131" t="s">
        <v>2554</v>
      </c>
      <c r="Z15" s="1811" t="str">
        <f t="shared" si="7"/>
        <v>商业繁华度</v>
      </c>
      <c r="AA15" s="1808">
        <f t="shared" si="3"/>
        <v>1</v>
      </c>
      <c r="AB15" s="1808">
        <f t="shared" si="4"/>
        <v>1</v>
      </c>
      <c r="AC15" s="1808">
        <f t="shared" si="5"/>
        <v>1</v>
      </c>
    </row>
    <row r="16" spans="1:29" ht="15">
      <c r="A16" s="428"/>
      <c r="B16" s="446"/>
      <c r="C16" s="447" t="s">
        <v>4584</v>
      </c>
      <c r="D16" s="448"/>
      <c r="E16" s="447" t="s">
        <v>4584</v>
      </c>
      <c r="F16" s="449"/>
      <c r="G16" s="447" t="s">
        <v>4584</v>
      </c>
      <c r="H16" s="450"/>
      <c r="I16" s="447" t="s">
        <v>4584</v>
      </c>
      <c r="J16" s="448"/>
      <c r="K16" s="615"/>
      <c r="L16" s="1138"/>
      <c r="M16" s="1129"/>
      <c r="N16" s="1129"/>
      <c r="O16" s="1129"/>
      <c r="P16" s="3139"/>
      <c r="Q16" s="1807"/>
      <c r="R16" s="774"/>
      <c r="S16" s="775"/>
      <c r="T16" s="774"/>
      <c r="U16" s="775"/>
      <c r="V16" s="774"/>
      <c r="W16" s="775"/>
      <c r="X16" s="1810"/>
      <c r="Y16" s="3132"/>
      <c r="Z16" s="1811"/>
      <c r="AA16" s="1808">
        <v>1</v>
      </c>
      <c r="AB16" s="1808">
        <v>1</v>
      </c>
      <c r="AC16" s="1808">
        <v>1</v>
      </c>
    </row>
    <row r="17" spans="1:29" ht="71.25">
      <c r="A17" s="428"/>
      <c r="B17" s="451" t="s">
        <v>2090</v>
      </c>
      <c r="C17" s="2605" t="str">
        <f>估价对象房地状况!C6</f>
        <v>估价对象周边道路状况、公共交通通达情况、停车便捷程度，综合评价交通便捷度较好</v>
      </c>
      <c r="D17" s="450">
        <v>100</v>
      </c>
      <c r="E17" s="452"/>
      <c r="F17" s="453">
        <f>SUMIF(78:78,E18,79:79)-SUMIF(78:78,C18,79:79)+100</f>
        <v>98</v>
      </c>
      <c r="G17" s="454"/>
      <c r="H17" s="455">
        <f>SUMIF(78:78,G18,79:79)-SUMIF(78:78,C18,79:79)+100</f>
        <v>100</v>
      </c>
      <c r="I17" s="452"/>
      <c r="J17" s="455">
        <f>SUMIF(78:78,I18,79:79)-SUMIF(78:78,C18,79:79)+100</f>
        <v>100</v>
      </c>
      <c r="K17" s="614">
        <f>'比较法-车位'!K14</f>
        <v>2</v>
      </c>
      <c r="L17" s="1138"/>
      <c r="M17" s="1129"/>
      <c r="N17" s="1129"/>
      <c r="O17" s="1129"/>
      <c r="P17" s="3139"/>
      <c r="Q17" s="1807" t="str">
        <f>B17</f>
        <v>交通便捷度</v>
      </c>
      <c r="R17" s="774" t="s">
        <v>17</v>
      </c>
      <c r="S17" s="775">
        <f>F17</f>
        <v>98</v>
      </c>
      <c r="T17" s="774" t="s">
        <v>17</v>
      </c>
      <c r="U17" s="775">
        <f>H17</f>
        <v>100</v>
      </c>
      <c r="V17" s="774" t="s">
        <v>17</v>
      </c>
      <c r="W17" s="775">
        <f>J17</f>
        <v>100</v>
      </c>
      <c r="X17" s="1810"/>
      <c r="Y17" s="3132"/>
      <c r="Z17" s="1811" t="str">
        <f>Q17</f>
        <v>交通便捷度</v>
      </c>
      <c r="AA17" s="1808">
        <f t="shared" si="3"/>
        <v>1.0204081632653061</v>
      </c>
      <c r="AB17" s="1808">
        <f t="shared" si="4"/>
        <v>1</v>
      </c>
      <c r="AC17" s="1808">
        <f t="shared" si="5"/>
        <v>1</v>
      </c>
    </row>
    <row r="18" spans="1:29" ht="15">
      <c r="A18" s="428"/>
      <c r="B18" s="456"/>
      <c r="C18" s="2606" t="s">
        <v>4589</v>
      </c>
      <c r="D18" s="450"/>
      <c r="E18" s="2608" t="s">
        <v>4584</v>
      </c>
      <c r="F18" s="453"/>
      <c r="G18" s="2607" t="s">
        <v>4589</v>
      </c>
      <c r="H18" s="448"/>
      <c r="I18" s="2608" t="s">
        <v>4589</v>
      </c>
      <c r="J18" s="448"/>
      <c r="K18" s="615"/>
      <c r="L18" s="1138"/>
      <c r="M18" s="1129"/>
      <c r="N18" s="1129"/>
      <c r="O18" s="1129"/>
      <c r="P18" s="3139"/>
      <c r="Q18" s="1807"/>
      <c r="R18" s="774"/>
      <c r="S18" s="775"/>
      <c r="T18" s="774"/>
      <c r="U18" s="775"/>
      <c r="V18" s="774"/>
      <c r="W18" s="775"/>
      <c r="X18" s="1810"/>
      <c r="Y18" s="3132"/>
      <c r="Z18" s="1811"/>
      <c r="AA18" s="1808">
        <v>1</v>
      </c>
      <c r="AB18" s="1808">
        <v>1</v>
      </c>
      <c r="AC18" s="1808">
        <v>1</v>
      </c>
    </row>
    <row r="19" spans="1:29" ht="42.75">
      <c r="A19" s="428"/>
      <c r="B19" s="451" t="s">
        <v>2648</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f>'比较法-车位'!K16</f>
        <v>1</v>
      </c>
      <c r="L19" s="1138"/>
      <c r="M19" s="1129"/>
      <c r="N19" s="1129"/>
      <c r="O19" s="1129"/>
      <c r="P19" s="3139"/>
      <c r="Q19" s="1807" t="str">
        <f>B19</f>
        <v>公共配套设施</v>
      </c>
      <c r="R19" s="774" t="s">
        <v>17</v>
      </c>
      <c r="S19" s="775">
        <f>F19</f>
        <v>100</v>
      </c>
      <c r="T19" s="774" t="s">
        <v>17</v>
      </c>
      <c r="U19" s="775">
        <f>H19</f>
        <v>100</v>
      </c>
      <c r="V19" s="774" t="s">
        <v>17</v>
      </c>
      <c r="W19" s="775">
        <f>J19</f>
        <v>100</v>
      </c>
      <c r="X19" s="1810"/>
      <c r="Y19" s="3132"/>
      <c r="Z19" s="1811" t="str">
        <f>Q19</f>
        <v>公共配套设施</v>
      </c>
      <c r="AA19" s="1808">
        <f t="shared" si="3"/>
        <v>1</v>
      </c>
      <c r="AB19" s="1808">
        <f t="shared" si="4"/>
        <v>1</v>
      </c>
      <c r="AC19" s="1808">
        <f t="shared" si="5"/>
        <v>1</v>
      </c>
    </row>
    <row r="20" spans="1:29" ht="15">
      <c r="A20" s="428"/>
      <c r="B20" s="456"/>
      <c r="C20" s="447" t="s">
        <v>4584</v>
      </c>
      <c r="D20" s="448"/>
      <c r="E20" s="2603" t="s">
        <v>4584</v>
      </c>
      <c r="F20" s="449"/>
      <c r="G20" s="2602" t="s">
        <v>4584</v>
      </c>
      <c r="H20" s="448"/>
      <c r="I20" s="2603" t="s">
        <v>4584</v>
      </c>
      <c r="J20" s="448"/>
      <c r="K20" s="615"/>
      <c r="L20" s="1138"/>
      <c r="M20" s="1129"/>
      <c r="N20" s="1129"/>
      <c r="O20" s="1129"/>
      <c r="P20" s="3139"/>
      <c r="Q20" s="1807"/>
      <c r="R20" s="774"/>
      <c r="S20" s="775"/>
      <c r="T20" s="774"/>
      <c r="U20" s="775"/>
      <c r="V20" s="774"/>
      <c r="W20" s="775"/>
      <c r="X20" s="1810"/>
      <c r="Y20" s="3132"/>
      <c r="Z20" s="1811"/>
      <c r="AA20" s="1808">
        <v>1</v>
      </c>
      <c r="AB20" s="1808">
        <v>1</v>
      </c>
      <c r="AC20" s="1808">
        <v>1</v>
      </c>
    </row>
    <row r="21" spans="1:29" ht="42.75">
      <c r="A21" s="428"/>
      <c r="B21" s="1382" t="s">
        <v>2649</v>
      </c>
      <c r="C21" s="2605" t="str">
        <f>估价对象房地状况!C8</f>
        <v>估价对象所在区域基础设施水平达六通</v>
      </c>
      <c r="D21" s="455">
        <v>100</v>
      </c>
      <c r="E21" s="457"/>
      <c r="F21" s="458">
        <f>SUMIF(82:82,E22,83:83)-SUMIF(82:82,C22,83:83)+100</f>
        <v>100</v>
      </c>
      <c r="G21" s="459"/>
      <c r="H21" s="450">
        <f>SUMIF(82:82,G22,83:83)-SUMIF(82:82,C22,83:83)+100</f>
        <v>100</v>
      </c>
      <c r="I21" s="457"/>
      <c r="J21" s="450">
        <f>SUMIF(82:82,I22,83:83)-SUMIF(82:82,C22,83:83)+100</f>
        <v>100</v>
      </c>
      <c r="K21" s="614">
        <f>'比较法-车位'!K18</f>
        <v>1</v>
      </c>
      <c r="L21" s="1138"/>
      <c r="M21" s="1129"/>
      <c r="N21" s="1129"/>
      <c r="O21" s="1129"/>
      <c r="P21" s="3139"/>
      <c r="Q21" s="1807" t="str">
        <f>B21</f>
        <v>基础设施水平</v>
      </c>
      <c r="R21" s="774" t="s">
        <v>17</v>
      </c>
      <c r="S21" s="775">
        <f>F21</f>
        <v>100</v>
      </c>
      <c r="T21" s="774" t="s">
        <v>17</v>
      </c>
      <c r="U21" s="775">
        <f>H21</f>
        <v>100</v>
      </c>
      <c r="V21" s="774" t="s">
        <v>17</v>
      </c>
      <c r="W21" s="775">
        <f>J21</f>
        <v>100</v>
      </c>
      <c r="X21" s="1810"/>
      <c r="Y21" s="3132"/>
      <c r="Z21" s="1811" t="str">
        <f>Q21</f>
        <v>基础设施水平</v>
      </c>
      <c r="AA21" s="1808">
        <f t="shared" ref="AA21" si="8">D21/F21</f>
        <v>1</v>
      </c>
      <c r="AB21" s="1808">
        <f t="shared" ref="AB21" si="9">D21/H21</f>
        <v>1</v>
      </c>
      <c r="AC21" s="1808">
        <f t="shared" ref="AC21" si="10">D21/J21</f>
        <v>1</v>
      </c>
    </row>
    <row r="22" spans="1:29" ht="15">
      <c r="A22" s="428"/>
      <c r="B22" s="1382"/>
      <c r="C22" s="2606" t="s">
        <v>4588</v>
      </c>
      <c r="D22" s="448"/>
      <c r="E22" s="447" t="s">
        <v>4588</v>
      </c>
      <c r="F22" s="449"/>
      <c r="G22" s="447" t="s">
        <v>4588</v>
      </c>
      <c r="H22" s="448"/>
      <c r="I22" s="447" t="s">
        <v>4588</v>
      </c>
      <c r="J22" s="448"/>
      <c r="K22" s="1381"/>
      <c r="L22" s="1138"/>
      <c r="M22" s="1129"/>
      <c r="N22" s="1129"/>
      <c r="O22" s="1129"/>
      <c r="P22" s="3139"/>
      <c r="Q22" s="1807"/>
      <c r="R22" s="774"/>
      <c r="S22" s="775"/>
      <c r="T22" s="774"/>
      <c r="U22" s="775"/>
      <c r="V22" s="774"/>
      <c r="W22" s="775"/>
      <c r="X22" s="1810"/>
      <c r="Y22" s="3132"/>
      <c r="Z22" s="1811"/>
      <c r="AA22" s="1808">
        <v>1</v>
      </c>
      <c r="AB22" s="1808">
        <v>1</v>
      </c>
      <c r="AC22" s="1808">
        <v>1</v>
      </c>
    </row>
    <row r="23" spans="1:29" ht="42.75">
      <c r="A23" s="428"/>
      <c r="B23" s="451" t="s">
        <v>2095</v>
      </c>
      <c r="C23" s="2662"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99</v>
      </c>
      <c r="K23" s="614">
        <f>'比较法-车位'!K20</f>
        <v>1</v>
      </c>
      <c r="L23" s="1138"/>
      <c r="M23" s="1129"/>
      <c r="N23" s="1129"/>
      <c r="O23" s="1129"/>
      <c r="P23" s="3139"/>
      <c r="Q23" s="1807" t="str">
        <f>B23</f>
        <v>自然及人文环境</v>
      </c>
      <c r="R23" s="774" t="s">
        <v>17</v>
      </c>
      <c r="S23" s="775">
        <f>F23</f>
        <v>100</v>
      </c>
      <c r="T23" s="774" t="s">
        <v>17</v>
      </c>
      <c r="U23" s="775">
        <f>H23</f>
        <v>100</v>
      </c>
      <c r="V23" s="774" t="s">
        <v>17</v>
      </c>
      <c r="W23" s="775">
        <f>J23</f>
        <v>99</v>
      </c>
      <c r="X23" s="1810"/>
      <c r="Y23" s="3132"/>
      <c r="Z23" s="1811" t="str">
        <f>Q23</f>
        <v>自然及人文环境</v>
      </c>
      <c r="AA23" s="1808">
        <f t="shared" si="3"/>
        <v>1</v>
      </c>
      <c r="AB23" s="1808">
        <f t="shared" si="4"/>
        <v>1</v>
      </c>
      <c r="AC23" s="1808">
        <f t="shared" si="5"/>
        <v>1.0101010101010102</v>
      </c>
    </row>
    <row r="24" spans="1:29" ht="15">
      <c r="A24" s="428"/>
      <c r="B24" s="456"/>
      <c r="C24" s="447" t="s">
        <v>4589</v>
      </c>
      <c r="D24" s="448"/>
      <c r="E24" s="2603" t="s">
        <v>4589</v>
      </c>
      <c r="F24" s="449"/>
      <c r="G24" s="2602" t="s">
        <v>4589</v>
      </c>
      <c r="H24" s="448"/>
      <c r="I24" s="2602" t="s">
        <v>4584</v>
      </c>
      <c r="J24" s="448"/>
      <c r="K24" s="615"/>
      <c r="L24" s="1138"/>
      <c r="M24" s="1129"/>
      <c r="N24" s="1129"/>
      <c r="O24" s="1129"/>
      <c r="P24" s="3139"/>
      <c r="Q24" s="1807"/>
      <c r="R24" s="774"/>
      <c r="S24" s="775"/>
      <c r="T24" s="774"/>
      <c r="U24" s="775"/>
      <c r="V24" s="774"/>
      <c r="W24" s="775"/>
      <c r="X24" s="1810"/>
      <c r="Y24" s="3132"/>
      <c r="Z24" s="1811"/>
      <c r="AA24" s="1808">
        <v>1</v>
      </c>
      <c r="AB24" s="1808">
        <v>1</v>
      </c>
      <c r="AC24" s="1808">
        <v>1</v>
      </c>
    </row>
    <row r="25" spans="1:29" ht="15">
      <c r="A25" s="428"/>
      <c r="B25" s="422" t="s">
        <v>2650</v>
      </c>
      <c r="C25" s="616" t="s">
        <v>4620</v>
      </c>
      <c r="D25" s="435">
        <v>100</v>
      </c>
      <c r="E25" s="616" t="s">
        <v>4618</v>
      </c>
      <c r="F25" s="461">
        <f>SUMIF(86:86,E25,87:87)-SUMIF(86:86,C25,87:87)+100</f>
        <v>105</v>
      </c>
      <c r="G25" s="616" t="s">
        <v>4618</v>
      </c>
      <c r="H25" s="435">
        <f>SUMIF(86:86,G25,87:87)-SUMIF(86:86,C25,87:87)+100</f>
        <v>105</v>
      </c>
      <c r="I25" s="616" t="s">
        <v>4618</v>
      </c>
      <c r="J25" s="435">
        <f>SUMIF(86:86,I25,87:87)-SUMIF(86:86,C25,87:87)+100</f>
        <v>105</v>
      </c>
      <c r="K25" s="612">
        <v>5</v>
      </c>
      <c r="L25" s="1138"/>
      <c r="M25" s="1129"/>
      <c r="N25" s="1129"/>
      <c r="O25" s="1129"/>
      <c r="P25" s="3139"/>
      <c r="Q25" s="1807" t="str">
        <f t="shared" ref="Q25:Q46" si="11">B25</f>
        <v>临街状况</v>
      </c>
      <c r="R25" s="774" t="s">
        <v>17</v>
      </c>
      <c r="S25" s="775">
        <f>F25</f>
        <v>105</v>
      </c>
      <c r="T25" s="774" t="s">
        <v>17</v>
      </c>
      <c r="U25" s="775">
        <f>H25</f>
        <v>105</v>
      </c>
      <c r="V25" s="774" t="s">
        <v>17</v>
      </c>
      <c r="W25" s="775">
        <f>J25</f>
        <v>105</v>
      </c>
      <c r="X25" s="1810"/>
      <c r="Y25" s="3132"/>
      <c r="Z25" s="1811" t="str">
        <f>Q25</f>
        <v>临街状况</v>
      </c>
      <c r="AA25" s="1808">
        <f t="shared" si="3"/>
        <v>0.95238095238095233</v>
      </c>
      <c r="AB25" s="1808">
        <f t="shared" si="4"/>
        <v>0.95238095238095233</v>
      </c>
      <c r="AC25" s="1808">
        <f t="shared" si="5"/>
        <v>0.95238095238095233</v>
      </c>
    </row>
    <row r="26" spans="1:29" ht="15">
      <c r="A26" s="428"/>
      <c r="B26" s="1384" t="s">
        <v>2651</v>
      </c>
      <c r="C26" s="2984" t="s">
        <v>4624</v>
      </c>
      <c r="D26" s="435">
        <v>100</v>
      </c>
      <c r="E26" s="2984" t="s">
        <v>4623</v>
      </c>
      <c r="F26" s="461">
        <f>SUMIF(88:88,E26,89:89)-SUMIF(88:88,C26,89:89)+100</f>
        <v>103</v>
      </c>
      <c r="G26" s="2984" t="s">
        <v>4623</v>
      </c>
      <c r="H26" s="435">
        <f>SUMIF(88:88,G26,89:89)-SUMIF(88:88,C26,89:89)+100</f>
        <v>103</v>
      </c>
      <c r="I26" s="2984" t="s">
        <v>4623</v>
      </c>
      <c r="J26" s="435">
        <f>SUMIF(88:88,I26,89:89)-SUMIF(88:88,C26,89:89)+100</f>
        <v>103</v>
      </c>
      <c r="K26" s="613"/>
      <c r="L26" s="1138"/>
      <c r="M26" s="1129"/>
      <c r="N26" s="1129"/>
      <c r="O26" s="1129"/>
      <c r="P26" s="3139"/>
      <c r="Q26" s="1807" t="str">
        <f t="shared" si="11"/>
        <v>平面位置/可视性</v>
      </c>
      <c r="R26" s="774" t="s">
        <v>17</v>
      </c>
      <c r="S26" s="775">
        <f>F26</f>
        <v>103</v>
      </c>
      <c r="T26" s="774" t="s">
        <v>17</v>
      </c>
      <c r="U26" s="775">
        <f>H26</f>
        <v>103</v>
      </c>
      <c r="V26" s="774" t="s">
        <v>17</v>
      </c>
      <c r="W26" s="775">
        <f>J26</f>
        <v>103</v>
      </c>
      <c r="X26" s="1810"/>
      <c r="Y26" s="3132"/>
      <c r="Z26" s="1811" t="str">
        <f>Q26</f>
        <v>平面位置/可视性</v>
      </c>
      <c r="AA26" s="1808">
        <f t="shared" si="3"/>
        <v>0.970873786407767</v>
      </c>
      <c r="AB26" s="1808">
        <f t="shared" si="4"/>
        <v>0.970873786407767</v>
      </c>
      <c r="AC26" s="1808">
        <f t="shared" si="5"/>
        <v>0.970873786407767</v>
      </c>
    </row>
    <row r="27" spans="1:29" s="117" customFormat="1" ht="15">
      <c r="A27" s="431"/>
      <c r="B27" s="451" t="s">
        <v>2652</v>
      </c>
      <c r="C27" s="2663" t="s">
        <v>4584</v>
      </c>
      <c r="D27" s="462">
        <v>100</v>
      </c>
      <c r="E27" s="2985" t="s">
        <v>4654</v>
      </c>
      <c r="F27" s="464">
        <f>SUMIF(90:90,E27,91:91)-SUMIF(90:90,C27,91:91)+100</f>
        <v>100</v>
      </c>
      <c r="G27" s="2985" t="s">
        <v>4654</v>
      </c>
      <c r="H27" s="462">
        <f>SUMIF(90:90,G27,91:91)-SUMIF(90:90,C27,91:91)+100</f>
        <v>100</v>
      </c>
      <c r="I27" s="2985" t="s">
        <v>4654</v>
      </c>
      <c r="J27" s="462">
        <f>SUMIF(90:90,I27,91:91)-SUMIF(90:90,C27,91:91)+100</f>
        <v>100</v>
      </c>
      <c r="K27" s="612">
        <v>5</v>
      </c>
      <c r="L27" s="1130"/>
      <c r="M27" s="1131"/>
      <c r="N27" s="1131"/>
      <c r="O27" s="1131"/>
      <c r="P27" s="3139"/>
      <c r="Q27" s="1792" t="str">
        <f t="shared" si="11"/>
        <v>人流量</v>
      </c>
      <c r="R27" s="770" t="s">
        <v>17</v>
      </c>
      <c r="S27" s="771">
        <f>F27</f>
        <v>100</v>
      </c>
      <c r="T27" s="770" t="s">
        <v>17</v>
      </c>
      <c r="U27" s="771">
        <f>H27</f>
        <v>100</v>
      </c>
      <c r="V27" s="770" t="s">
        <v>17</v>
      </c>
      <c r="W27" s="771">
        <f>J27</f>
        <v>100</v>
      </c>
      <c r="X27" s="772"/>
      <c r="Y27" s="3132"/>
      <c r="Z27" s="55" t="str">
        <f>Q27</f>
        <v>人流量</v>
      </c>
      <c r="AA27" s="1808">
        <f>D27/F27</f>
        <v>1</v>
      </c>
      <c r="AB27" s="1808">
        <f>D27/H27</f>
        <v>1</v>
      </c>
      <c r="AC27" s="1808">
        <f>D27/J27</f>
        <v>1</v>
      </c>
    </row>
    <row r="28" spans="1:29" ht="15.75" thickBot="1">
      <c r="A28" s="428"/>
      <c r="B28" s="422" t="s">
        <v>2653</v>
      </c>
      <c r="C28" s="616" t="s">
        <v>4653</v>
      </c>
      <c r="D28" s="435">
        <v>100</v>
      </c>
      <c r="E28" s="616" t="s">
        <v>4653</v>
      </c>
      <c r="F28" s="461">
        <f>SUMIF(92:92,E28,93:93)-SUMIF(92:92,C28,93:93)+100</f>
        <v>100</v>
      </c>
      <c r="G28" s="616" t="s">
        <v>4653</v>
      </c>
      <c r="H28" s="435">
        <f>SUMIF(92:92,G28,93:93)-SUMIF(92:92,C28,93:93)+100</f>
        <v>100</v>
      </c>
      <c r="I28" s="616" t="s">
        <v>4653</v>
      </c>
      <c r="J28" s="435">
        <f>SUMIF(92:92,I28,93:93)-SUMIF(92:92,C28,93:93)+100</f>
        <v>100</v>
      </c>
      <c r="K28" s="613"/>
      <c r="L28" s="1138"/>
      <c r="M28" s="1129"/>
      <c r="N28" s="1129"/>
      <c r="O28" s="1129"/>
      <c r="P28" s="3139"/>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32"/>
      <c r="Z28" s="1811" t="str">
        <f t="shared" ref="Z28:Z46" si="15">Q28</f>
        <v>楼层</v>
      </c>
      <c r="AA28" s="1808">
        <f t="shared" si="3"/>
        <v>1</v>
      </c>
      <c r="AB28" s="1808">
        <f t="shared" si="4"/>
        <v>1</v>
      </c>
      <c r="AC28" s="1808">
        <f t="shared" si="5"/>
        <v>1</v>
      </c>
    </row>
    <row r="29" spans="1:29" ht="15" hidden="1">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39"/>
      <c r="Q29" s="1807">
        <f t="shared" si="11"/>
        <v>111</v>
      </c>
      <c r="R29" s="774" t="s">
        <v>17</v>
      </c>
      <c r="S29" s="775">
        <f t="shared" si="12"/>
        <v>100</v>
      </c>
      <c r="T29" s="774" t="s">
        <v>17</v>
      </c>
      <c r="U29" s="775">
        <f t="shared" si="13"/>
        <v>100</v>
      </c>
      <c r="V29" s="774" t="s">
        <v>17</v>
      </c>
      <c r="W29" s="775">
        <f t="shared" si="14"/>
        <v>100</v>
      </c>
      <c r="X29" s="1810"/>
      <c r="Y29" s="3132"/>
      <c r="Z29" s="1811">
        <f t="shared" si="15"/>
        <v>111</v>
      </c>
      <c r="AA29" s="1808">
        <f t="shared" si="3"/>
        <v>1</v>
      </c>
      <c r="AB29" s="1808">
        <f t="shared" si="4"/>
        <v>1</v>
      </c>
      <c r="AC29" s="1808">
        <f t="shared" si="5"/>
        <v>1</v>
      </c>
    </row>
    <row r="30" spans="1:29" ht="15" hidden="1">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39"/>
      <c r="Q30" s="1807">
        <f t="shared" si="11"/>
        <v>111</v>
      </c>
      <c r="R30" s="774" t="s">
        <v>17</v>
      </c>
      <c r="S30" s="775">
        <f t="shared" si="12"/>
        <v>100</v>
      </c>
      <c r="T30" s="774" t="s">
        <v>17</v>
      </c>
      <c r="U30" s="775">
        <f t="shared" si="13"/>
        <v>100</v>
      </c>
      <c r="V30" s="774" t="s">
        <v>17</v>
      </c>
      <c r="W30" s="775">
        <f t="shared" si="14"/>
        <v>100</v>
      </c>
      <c r="X30" s="1810"/>
      <c r="Y30" s="3132"/>
      <c r="Z30" s="1811">
        <f t="shared" si="15"/>
        <v>111</v>
      </c>
      <c r="AA30" s="1808">
        <f t="shared" si="3"/>
        <v>1</v>
      </c>
      <c r="AB30" s="1808">
        <f t="shared" si="4"/>
        <v>1</v>
      </c>
      <c r="AC30" s="1808">
        <f t="shared" si="5"/>
        <v>1</v>
      </c>
    </row>
    <row r="31" spans="1:29" ht="15.75" hidden="1"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39"/>
      <c r="Q31" s="1807">
        <f t="shared" si="11"/>
        <v>111</v>
      </c>
      <c r="R31" s="774" t="s">
        <v>17</v>
      </c>
      <c r="S31" s="775">
        <f t="shared" si="12"/>
        <v>100</v>
      </c>
      <c r="T31" s="774" t="s">
        <v>17</v>
      </c>
      <c r="U31" s="775">
        <f t="shared" si="13"/>
        <v>100</v>
      </c>
      <c r="V31" s="774" t="s">
        <v>17</v>
      </c>
      <c r="W31" s="775">
        <f t="shared" si="14"/>
        <v>100</v>
      </c>
      <c r="X31" s="1810"/>
      <c r="Y31" s="3132"/>
      <c r="Z31" s="1811">
        <f t="shared" si="15"/>
        <v>111</v>
      </c>
      <c r="AA31" s="1808">
        <f t="shared" si="3"/>
        <v>1</v>
      </c>
      <c r="AB31" s="1808">
        <f t="shared" si="4"/>
        <v>1</v>
      </c>
      <c r="AC31" s="1808">
        <f t="shared" si="5"/>
        <v>1</v>
      </c>
    </row>
    <row r="32" spans="1:29" ht="15">
      <c r="A32" s="440" t="s">
        <v>2557</v>
      </c>
      <c r="B32" s="71" t="s">
        <v>2654</v>
      </c>
      <c r="C32" s="2615" t="s">
        <v>4633</v>
      </c>
      <c r="D32" s="467">
        <v>100</v>
      </c>
      <c r="E32" s="2615" t="s">
        <v>4631</v>
      </c>
      <c r="F32" s="461">
        <f>SUMIF(100:100,E32,101:101)-SUMIF(100:100,C32,101:101)+100</f>
        <v>97</v>
      </c>
      <c r="G32" s="2615" t="s">
        <v>4631</v>
      </c>
      <c r="H32" s="435">
        <f>SUMIF(100:100,G32,101:101)-SUMIF(100:100,C32,101:101)+100</f>
        <v>97</v>
      </c>
      <c r="I32" s="2615" t="s">
        <v>4631</v>
      </c>
      <c r="J32" s="467">
        <f>SUMIF(100:100,I32,101:101)-SUMIF(100:100,C32,101:101)+100</f>
        <v>97</v>
      </c>
      <c r="K32" s="612">
        <v>-3</v>
      </c>
      <c r="L32" s="1138"/>
      <c r="M32" s="1129"/>
      <c r="N32" s="1129"/>
      <c r="O32" s="1129"/>
      <c r="P32" s="3133" t="s">
        <v>2559</v>
      </c>
      <c r="Q32" s="1807" t="str">
        <f t="shared" si="11"/>
        <v>商业类型</v>
      </c>
      <c r="R32" s="774" t="s">
        <v>17</v>
      </c>
      <c r="S32" s="775">
        <f t="shared" si="12"/>
        <v>97</v>
      </c>
      <c r="T32" s="774" t="s">
        <v>17</v>
      </c>
      <c r="U32" s="775">
        <f t="shared" si="13"/>
        <v>97</v>
      </c>
      <c r="V32" s="774" t="s">
        <v>17</v>
      </c>
      <c r="W32" s="775">
        <f t="shared" si="14"/>
        <v>97</v>
      </c>
      <c r="X32" s="1810"/>
      <c r="Y32" s="3136" t="s">
        <v>2559</v>
      </c>
      <c r="Z32" s="1811" t="str">
        <f t="shared" si="15"/>
        <v>商业类型</v>
      </c>
      <c r="AA32" s="1808">
        <f t="shared" si="3"/>
        <v>1.0309278350515463</v>
      </c>
      <c r="AB32" s="1808">
        <f t="shared" si="4"/>
        <v>1.0309278350515463</v>
      </c>
      <c r="AC32" s="1808">
        <f t="shared" si="5"/>
        <v>1.0309278350515463</v>
      </c>
    </row>
    <row r="33" spans="1:29" s="471" customFormat="1" ht="15">
      <c r="A33" s="468"/>
      <c r="B33" s="422" t="s">
        <v>2560</v>
      </c>
      <c r="C33" s="469">
        <f>'数据-基础表'!K15</f>
        <v>96.71</v>
      </c>
      <c r="D33" s="136">
        <v>100</v>
      </c>
      <c r="E33" s="430">
        <v>79</v>
      </c>
      <c r="F33" s="425">
        <f>LOOKUP(E33,103:103,104:104)-LOOKUP(C33,103:103,104:104)+100</f>
        <v>100</v>
      </c>
      <c r="G33" s="429">
        <v>46</v>
      </c>
      <c r="H33" s="136">
        <f>LOOKUP(G33,103:103,104:104)-LOOKUP(C33,103:103,104:104)+100</f>
        <v>101</v>
      </c>
      <c r="I33" s="429">
        <v>78</v>
      </c>
      <c r="J33" s="136">
        <f>LOOKUP(I33,103:103,104:104)-LOOKUP(C33,103:103,104:104)+100</f>
        <v>100</v>
      </c>
      <c r="K33" s="613"/>
      <c r="L33" s="1136"/>
      <c r="M33" s="1139"/>
      <c r="N33" s="1139"/>
      <c r="O33" s="1139"/>
      <c r="P33" s="3134"/>
      <c r="Q33" s="776" t="str">
        <f t="shared" si="11"/>
        <v>项目建筑规模</v>
      </c>
      <c r="R33" s="777" t="s">
        <v>17</v>
      </c>
      <c r="S33" s="778">
        <f t="shared" si="12"/>
        <v>100</v>
      </c>
      <c r="T33" s="777" t="s">
        <v>17</v>
      </c>
      <c r="U33" s="778">
        <f t="shared" si="13"/>
        <v>101</v>
      </c>
      <c r="V33" s="777" t="s">
        <v>17</v>
      </c>
      <c r="W33" s="778">
        <f t="shared" si="14"/>
        <v>100</v>
      </c>
      <c r="X33" s="779"/>
      <c r="Y33" s="3136"/>
      <c r="Z33" s="780" t="str">
        <f t="shared" si="15"/>
        <v>项目建筑规模</v>
      </c>
      <c r="AA33" s="1808">
        <f t="shared" si="3"/>
        <v>1</v>
      </c>
      <c r="AB33" s="1808">
        <f t="shared" si="4"/>
        <v>0.99009900990099009</v>
      </c>
      <c r="AC33" s="1808">
        <f t="shared" si="5"/>
        <v>1</v>
      </c>
    </row>
    <row r="34" spans="1:29" ht="15">
      <c r="A34" s="472"/>
      <c r="B34" s="422" t="s">
        <v>2561</v>
      </c>
      <c r="C34" s="2617" t="s">
        <v>4605</v>
      </c>
      <c r="D34" s="435">
        <v>100</v>
      </c>
      <c r="E34" s="2617" t="s">
        <v>4605</v>
      </c>
      <c r="F34" s="461">
        <f>SUMIF(105:105,E34,106:106)-SUMIF(105:105,C34,106:106)+100</f>
        <v>100</v>
      </c>
      <c r="G34" s="2617" t="s">
        <v>4605</v>
      </c>
      <c r="H34" s="435">
        <f>SUMIF(105:105,G34,106:106)-SUMIF(105:105,C34,106:106)+100</f>
        <v>100</v>
      </c>
      <c r="I34" s="2617" t="s">
        <v>4605</v>
      </c>
      <c r="J34" s="435">
        <f>SUMIF(105:105,I34,106:106)-SUMIF(105:105,C34,106:106)+100</f>
        <v>100</v>
      </c>
      <c r="K34" s="612">
        <v>1</v>
      </c>
      <c r="L34" s="1138"/>
      <c r="M34" s="1129"/>
      <c r="N34" s="1129"/>
      <c r="O34" s="1129"/>
      <c r="P34" s="3134"/>
      <c r="Q34" s="1807" t="str">
        <f t="shared" si="11"/>
        <v>建筑结构</v>
      </c>
      <c r="R34" s="774" t="s">
        <v>17</v>
      </c>
      <c r="S34" s="775">
        <f t="shared" si="12"/>
        <v>100</v>
      </c>
      <c r="T34" s="774" t="s">
        <v>17</v>
      </c>
      <c r="U34" s="775">
        <f t="shared" si="13"/>
        <v>100</v>
      </c>
      <c r="V34" s="774" t="s">
        <v>17</v>
      </c>
      <c r="W34" s="775">
        <f t="shared" si="14"/>
        <v>100</v>
      </c>
      <c r="X34" s="1810"/>
      <c r="Y34" s="3136"/>
      <c r="Z34" s="1811" t="str">
        <f t="shared" si="15"/>
        <v>建筑结构</v>
      </c>
      <c r="AA34" s="1808">
        <f t="shared" si="3"/>
        <v>1</v>
      </c>
      <c r="AB34" s="1808">
        <f t="shared" si="4"/>
        <v>1</v>
      </c>
      <c r="AC34" s="1808">
        <f t="shared" si="5"/>
        <v>1</v>
      </c>
    </row>
    <row r="35" spans="1:29" ht="15">
      <c r="A35" s="472"/>
      <c r="B35" s="422" t="s">
        <v>2655</v>
      </c>
      <c r="C35" s="2611" t="s">
        <v>4636</v>
      </c>
      <c r="D35" s="435">
        <v>100</v>
      </c>
      <c r="E35" s="2611" t="s">
        <v>4636</v>
      </c>
      <c r="F35" s="461">
        <f>SUMIF(107:107,E35,108:108)-SUMIF(107:107,C35,108:108)+100</f>
        <v>100</v>
      </c>
      <c r="G35" s="2611" t="s">
        <v>4636</v>
      </c>
      <c r="H35" s="435">
        <f>SUMIF(107:107,G35,108:108)-SUMIF(107:107,C35,108:108)+100</f>
        <v>100</v>
      </c>
      <c r="I35" s="2611" t="s">
        <v>4636</v>
      </c>
      <c r="J35" s="435">
        <f>SUMIF(107:107,I35,108:108)-SUMIF(107:107,C35,108:108)+100</f>
        <v>100</v>
      </c>
      <c r="K35" s="612">
        <v>1</v>
      </c>
      <c r="L35" s="1138"/>
      <c r="M35" s="1129"/>
      <c r="N35" s="1129"/>
      <c r="O35" s="1129"/>
      <c r="P35" s="3134"/>
      <c r="Q35" s="1807" t="str">
        <f t="shared" si="11"/>
        <v>公共部分装修</v>
      </c>
      <c r="R35" s="774" t="s">
        <v>17</v>
      </c>
      <c r="S35" s="775">
        <f t="shared" si="12"/>
        <v>100</v>
      </c>
      <c r="T35" s="774" t="s">
        <v>17</v>
      </c>
      <c r="U35" s="775">
        <f t="shared" si="13"/>
        <v>100</v>
      </c>
      <c r="V35" s="774" t="s">
        <v>17</v>
      </c>
      <c r="W35" s="775">
        <f t="shared" si="14"/>
        <v>100</v>
      </c>
      <c r="X35" s="1810"/>
      <c r="Y35" s="3136"/>
      <c r="Z35" s="1811" t="str">
        <f t="shared" si="15"/>
        <v>公共部分装修</v>
      </c>
      <c r="AA35" s="1808">
        <f t="shared" si="3"/>
        <v>1</v>
      </c>
      <c r="AB35" s="1808">
        <f t="shared" si="4"/>
        <v>1</v>
      </c>
      <c r="AC35" s="1808">
        <f t="shared" si="5"/>
        <v>1</v>
      </c>
    </row>
    <row r="36" spans="1:29" ht="15">
      <c r="A36" s="472"/>
      <c r="B36" s="422" t="s">
        <v>2656</v>
      </c>
      <c r="C36" s="2978">
        <f>ROUND(1-(2019-2018)/60,2)</f>
        <v>0.98</v>
      </c>
      <c r="D36" s="435">
        <v>100</v>
      </c>
      <c r="E36" s="2978">
        <f>ROUND(1-(2019-2017)/60,2)</f>
        <v>0.97</v>
      </c>
      <c r="F36" s="461">
        <f>LOOKUP(E36,110:110,111:111)-LOOKUP(C36,110:110,111:111)+100</f>
        <v>100</v>
      </c>
      <c r="G36" s="2978">
        <v>1</v>
      </c>
      <c r="H36" s="461">
        <f>LOOKUP(G36,110:110,111:111)-LOOKUP(C36,110:110,111:111)+100</f>
        <v>100</v>
      </c>
      <c r="I36" s="2978">
        <f>ROUND(1-(2019-2017)/60,2)</f>
        <v>0.97</v>
      </c>
      <c r="J36" s="435">
        <f>LOOKUP(I36,110:110,111:111)-LOOKUP(C36,110:110,111:111)+100</f>
        <v>100</v>
      </c>
      <c r="K36" s="612">
        <v>1</v>
      </c>
      <c r="L36" s="1138"/>
      <c r="M36" s="1129"/>
      <c r="N36" s="1129"/>
      <c r="O36" s="1129"/>
      <c r="P36" s="3134"/>
      <c r="Q36" s="1807" t="str">
        <f t="shared" si="11"/>
        <v>成新度</v>
      </c>
      <c r="R36" s="774" t="s">
        <v>17</v>
      </c>
      <c r="S36" s="775">
        <f t="shared" si="12"/>
        <v>100</v>
      </c>
      <c r="T36" s="774" t="s">
        <v>17</v>
      </c>
      <c r="U36" s="775">
        <f t="shared" si="13"/>
        <v>100</v>
      </c>
      <c r="V36" s="774" t="s">
        <v>17</v>
      </c>
      <c r="W36" s="775">
        <f t="shared" si="14"/>
        <v>100</v>
      </c>
      <c r="X36" s="1810"/>
      <c r="Y36" s="3136"/>
      <c r="Z36" s="1811" t="str">
        <f t="shared" si="15"/>
        <v>成新度</v>
      </c>
      <c r="AA36" s="1808">
        <f t="shared" si="3"/>
        <v>1</v>
      </c>
      <c r="AB36" s="1808">
        <f t="shared" si="4"/>
        <v>1</v>
      </c>
      <c r="AC36" s="1808">
        <f t="shared" si="5"/>
        <v>1</v>
      </c>
    </row>
    <row r="37" spans="1:29" s="117" customFormat="1" ht="15">
      <c r="A37" s="473"/>
      <c r="B37" s="422" t="s">
        <v>2657</v>
      </c>
      <c r="C37" s="2611" t="s">
        <v>4588</v>
      </c>
      <c r="D37" s="136">
        <v>100</v>
      </c>
      <c r="E37" s="2611" t="s">
        <v>4588</v>
      </c>
      <c r="F37" s="461">
        <f>SUMIF(112:112,E37,113:113)-SUMIF(112:112,C37,113:113)+100</f>
        <v>100</v>
      </c>
      <c r="G37" s="2611" t="s">
        <v>4588</v>
      </c>
      <c r="H37" s="435">
        <f>SUMIF(112:112,G37,113:113)-SUMIF(112:112,C37,113:113)+100</f>
        <v>100</v>
      </c>
      <c r="I37" s="2611" t="s">
        <v>4588</v>
      </c>
      <c r="J37" s="435">
        <f>SUMIF(112:112,I37,113:113)-SUMIF(112:112,C37,113:113)+100</f>
        <v>100</v>
      </c>
      <c r="K37" s="612">
        <v>1</v>
      </c>
      <c r="L37" s="1130"/>
      <c r="M37" s="1131"/>
      <c r="N37" s="1131"/>
      <c r="O37" s="1131"/>
      <c r="P37" s="3134"/>
      <c r="Q37" s="1792" t="str">
        <f t="shared" si="11"/>
        <v>市政基础设施</v>
      </c>
      <c r="R37" s="770" t="s">
        <v>17</v>
      </c>
      <c r="S37" s="771">
        <f t="shared" si="12"/>
        <v>100</v>
      </c>
      <c r="T37" s="770" t="s">
        <v>17</v>
      </c>
      <c r="U37" s="771">
        <f t="shared" si="13"/>
        <v>100</v>
      </c>
      <c r="V37" s="770" t="s">
        <v>17</v>
      </c>
      <c r="W37" s="771">
        <f t="shared" si="14"/>
        <v>100</v>
      </c>
      <c r="X37" s="772"/>
      <c r="Y37" s="3136"/>
      <c r="Z37" s="55" t="str">
        <f t="shared" si="15"/>
        <v>市政基础设施</v>
      </c>
      <c r="AA37" s="773">
        <f t="shared" si="3"/>
        <v>1</v>
      </c>
      <c r="AB37" s="773">
        <f t="shared" si="4"/>
        <v>1</v>
      </c>
      <c r="AC37" s="773">
        <f t="shared" si="5"/>
        <v>1</v>
      </c>
    </row>
    <row r="38" spans="1:29" ht="15">
      <c r="A38" s="472"/>
      <c r="B38" s="422" t="s">
        <v>2658</v>
      </c>
      <c r="C38" s="2611" t="s">
        <v>4640</v>
      </c>
      <c r="D38" s="435">
        <v>100</v>
      </c>
      <c r="E38" s="2611" t="s">
        <v>4642</v>
      </c>
      <c r="F38" s="461">
        <f>SUMIF(114:114,E38,115:115)-SUMIF(114:114,C38,115:115)+100</f>
        <v>95</v>
      </c>
      <c r="G38" s="2611" t="s">
        <v>4640</v>
      </c>
      <c r="H38" s="435">
        <f>SUMIF(114:114,G38,115:115)-SUMIF(114:114,C38,115:115)+100</f>
        <v>100</v>
      </c>
      <c r="I38" s="2611" t="s">
        <v>4640</v>
      </c>
      <c r="J38" s="435">
        <f>SUMIF(114:114,I38,115:115)-SUMIF(114:114,C38,115:115)+100</f>
        <v>100</v>
      </c>
      <c r="K38" s="612">
        <v>5</v>
      </c>
      <c r="L38" s="1138"/>
      <c r="M38" s="1129"/>
      <c r="N38" s="1129"/>
      <c r="O38" s="1129"/>
      <c r="P38" s="3134" t="s">
        <v>2559</v>
      </c>
      <c r="Q38" s="1807" t="str">
        <f t="shared" si="11"/>
        <v>业态</v>
      </c>
      <c r="R38" s="774" t="s">
        <v>17</v>
      </c>
      <c r="S38" s="775">
        <f t="shared" si="12"/>
        <v>95</v>
      </c>
      <c r="T38" s="774" t="s">
        <v>17</v>
      </c>
      <c r="U38" s="775">
        <f t="shared" si="13"/>
        <v>100</v>
      </c>
      <c r="V38" s="774" t="s">
        <v>17</v>
      </c>
      <c r="W38" s="775">
        <f t="shared" si="14"/>
        <v>100</v>
      </c>
      <c r="X38" s="1810"/>
      <c r="Y38" s="3136" t="s">
        <v>2559</v>
      </c>
      <c r="Z38" s="1811" t="str">
        <f t="shared" si="15"/>
        <v>业态</v>
      </c>
      <c r="AA38" s="1808">
        <f t="shared" si="3"/>
        <v>1.0526315789473684</v>
      </c>
      <c r="AB38" s="1808">
        <f t="shared" si="4"/>
        <v>1</v>
      </c>
      <c r="AC38" s="1808">
        <f t="shared" si="5"/>
        <v>1</v>
      </c>
    </row>
    <row r="39" spans="1:29" ht="15">
      <c r="A39" s="472"/>
      <c r="B39" s="422" t="s">
        <v>2659</v>
      </c>
      <c r="C39" s="2611" t="s">
        <v>4646</v>
      </c>
      <c r="D39" s="435">
        <v>100</v>
      </c>
      <c r="E39" s="2611" t="s">
        <v>4644</v>
      </c>
      <c r="F39" s="461">
        <f>SUMIF(116:116,E39,117:117)-SUMIF(116:116,C39,117:117)+100</f>
        <v>95</v>
      </c>
      <c r="G39" s="2611" t="s">
        <v>4644</v>
      </c>
      <c r="H39" s="435">
        <f>SUMIF(116:116,G39,117:117)-SUMIF(116:116,C39,117:117)+100</f>
        <v>95</v>
      </c>
      <c r="I39" s="2611" t="s">
        <v>4644</v>
      </c>
      <c r="J39" s="435">
        <f>SUMIF(116:116,I39,117:117)-SUMIF(116:116,C39,117:117)+100</f>
        <v>95</v>
      </c>
      <c r="K39" s="612">
        <v>-5</v>
      </c>
      <c r="L39" s="1138"/>
      <c r="M39" s="1129"/>
      <c r="N39" s="1129"/>
      <c r="O39" s="1129"/>
      <c r="P39" s="3134"/>
      <c r="Q39" s="1807" t="str">
        <f t="shared" si="11"/>
        <v>层高</v>
      </c>
      <c r="R39" s="774" t="s">
        <v>17</v>
      </c>
      <c r="S39" s="775">
        <f t="shared" si="12"/>
        <v>95</v>
      </c>
      <c r="T39" s="774" t="s">
        <v>17</v>
      </c>
      <c r="U39" s="775">
        <f t="shared" si="13"/>
        <v>95</v>
      </c>
      <c r="V39" s="774" t="s">
        <v>17</v>
      </c>
      <c r="W39" s="775">
        <f t="shared" si="14"/>
        <v>95</v>
      </c>
      <c r="X39" s="1810"/>
      <c r="Y39" s="3136"/>
      <c r="Z39" s="1811" t="str">
        <f t="shared" si="15"/>
        <v>层高</v>
      </c>
      <c r="AA39" s="1808">
        <f t="shared" si="3"/>
        <v>1.0526315789473684</v>
      </c>
      <c r="AB39" s="1808">
        <f t="shared" si="4"/>
        <v>1.0526315789473684</v>
      </c>
      <c r="AC39" s="1808">
        <f t="shared" si="5"/>
        <v>1.0526315789473684</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34"/>
      <c r="Q40" s="1807" t="str">
        <f t="shared" si="11"/>
        <v>单套建筑面积</v>
      </c>
      <c r="R40" s="774" t="s">
        <v>17</v>
      </c>
      <c r="S40" s="775">
        <f t="shared" si="12"/>
        <v>100</v>
      </c>
      <c r="T40" s="774" t="s">
        <v>17</v>
      </c>
      <c r="U40" s="775">
        <f t="shared" si="13"/>
        <v>100</v>
      </c>
      <c r="V40" s="774" t="s">
        <v>17</v>
      </c>
      <c r="W40" s="775">
        <f t="shared" si="14"/>
        <v>100</v>
      </c>
      <c r="X40" s="1810"/>
      <c r="Y40" s="3136"/>
      <c r="Z40" s="1811" t="str">
        <f t="shared" si="15"/>
        <v>单套建筑面积</v>
      </c>
      <c r="AA40" s="1808">
        <f t="shared" si="3"/>
        <v>1</v>
      </c>
      <c r="AB40" s="1808">
        <f t="shared" si="4"/>
        <v>1</v>
      </c>
      <c r="AC40" s="1808">
        <f t="shared" si="5"/>
        <v>1</v>
      </c>
    </row>
    <row r="41" spans="1:29" s="471" customFormat="1" ht="15">
      <c r="A41" s="468"/>
      <c r="B41" s="1809"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34"/>
      <c r="Q41" s="776" t="str">
        <f t="shared" si="11"/>
        <v>进深比</v>
      </c>
      <c r="R41" s="777" t="s">
        <v>17</v>
      </c>
      <c r="S41" s="778">
        <f t="shared" si="12"/>
        <v>100</v>
      </c>
      <c r="T41" s="777" t="s">
        <v>17</v>
      </c>
      <c r="U41" s="778">
        <f t="shared" si="13"/>
        <v>100</v>
      </c>
      <c r="V41" s="777" t="s">
        <v>17</v>
      </c>
      <c r="W41" s="778">
        <f t="shared" si="14"/>
        <v>100</v>
      </c>
      <c r="X41" s="779"/>
      <c r="Y41" s="3136"/>
      <c r="Z41" s="780" t="str">
        <f t="shared" si="15"/>
        <v>进深比</v>
      </c>
      <c r="AA41" s="1808">
        <f t="shared" si="3"/>
        <v>1</v>
      </c>
      <c r="AB41" s="1808">
        <f t="shared" si="4"/>
        <v>1</v>
      </c>
      <c r="AC41" s="1808">
        <f t="shared" si="5"/>
        <v>1</v>
      </c>
    </row>
    <row r="42" spans="1:29" ht="15">
      <c r="A42" s="472"/>
      <c r="B42" s="422" t="s">
        <v>2662</v>
      </c>
      <c r="C42" s="2611" t="s">
        <v>3185</v>
      </c>
      <c r="D42" s="435">
        <v>100</v>
      </c>
      <c r="E42" s="2611" t="s">
        <v>3185</v>
      </c>
      <c r="F42" s="461">
        <f>SUMIF(122:122,E42,123:123)-SUMIF(122:122,C42,123:123)+100</f>
        <v>100</v>
      </c>
      <c r="G42" s="2611" t="s">
        <v>3185</v>
      </c>
      <c r="H42" s="435">
        <f>SUMIF(122:122,G42,123:123)-SUMIF(122:122,C42,123:123)+100</f>
        <v>100</v>
      </c>
      <c r="I42" s="2611" t="s">
        <v>3185</v>
      </c>
      <c r="J42" s="435">
        <f>SUMIF(122:122,I42,123:123)-SUMIF(122:122,C42,123:123)+100</f>
        <v>100</v>
      </c>
      <c r="K42" s="612">
        <v>1.5</v>
      </c>
      <c r="L42" s="1138"/>
      <c r="M42" s="1129"/>
      <c r="N42" s="1129"/>
      <c r="O42" s="1129"/>
      <c r="P42" s="3134"/>
      <c r="Q42" s="1807" t="str">
        <f t="shared" si="11"/>
        <v>内部装修</v>
      </c>
      <c r="R42" s="774" t="s">
        <v>17</v>
      </c>
      <c r="S42" s="775">
        <f t="shared" si="12"/>
        <v>100</v>
      </c>
      <c r="T42" s="774" t="s">
        <v>17</v>
      </c>
      <c r="U42" s="775">
        <f t="shared" si="13"/>
        <v>100</v>
      </c>
      <c r="V42" s="774" t="s">
        <v>17</v>
      </c>
      <c r="W42" s="775">
        <f t="shared" si="14"/>
        <v>100</v>
      </c>
      <c r="X42" s="1810"/>
      <c r="Y42" s="3136"/>
      <c r="Z42" s="1811" t="str">
        <f t="shared" si="15"/>
        <v>内部装修</v>
      </c>
      <c r="AA42" s="1808">
        <f t="shared" si="3"/>
        <v>1</v>
      </c>
      <c r="AB42" s="1808">
        <f t="shared" si="4"/>
        <v>1</v>
      </c>
      <c r="AC42" s="1808">
        <f t="shared" si="5"/>
        <v>1</v>
      </c>
    </row>
    <row r="43" spans="1:29" ht="15">
      <c r="A43" s="472"/>
      <c r="B43" s="422" t="s">
        <v>2570</v>
      </c>
      <c r="C43" s="2611" t="s">
        <v>4589</v>
      </c>
      <c r="D43" s="435">
        <v>100</v>
      </c>
      <c r="E43" s="2611" t="s">
        <v>4589</v>
      </c>
      <c r="F43" s="461">
        <f>SUMIF(124:124,E43,125:125)-SUMIF(124:124,C43,125:125)+100</f>
        <v>100</v>
      </c>
      <c r="G43" s="2611" t="s">
        <v>4589</v>
      </c>
      <c r="H43" s="435">
        <f>SUMIF(124:124,G43,125:125)-SUMIF(124:124,C43,125:125)+100</f>
        <v>100</v>
      </c>
      <c r="I43" s="2611" t="s">
        <v>4589</v>
      </c>
      <c r="J43" s="435">
        <f>SUMIF(124:124,I43,125:125)-SUMIF(124:124,C43,125:125)+100</f>
        <v>100</v>
      </c>
      <c r="K43" s="612">
        <v>1</v>
      </c>
      <c r="L43" s="1138"/>
      <c r="M43" s="1129"/>
      <c r="N43" s="1129"/>
      <c r="O43" s="1129"/>
      <c r="P43" s="3134"/>
      <c r="Q43" s="1807" t="str">
        <f t="shared" si="11"/>
        <v>内部装修维护情况</v>
      </c>
      <c r="R43" s="774" t="s">
        <v>17</v>
      </c>
      <c r="S43" s="775">
        <f t="shared" si="12"/>
        <v>100</v>
      </c>
      <c r="T43" s="774" t="s">
        <v>17</v>
      </c>
      <c r="U43" s="775">
        <f t="shared" si="13"/>
        <v>100</v>
      </c>
      <c r="V43" s="774" t="s">
        <v>17</v>
      </c>
      <c r="W43" s="775">
        <f t="shared" si="14"/>
        <v>100</v>
      </c>
      <c r="X43" s="1810"/>
      <c r="Y43" s="3136"/>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34"/>
      <c r="Q44" s="1792">
        <f t="shared" si="11"/>
        <v>111</v>
      </c>
      <c r="R44" s="770" t="s">
        <v>17</v>
      </c>
      <c r="S44" s="771">
        <f t="shared" si="12"/>
        <v>100</v>
      </c>
      <c r="T44" s="770" t="s">
        <v>17</v>
      </c>
      <c r="U44" s="771">
        <f t="shared" si="13"/>
        <v>100</v>
      </c>
      <c r="V44" s="770" t="s">
        <v>17</v>
      </c>
      <c r="W44" s="771">
        <f t="shared" si="14"/>
        <v>100</v>
      </c>
      <c r="X44" s="772"/>
      <c r="Y44" s="3136"/>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34"/>
      <c r="Q45" s="1807">
        <f t="shared" si="11"/>
        <v>111</v>
      </c>
      <c r="R45" s="774" t="s">
        <v>17</v>
      </c>
      <c r="S45" s="775">
        <f t="shared" si="12"/>
        <v>100</v>
      </c>
      <c r="T45" s="774" t="s">
        <v>17</v>
      </c>
      <c r="U45" s="775">
        <f t="shared" si="13"/>
        <v>100</v>
      </c>
      <c r="V45" s="774" t="s">
        <v>17</v>
      </c>
      <c r="W45" s="775">
        <f t="shared" si="14"/>
        <v>100</v>
      </c>
      <c r="X45" s="1810"/>
      <c r="Y45" s="3136"/>
      <c r="Z45" s="1811">
        <f t="shared" si="15"/>
        <v>111</v>
      </c>
      <c r="AA45" s="1808">
        <f t="shared" si="3"/>
        <v>1</v>
      </c>
      <c r="AB45" s="1808">
        <f t="shared" si="4"/>
        <v>1</v>
      </c>
      <c r="AC45" s="1808">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35"/>
      <c r="Q46" s="1807">
        <f t="shared" si="11"/>
        <v>111</v>
      </c>
      <c r="R46" s="774" t="s">
        <v>17</v>
      </c>
      <c r="S46" s="775">
        <f t="shared" si="12"/>
        <v>100</v>
      </c>
      <c r="T46" s="774" t="s">
        <v>17</v>
      </c>
      <c r="U46" s="775">
        <f t="shared" si="13"/>
        <v>100</v>
      </c>
      <c r="V46" s="774" t="s">
        <v>17</v>
      </c>
      <c r="W46" s="775">
        <f t="shared" si="14"/>
        <v>100</v>
      </c>
      <c r="X46" s="1810"/>
      <c r="Y46" s="3137"/>
      <c r="Z46" s="1811">
        <f t="shared" si="15"/>
        <v>111</v>
      </c>
      <c r="AA46" s="1808">
        <f t="shared" si="3"/>
        <v>1</v>
      </c>
      <c r="AB46" s="1808">
        <f t="shared" si="4"/>
        <v>1</v>
      </c>
      <c r="AC46" s="1808">
        <f t="shared" si="5"/>
        <v>1</v>
      </c>
    </row>
    <row r="47" spans="1:29" ht="15">
      <c r="A47" s="479" t="s">
        <v>2571</v>
      </c>
      <c r="B47" s="480"/>
      <c r="C47" s="1405" t="s">
        <v>1</v>
      </c>
      <c r="D47" s="1406"/>
      <c r="E47" s="1407">
        <f>ROUND(39820*C50*0.6,0)</f>
        <v>23892</v>
      </c>
      <c r="F47" s="1408"/>
      <c r="G47" s="1409">
        <f>ROUND(43709*C50*0.6,0)</f>
        <v>26225</v>
      </c>
      <c r="H47" s="1410"/>
      <c r="I47" s="1407">
        <f>ROUND(46170*C50*0.6,0)</f>
        <v>27702</v>
      </c>
      <c r="J47" s="1410"/>
      <c r="K47" s="783"/>
      <c r="L47" s="1141"/>
      <c r="M47" s="1142"/>
      <c r="N47" s="1129"/>
      <c r="O47" s="1142"/>
      <c r="P47" s="3129" t="str">
        <f>A47</f>
        <v>成交单价（元/平方米）</v>
      </c>
      <c r="Q47" s="3129"/>
      <c r="R47" s="3160">
        <f>E47</f>
        <v>23892</v>
      </c>
      <c r="S47" s="3160"/>
      <c r="T47" s="3160">
        <f>G47</f>
        <v>26225</v>
      </c>
      <c r="U47" s="3160"/>
      <c r="V47" s="3160">
        <f>I47</f>
        <v>27702</v>
      </c>
      <c r="W47" s="3160"/>
      <c r="X47" s="759"/>
      <c r="Y47" s="781"/>
      <c r="Z47" s="759"/>
      <c r="AA47" s="759"/>
      <c r="AB47" s="759"/>
      <c r="AC47" s="759"/>
    </row>
    <row r="48" spans="1:29" ht="15.75" thickBot="1">
      <c r="A48" s="486" t="s">
        <v>2663</v>
      </c>
      <c r="B48" s="487"/>
      <c r="C48" s="1411">
        <f>R49</f>
        <v>26722</v>
      </c>
      <c r="D48" s="1412"/>
      <c r="E48" s="1413">
        <f>R48</f>
        <v>25750</v>
      </c>
      <c r="F48" s="1413"/>
      <c r="G48" s="1411">
        <f>T48</f>
        <v>26054</v>
      </c>
      <c r="H48" s="1412"/>
      <c r="I48" s="1413">
        <f>V48</f>
        <v>28361</v>
      </c>
      <c r="J48" s="1412"/>
      <c r="K48" s="784"/>
      <c r="L48" s="1141"/>
      <c r="M48" s="1142"/>
      <c r="N48" s="1129"/>
      <c r="O48" s="1142"/>
      <c r="P48" s="3129" t="str">
        <f>A48</f>
        <v>比较价值（元/平方米）</v>
      </c>
      <c r="Q48" s="3129"/>
      <c r="R48" s="3130">
        <f>IF(F1="售价",ROUND(PRODUCT(R47,AA7:AA46),0),ROUND(PRODUCT(R47,AA7:AA46),1))</f>
        <v>25750</v>
      </c>
      <c r="S48" s="3130"/>
      <c r="T48" s="3130">
        <f>IF(F1="售价",ROUND(PRODUCT(T47,AB7:AB46),0),ROUND(PRODUCT(T47,AB7:AB46),1))</f>
        <v>26054</v>
      </c>
      <c r="U48" s="3130"/>
      <c r="V48" s="3130">
        <f>IF(F1="售价",ROUND(PRODUCT(V47,AC7:AC46),0),ROUND(PRODUCT(V47,AC7:AC46),1))</f>
        <v>28361</v>
      </c>
      <c r="W48" s="3130"/>
      <c r="X48" s="759"/>
      <c r="Y48" s="759"/>
      <c r="Z48" s="759"/>
      <c r="AA48" s="759"/>
      <c r="AB48" s="759"/>
      <c r="AC48" s="759"/>
    </row>
    <row r="49" spans="1:29" ht="15.75" thickBot="1">
      <c r="A49" s="492" t="s">
        <v>2664</v>
      </c>
      <c r="B49" s="493"/>
      <c r="C49" s="1415">
        <f>R49</f>
        <v>26722</v>
      </c>
      <c r="D49" s="1415"/>
      <c r="E49" s="1415"/>
      <c r="F49" s="1415"/>
      <c r="G49" s="1415"/>
      <c r="H49" s="1415"/>
      <c r="I49" s="1415"/>
      <c r="J49" s="1415"/>
      <c r="K49" s="785"/>
      <c r="L49" s="1141"/>
      <c r="M49" s="1142"/>
      <c r="N49" s="1129"/>
      <c r="O49" s="1142"/>
      <c r="P49" s="3126" t="str">
        <f>A49</f>
        <v>估价对象XX用房的比较价值（楼面单价，元/平方米）</v>
      </c>
      <c r="Q49" s="3127"/>
      <c r="R49" s="3128">
        <f>IF(F1="售价",ROUND(AVERAGE(R48:V48),0),ROUND(AVERAGE(R48:V48),1))</f>
        <v>26722</v>
      </c>
      <c r="S49" s="3128"/>
      <c r="T49" s="3128"/>
      <c r="U49" s="3128"/>
      <c r="V49" s="3128"/>
      <c r="W49" s="3128"/>
      <c r="X49" s="759"/>
      <c r="Y49" s="759"/>
      <c r="Z49" s="759"/>
      <c r="AA49" s="759"/>
      <c r="AB49" s="759"/>
      <c r="AC49" s="759"/>
    </row>
    <row r="50" spans="1:29">
      <c r="A50" s="1142"/>
      <c r="B50" s="1142"/>
      <c r="C50" s="1142">
        <v>1</v>
      </c>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2665</v>
      </c>
      <c r="D52" s="498"/>
      <c r="E52" s="499">
        <f>IF(E47&lt;E48,E48/E47-1,E47/E48-1)</f>
        <v>7.7766616440649639E-2</v>
      </c>
      <c r="F52" s="500" t="str">
        <f>IF(OR(E52&gt;=0.3,E52&lt;=-0.3),"超过30%","")</f>
        <v/>
      </c>
      <c r="G52" s="499">
        <f>IF(G47&lt;G48,G48/G47-1,G47/G48-1)</f>
        <v>6.5632916250863982E-3</v>
      </c>
      <c r="H52" s="500" t="str">
        <f>IF(OR(G52&gt;=0.3,G52&lt;=-0.3),"超过30%","")</f>
        <v/>
      </c>
      <c r="I52" s="499">
        <f>IF(I47&lt;I48,I48/I47-1,I47/I48-1)</f>
        <v>2.3788896108584145E-2</v>
      </c>
      <c r="J52" s="500" t="str">
        <f>IF(OR(I52&gt;=0.3,I52&lt;=-0.3),"超过30%","")</f>
        <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2666</v>
      </c>
      <c r="D53" s="501"/>
      <c r="E53" s="499">
        <f>IF(E48&lt;G48,G48/E48-1,E48/G48-1)</f>
        <v>1.1805825242718448E-2</v>
      </c>
      <c r="F53" s="500" t="str">
        <f>IF(OR(E53&gt;=0.2,E53&lt;=-0.2),"超过20%","")</f>
        <v/>
      </c>
      <c r="G53" s="499">
        <f>IF(G48&lt;I48,I48/G48-1,G48/I48-1)</f>
        <v>8.8546864205112374E-2</v>
      </c>
      <c r="H53" s="500" t="str">
        <f>IF(OR(G53&gt;=0.2,G53&lt;=-0.2),"超过20%","")</f>
        <v/>
      </c>
      <c r="I53" s="499">
        <f>IF(I48&lt;E48,E48/I48-1,I48/E48-1)</f>
        <v>0.1013980582524272</v>
      </c>
      <c r="J53" s="500" t="str">
        <f>IF(OR(I53&gt;=0.2,I53&lt;=-0.2),"超过20%","")</f>
        <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2667</v>
      </c>
      <c r="D54" s="501"/>
      <c r="E54" s="499">
        <f>IF(E47&lt;G47,G47/E47-1,E47/G47-1)</f>
        <v>9.7647748200234474E-2</v>
      </c>
      <c r="F54" s="500" t="str">
        <f>IF(OR(E54&gt;=0.3,E54&lt;=-0.3),"超过30%","")</f>
        <v/>
      </c>
      <c r="G54" s="499">
        <f>IF(G47&lt;I47,I47/G47-1,G47/I47-1)</f>
        <v>5.6320305052430797E-2</v>
      </c>
      <c r="H54" s="500" t="str">
        <f>IF(OR(G54&gt;=0.3,G54&lt;=-0.3),"超过30%","")</f>
        <v/>
      </c>
      <c r="I54" s="499">
        <f>IF(I47&lt;E47,E47/I47-1,I47/E47-1)</f>
        <v>0.15946760421898554</v>
      </c>
      <c r="J54" s="500" t="str">
        <f>IF(OR(I54&gt;=0.3,I54&lt;=-0.3),"超过30%","")</f>
        <v/>
      </c>
      <c r="K54" s="1146"/>
      <c r="L54" s="1147"/>
      <c r="M54" s="1143"/>
      <c r="N54" s="1143"/>
      <c r="O54" s="1143"/>
      <c r="P54" s="2664"/>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4"/>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59"/>
      <c r="M57" s="1157"/>
      <c r="N57" s="1157"/>
      <c r="O57" s="1157"/>
      <c r="P57" s="2665"/>
      <c r="Q57" s="2666"/>
      <c r="R57" s="759"/>
      <c r="S57" s="759"/>
      <c r="T57" s="759"/>
      <c r="U57" s="759"/>
      <c r="V57" s="759"/>
      <c r="W57" s="759"/>
      <c r="X57" s="759"/>
      <c r="Y57" s="759"/>
      <c r="Z57" s="759"/>
      <c r="AA57" s="759"/>
      <c r="AB57" s="759"/>
      <c r="AC57" s="759"/>
    </row>
    <row r="58" spans="1:29" s="508" customFormat="1" ht="15">
      <c r="A58" s="505" t="s">
        <v>2542</v>
      </c>
      <c r="B58" s="506"/>
      <c r="C58" s="1572" t="str">
        <f>YEAR(C7)&amp;"-"&amp;MONTH(C7)</f>
        <v>2019-1</v>
      </c>
      <c r="D58" s="1573">
        <f>EDATE(C58,-1)</f>
        <v>43435</v>
      </c>
      <c r="E58" s="1573">
        <f t="shared" ref="E58:N58" si="16">EDATE(D58,-1)</f>
        <v>43405</v>
      </c>
      <c r="F58" s="1573">
        <f t="shared" si="16"/>
        <v>43374</v>
      </c>
      <c r="G58" s="1573">
        <f t="shared" si="16"/>
        <v>43344</v>
      </c>
      <c r="H58" s="1573">
        <f t="shared" si="16"/>
        <v>43313</v>
      </c>
      <c r="I58" s="1573">
        <f t="shared" si="16"/>
        <v>43282</v>
      </c>
      <c r="J58" s="1573">
        <f t="shared" si="16"/>
        <v>43252</v>
      </c>
      <c r="K58" s="1573">
        <f t="shared" si="16"/>
        <v>43221</v>
      </c>
      <c r="L58" s="1573">
        <f t="shared" si="16"/>
        <v>43191</v>
      </c>
      <c r="M58" s="1573">
        <f t="shared" si="16"/>
        <v>43160</v>
      </c>
      <c r="N58" s="1573">
        <f t="shared" si="16"/>
        <v>43132</v>
      </c>
      <c r="O58" s="1573">
        <f>EDATE(N58,-1)</f>
        <v>43101</v>
      </c>
      <c r="P58" s="1568"/>
    </row>
    <row r="59" spans="1:29" s="117" customFormat="1" ht="15">
      <c r="A59" s="509"/>
      <c r="B59" s="510"/>
      <c r="C59" s="1571">
        <v>100</v>
      </c>
      <c r="D59" s="512">
        <v>100</v>
      </c>
      <c r="E59" s="512">
        <v>100</v>
      </c>
      <c r="F59" s="512">
        <v>100</v>
      </c>
      <c r="G59" s="512">
        <v>99</v>
      </c>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2544</v>
      </c>
      <c r="B61" s="510"/>
      <c r="C61" s="522" t="s">
        <v>2646</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2582</v>
      </c>
      <c r="B63" s="528" t="s">
        <v>2548</v>
      </c>
      <c r="C63" s="529" t="str">
        <f>C9</f>
        <v>商业</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1"/>
      <c r="O66" s="1151"/>
      <c r="P66" s="2628"/>
      <c r="Q66" s="504"/>
    </row>
    <row r="67" spans="1:17" ht="15.75" thickTop="1">
      <c r="A67" s="534"/>
      <c r="B67" s="546" t="s">
        <v>2552</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8"/>
      <c r="Q67" s="504"/>
    </row>
    <row r="68" spans="1:17" ht="15">
      <c r="A68" s="534"/>
      <c r="B68" s="548"/>
      <c r="C68" s="549">
        <v>0</v>
      </c>
      <c r="D68" s="549">
        <v>1</v>
      </c>
      <c r="E68" s="549"/>
      <c r="F68" s="549"/>
      <c r="G68" s="549"/>
      <c r="H68" s="549"/>
      <c r="I68" s="549"/>
      <c r="J68" s="549"/>
      <c r="K68" s="550"/>
      <c r="L68" s="551"/>
      <c r="M68" s="552"/>
      <c r="N68" s="1150"/>
      <c r="O68" s="1150"/>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8"/>
      <c r="Q69" s="504"/>
    </row>
    <row r="70" spans="1:17" s="471" customFormat="1" ht="15.75" thickTop="1">
      <c r="A70" s="553"/>
      <c r="B70" s="538">
        <f>B12</f>
        <v>111</v>
      </c>
      <c r="C70" s="554"/>
      <c r="D70" s="554"/>
      <c r="E70" s="554"/>
      <c r="F70" s="554"/>
      <c r="G70" s="554"/>
      <c r="H70" s="555"/>
      <c r="I70" s="555"/>
      <c r="J70" s="555"/>
      <c r="K70" s="555"/>
      <c r="L70" s="556"/>
      <c r="M70" s="557"/>
      <c r="N70" s="1152"/>
      <c r="O70" s="1152"/>
      <c r="P70" s="2629"/>
      <c r="Q70" s="559"/>
    </row>
    <row r="71" spans="1:17" s="471" customFormat="1" ht="15.75" thickBot="1">
      <c r="A71" s="553"/>
      <c r="B71" s="543"/>
      <c r="C71" s="560"/>
      <c r="D71" s="536"/>
      <c r="E71" s="536"/>
      <c r="F71" s="536"/>
      <c r="G71" s="536"/>
      <c r="H71" s="536"/>
      <c r="I71" s="536"/>
      <c r="J71" s="536"/>
      <c r="K71" s="536"/>
      <c r="L71" s="536"/>
      <c r="M71" s="537"/>
      <c r="N71" s="1151"/>
      <c r="O71" s="1151"/>
      <c r="P71" s="2629"/>
      <c r="Q71" s="559"/>
    </row>
    <row r="72" spans="1:17" s="471" customFormat="1" ht="15.75" thickTop="1">
      <c r="A72" s="553"/>
      <c r="B72" s="538">
        <f>B13</f>
        <v>111</v>
      </c>
      <c r="C72" s="554"/>
      <c r="D72" s="554"/>
      <c r="E72" s="554"/>
      <c r="F72" s="554"/>
      <c r="G72" s="554"/>
      <c r="H72" s="555"/>
      <c r="I72" s="555"/>
      <c r="J72" s="555"/>
      <c r="K72" s="555"/>
      <c r="L72" s="556"/>
      <c r="M72" s="557"/>
      <c r="N72" s="1152"/>
      <c r="O72" s="1152"/>
      <c r="P72" s="2630"/>
      <c r="Q72" s="561"/>
    </row>
    <row r="73" spans="1:17" s="471" customFormat="1" ht="15.75" thickBot="1">
      <c r="A73" s="553"/>
      <c r="B73" s="543"/>
      <c r="C73" s="560"/>
      <c r="D73" s="536"/>
      <c r="E73" s="536"/>
      <c r="F73" s="536"/>
      <c r="G73" s="560"/>
      <c r="H73" s="562"/>
      <c r="I73" s="562"/>
      <c r="J73" s="562"/>
      <c r="K73" s="562"/>
      <c r="L73" s="562"/>
      <c r="M73" s="563"/>
      <c r="N73" s="1152"/>
      <c r="O73" s="1152"/>
      <c r="P73" s="2629"/>
      <c r="Q73" s="559"/>
    </row>
    <row r="74" spans="1:17" s="471" customFormat="1" ht="15.75" thickTop="1">
      <c r="A74" s="553"/>
      <c r="B74" s="546">
        <f>B14</f>
        <v>111</v>
      </c>
      <c r="C74" s="554"/>
      <c r="D74" s="554"/>
      <c r="E74" s="554"/>
      <c r="F74" s="554"/>
      <c r="G74" s="523"/>
      <c r="H74" s="564"/>
      <c r="I74" s="564"/>
      <c r="J74" s="564"/>
      <c r="K74" s="564"/>
      <c r="L74" s="565"/>
      <c r="M74" s="566"/>
      <c r="N74" s="1152"/>
      <c r="O74" s="1152"/>
      <c r="P74" s="2631"/>
      <c r="Q74" s="559"/>
    </row>
    <row r="75" spans="1:17" s="471" customFormat="1" ht="15.75" thickBot="1">
      <c r="A75" s="568"/>
      <c r="B75" s="569"/>
      <c r="C75" s="570"/>
      <c r="D75" s="570"/>
      <c r="E75" s="570"/>
      <c r="F75" s="570"/>
      <c r="G75" s="570"/>
      <c r="H75" s="571"/>
      <c r="I75" s="571"/>
      <c r="J75" s="571"/>
      <c r="K75" s="571"/>
      <c r="L75" s="571"/>
      <c r="M75" s="572"/>
      <c r="N75" s="1152"/>
      <c r="O75" s="1152"/>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1"/>
      <c r="O77" s="1151"/>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8"/>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1"/>
      <c r="O81" s="1151"/>
      <c r="P81" s="2628"/>
      <c r="Q81" s="504"/>
    </row>
    <row r="82" spans="1:17" ht="15.75" thickTop="1">
      <c r="A82" s="534"/>
      <c r="B82" s="546" t="s">
        <v>2649</v>
      </c>
      <c r="C82" s="660" t="s">
        <v>2669</v>
      </c>
      <c r="D82" s="660" t="s">
        <v>2670</v>
      </c>
      <c r="E82" s="660" t="s">
        <v>2671</v>
      </c>
      <c r="F82" s="660" t="s">
        <v>2672</v>
      </c>
      <c r="G82" s="660" t="s">
        <v>2673</v>
      </c>
      <c r="H82" s="539"/>
      <c r="I82" s="539"/>
      <c r="J82" s="539"/>
      <c r="K82" s="539"/>
      <c r="L82" s="539"/>
      <c r="M82" s="1380"/>
      <c r="N82" s="1151"/>
      <c r="O82" s="1151"/>
      <c r="P82" s="2628"/>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1"/>
      <c r="O83" s="1151"/>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1"/>
      <c r="O85" s="1151"/>
      <c r="P85" s="2628"/>
      <c r="Q85" s="504"/>
    </row>
    <row r="86" spans="1:17" s="117" customFormat="1" ht="15.75" thickTop="1">
      <c r="A86" s="579"/>
      <c r="B86" s="538" t="s">
        <v>2674</v>
      </c>
      <c r="C86" s="2976" t="s">
        <v>4617</v>
      </c>
      <c r="D86" s="2976" t="s">
        <v>4619</v>
      </c>
      <c r="E86" s="2976" t="s">
        <v>4621</v>
      </c>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1"/>
      <c r="O87" s="1151"/>
      <c r="P87" s="2628"/>
      <c r="Q87" s="504"/>
    </row>
    <row r="88" spans="1:17" s="117" customFormat="1" ht="15.75" thickTop="1">
      <c r="A88" s="579"/>
      <c r="B88" s="538" t="str">
        <f>B26</f>
        <v>平面位置/可视性</v>
      </c>
      <c r="C88" s="2976" t="s">
        <v>4622</v>
      </c>
      <c r="D88" s="2976" t="s">
        <v>4623</v>
      </c>
      <c r="E88" s="2976" t="s">
        <v>4624</v>
      </c>
      <c r="F88" s="2983" t="s">
        <v>4625</v>
      </c>
      <c r="G88" s="2976" t="s">
        <v>4626</v>
      </c>
      <c r="H88" s="554"/>
      <c r="I88" s="554"/>
      <c r="J88" s="554"/>
      <c r="K88" s="554"/>
      <c r="L88" s="554"/>
      <c r="M88" s="581"/>
      <c r="N88" s="1149"/>
      <c r="O88" s="1149"/>
      <c r="P88" s="2628"/>
      <c r="Q88" s="504"/>
    </row>
    <row r="89" spans="1:17" s="117" customFormat="1" ht="15.75" thickBot="1">
      <c r="A89" s="579"/>
      <c r="B89" s="543"/>
      <c r="C89" s="560">
        <v>100</v>
      </c>
      <c r="D89" s="536">
        <f>C89-3</f>
        <v>97</v>
      </c>
      <c r="E89" s="536">
        <f t="shared" ref="E89:G89" si="21">D89-3</f>
        <v>94</v>
      </c>
      <c r="F89" s="536">
        <f t="shared" si="21"/>
        <v>91</v>
      </c>
      <c r="G89" s="536">
        <f t="shared" si="21"/>
        <v>88</v>
      </c>
      <c r="H89" s="536"/>
      <c r="I89" s="536"/>
      <c r="J89" s="536"/>
      <c r="K89" s="536"/>
      <c r="L89" s="536"/>
      <c r="M89" s="536"/>
      <c r="N89" s="1151"/>
      <c r="O89" s="1151"/>
      <c r="P89" s="2628"/>
      <c r="Q89" s="504"/>
    </row>
    <row r="90" spans="1:17" s="471" customFormat="1" ht="15.75" thickTop="1">
      <c r="A90" s="553"/>
      <c r="B90" s="538" t="str">
        <f>B27</f>
        <v>人流量</v>
      </c>
      <c r="C90" s="2976" t="s">
        <v>4627</v>
      </c>
      <c r="D90" s="2976" t="s">
        <v>4628</v>
      </c>
      <c r="E90" s="2976" t="s">
        <v>4624</v>
      </c>
      <c r="F90" s="2976" t="s">
        <v>4629</v>
      </c>
      <c r="G90" s="2976" t="s">
        <v>4630</v>
      </c>
      <c r="H90" s="555"/>
      <c r="I90" s="555"/>
      <c r="J90" s="555"/>
      <c r="K90" s="555"/>
      <c r="L90" s="556"/>
      <c r="M90" s="557"/>
      <c r="N90" s="1152"/>
      <c r="O90" s="1152"/>
      <c r="P90" s="2629"/>
      <c r="Q90" s="559"/>
    </row>
    <row r="91" spans="1:17" s="471" customFormat="1" ht="15.75" thickBot="1">
      <c r="A91" s="553"/>
      <c r="B91" s="543"/>
      <c r="C91" s="582">
        <v>100</v>
      </c>
      <c r="D91" s="544">
        <f>C91-$K27</f>
        <v>95</v>
      </c>
      <c r="E91" s="544">
        <f t="shared" ref="E91:M91" si="22">D91-$K27</f>
        <v>90</v>
      </c>
      <c r="F91" s="544">
        <f t="shared" si="22"/>
        <v>85</v>
      </c>
      <c r="G91" s="544">
        <f t="shared" si="22"/>
        <v>80</v>
      </c>
      <c r="H91" s="544">
        <f t="shared" si="22"/>
        <v>75</v>
      </c>
      <c r="I91" s="544">
        <f t="shared" si="22"/>
        <v>70</v>
      </c>
      <c r="J91" s="544">
        <f t="shared" si="22"/>
        <v>65</v>
      </c>
      <c r="K91" s="544">
        <f t="shared" si="22"/>
        <v>60</v>
      </c>
      <c r="L91" s="544">
        <f t="shared" si="22"/>
        <v>55</v>
      </c>
      <c r="M91" s="544">
        <f t="shared" si="22"/>
        <v>50</v>
      </c>
      <c r="N91" s="1152"/>
      <c r="O91" s="1152"/>
      <c r="P91" s="2629"/>
      <c r="Q91" s="559"/>
    </row>
    <row r="92" spans="1:17" ht="15.75" thickTop="1">
      <c r="A92" s="534"/>
      <c r="B92" s="538" t="str">
        <f>B28</f>
        <v>楼层</v>
      </c>
      <c r="C92" s="554" t="s">
        <v>4652</v>
      </c>
      <c r="D92" s="554"/>
      <c r="E92" s="554"/>
      <c r="F92" s="554"/>
      <c r="G92" s="554"/>
      <c r="H92" s="554"/>
      <c r="I92" s="554"/>
      <c r="J92" s="554"/>
      <c r="K92" s="554"/>
      <c r="L92" s="580"/>
      <c r="M92" s="581"/>
      <c r="N92" s="1150"/>
      <c r="O92" s="1150"/>
      <c r="P92" s="2628"/>
      <c r="Q92" s="504"/>
    </row>
    <row r="93" spans="1:17" ht="15.75" thickBot="1">
      <c r="A93" s="534"/>
      <c r="B93" s="543"/>
      <c r="C93" s="536"/>
      <c r="D93" s="536"/>
      <c r="E93" s="536"/>
      <c r="F93" s="536"/>
      <c r="G93" s="536"/>
      <c r="H93" s="536"/>
      <c r="I93" s="536"/>
      <c r="J93" s="536"/>
      <c r="K93" s="536"/>
      <c r="L93" s="536"/>
      <c r="M93" s="537"/>
      <c r="N93" s="1151"/>
      <c r="O93" s="1151"/>
      <c r="P93" s="2628"/>
      <c r="Q93" s="504"/>
    </row>
    <row r="94" spans="1:17" ht="15.75" thickTop="1">
      <c r="A94" s="534"/>
      <c r="B94" s="538">
        <f>B29</f>
        <v>111</v>
      </c>
      <c r="C94" s="554"/>
      <c r="D94" s="554"/>
      <c r="E94" s="554"/>
      <c r="F94" s="554"/>
      <c r="G94" s="583"/>
      <c r="H94" s="583"/>
      <c r="I94" s="583"/>
      <c r="J94" s="583"/>
      <c r="K94" s="584"/>
      <c r="L94" s="585"/>
      <c r="M94" s="586"/>
      <c r="N94" s="1150"/>
      <c r="O94" s="1150"/>
      <c r="P94" s="2628"/>
      <c r="Q94" s="504"/>
    </row>
    <row r="95" spans="1:17" ht="15.75" thickBot="1">
      <c r="A95" s="534"/>
      <c r="B95" s="543"/>
      <c r="C95" s="560"/>
      <c r="D95" s="536"/>
      <c r="E95" s="536"/>
      <c r="F95" s="536"/>
      <c r="G95" s="536"/>
      <c r="H95" s="536"/>
      <c r="I95" s="536"/>
      <c r="J95" s="536"/>
      <c r="K95" s="536"/>
      <c r="L95" s="536"/>
      <c r="M95" s="537"/>
      <c r="N95" s="1151"/>
      <c r="O95" s="1151"/>
      <c r="P95" s="2628"/>
      <c r="Q95" s="504"/>
    </row>
    <row r="96" spans="1:17" ht="15.75" thickTop="1">
      <c r="A96" s="534"/>
      <c r="B96" s="538">
        <f>B30</f>
        <v>111</v>
      </c>
      <c r="C96" s="554"/>
      <c r="D96" s="554"/>
      <c r="E96" s="554"/>
      <c r="F96" s="554"/>
      <c r="G96" s="583"/>
      <c r="H96" s="583"/>
      <c r="I96" s="583"/>
      <c r="J96" s="583"/>
      <c r="K96" s="584"/>
      <c r="L96" s="585"/>
      <c r="M96" s="586"/>
      <c r="N96" s="1150"/>
      <c r="O96" s="1150"/>
      <c r="P96" s="2628"/>
      <c r="Q96" s="504"/>
    </row>
    <row r="97" spans="1:17" ht="15.75" thickBot="1">
      <c r="A97" s="534"/>
      <c r="B97" s="543"/>
      <c r="C97" s="560"/>
      <c r="D97" s="536"/>
      <c r="E97" s="536"/>
      <c r="F97" s="536"/>
      <c r="G97" s="536"/>
      <c r="H97" s="536"/>
      <c r="I97" s="536"/>
      <c r="J97" s="536"/>
      <c r="K97" s="536"/>
      <c r="L97" s="536"/>
      <c r="M97" s="537"/>
      <c r="N97" s="1151"/>
      <c r="O97" s="1151"/>
      <c r="P97" s="2628"/>
      <c r="Q97" s="504"/>
    </row>
    <row r="98" spans="1:17" ht="15.75" thickTop="1">
      <c r="A98" s="534"/>
      <c r="B98" s="546">
        <f>B31</f>
        <v>111</v>
      </c>
      <c r="C98" s="554"/>
      <c r="D98" s="554"/>
      <c r="E98" s="554"/>
      <c r="F98" s="554"/>
      <c r="G98" s="587"/>
      <c r="H98" s="587"/>
      <c r="I98" s="587"/>
      <c r="J98" s="587"/>
      <c r="K98" s="588"/>
      <c r="L98" s="589"/>
      <c r="M98" s="590"/>
      <c r="N98" s="1150"/>
      <c r="O98" s="1150"/>
      <c r="P98" s="2628"/>
      <c r="Q98" s="504"/>
    </row>
    <row r="99" spans="1:17" ht="15.75" thickBot="1">
      <c r="A99" s="2634"/>
      <c r="B99" s="569"/>
      <c r="C99" s="570"/>
      <c r="D99" s="570"/>
      <c r="E99" s="570"/>
      <c r="F99" s="570"/>
      <c r="G99" s="591"/>
      <c r="H99" s="591"/>
      <c r="I99" s="591"/>
      <c r="J99" s="591"/>
      <c r="K99" s="591"/>
      <c r="L99" s="591"/>
      <c r="M99" s="592"/>
      <c r="N99" s="1151"/>
      <c r="O99" s="1151"/>
      <c r="P99" s="2628"/>
      <c r="Q99" s="504"/>
    </row>
    <row r="100" spans="1:17">
      <c r="A100" s="527" t="s">
        <v>2557</v>
      </c>
      <c r="B100" s="528" t="s">
        <v>2675</v>
      </c>
      <c r="C100" s="2977" t="s">
        <v>4632</v>
      </c>
      <c r="D100" s="2977" t="s">
        <v>4634</v>
      </c>
      <c r="E100" s="530"/>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3">C101-$K32</f>
        <v>103</v>
      </c>
      <c r="E101" s="544">
        <f t="shared" si="23"/>
        <v>106</v>
      </c>
      <c r="F101" s="544">
        <f t="shared" si="23"/>
        <v>109</v>
      </c>
      <c r="G101" s="544">
        <f t="shared" si="23"/>
        <v>112</v>
      </c>
      <c r="H101" s="544">
        <f t="shared" si="23"/>
        <v>115</v>
      </c>
      <c r="I101" s="544">
        <f t="shared" si="23"/>
        <v>118</v>
      </c>
      <c r="J101" s="544">
        <f t="shared" si="23"/>
        <v>121</v>
      </c>
      <c r="K101" s="544">
        <f t="shared" si="23"/>
        <v>124</v>
      </c>
      <c r="L101" s="544">
        <f t="shared" si="23"/>
        <v>127</v>
      </c>
      <c r="M101" s="545">
        <f t="shared" si="23"/>
        <v>130</v>
      </c>
      <c r="N101" s="1151"/>
      <c r="O101" s="1151"/>
      <c r="P101" s="2628"/>
      <c r="Q101" s="504"/>
    </row>
    <row r="102" spans="1:17" ht="15.75" thickTop="1">
      <c r="A102" s="534"/>
      <c r="B102" s="538" t="s">
        <v>2607</v>
      </c>
      <c r="C102" s="578" t="str">
        <f>C103&amp;"(含)"&amp;"-"&amp;D103</f>
        <v>0(含)-50</v>
      </c>
      <c r="D102" s="578" t="str">
        <f t="shared" ref="D102:L102" si="24">D103&amp;"(含)"&amp;"-"&amp;E103</f>
        <v>50(含)-100</v>
      </c>
      <c r="E102" s="578" t="str">
        <f t="shared" si="24"/>
        <v>100(含)-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2" t="str">
        <f>M103&amp;"(含)"&amp;"-"&amp;P103</f>
        <v>(含)-</v>
      </c>
      <c r="N102" s="1149"/>
      <c r="O102" s="1149"/>
      <c r="P102" s="2628"/>
      <c r="Q102" s="504"/>
    </row>
    <row r="103" spans="1:17" s="471" customFormat="1">
      <c r="A103" s="593"/>
      <c r="B103" s="594"/>
      <c r="C103" s="595">
        <v>0</v>
      </c>
      <c r="D103" s="595">
        <v>50</v>
      </c>
      <c r="E103" s="595">
        <v>100</v>
      </c>
      <c r="F103" s="595"/>
      <c r="G103" s="595"/>
      <c r="H103" s="595"/>
      <c r="I103" s="595"/>
      <c r="J103" s="596"/>
      <c r="K103" s="596"/>
      <c r="L103" s="597"/>
      <c r="M103" s="598"/>
      <c r="N103" s="1152"/>
      <c r="O103" s="1152"/>
      <c r="P103" s="2629"/>
      <c r="Q103" s="559"/>
    </row>
    <row r="104" spans="1:17" s="471" customFormat="1" ht="15.75" thickBot="1">
      <c r="A104" s="553"/>
      <c r="B104" s="543"/>
      <c r="C104" s="560">
        <v>100</v>
      </c>
      <c r="D104" s="536">
        <v>99</v>
      </c>
      <c r="E104" s="536">
        <v>98</v>
      </c>
      <c r="F104" s="536"/>
      <c r="G104" s="536"/>
      <c r="H104" s="536"/>
      <c r="I104" s="536"/>
      <c r="J104" s="536"/>
      <c r="K104" s="536"/>
      <c r="L104" s="536"/>
      <c r="M104" s="537"/>
      <c r="N104" s="1151"/>
      <c r="O104" s="1151"/>
      <c r="P104" s="2629"/>
      <c r="Q104" s="559"/>
    </row>
    <row r="105" spans="1:17" ht="15" thickTop="1">
      <c r="A105" s="599"/>
      <c r="B105" s="538" t="s">
        <v>2608</v>
      </c>
      <c r="C105" s="2976" t="s">
        <v>4635</v>
      </c>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51"/>
      <c r="O106" s="1151"/>
      <c r="P106" s="2628"/>
      <c r="Q106" s="504"/>
    </row>
    <row r="107" spans="1:17" ht="15" thickTop="1">
      <c r="A107" s="599"/>
      <c r="B107" s="538" t="s">
        <v>2610</v>
      </c>
      <c r="C107" s="2976" t="s">
        <v>4637</v>
      </c>
      <c r="D107" s="554"/>
      <c r="E107" s="554"/>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1"/>
      <c r="O108" s="1151"/>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8"/>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8"/>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1"/>
      <c r="O111" s="1151"/>
      <c r="P111" s="2628"/>
      <c r="Q111" s="504"/>
    </row>
    <row r="112" spans="1:17" s="471" customFormat="1" ht="15" thickTop="1">
      <c r="A112" s="593"/>
      <c r="B112" s="538" t="s">
        <v>2612</v>
      </c>
      <c r="C112" s="2976" t="s">
        <v>4638</v>
      </c>
      <c r="D112" s="2976" t="s">
        <v>4639</v>
      </c>
      <c r="E112" s="554"/>
      <c r="F112" s="554"/>
      <c r="G112" s="554"/>
      <c r="H112" s="583"/>
      <c r="I112" s="583"/>
      <c r="J112" s="583"/>
      <c r="K112" s="584"/>
      <c r="L112" s="585"/>
      <c r="M112" s="586"/>
      <c r="N112" s="1152"/>
      <c r="O112" s="1152"/>
      <c r="P112" s="2629"/>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2"/>
      <c r="O113" s="1152"/>
      <c r="P113" s="2629"/>
      <c r="Q113" s="559"/>
    </row>
    <row r="114" spans="1:17" ht="15" thickTop="1">
      <c r="A114" s="599"/>
      <c r="B114" s="538" t="s">
        <v>2676</v>
      </c>
      <c r="C114" s="2976" t="s">
        <v>4641</v>
      </c>
      <c r="D114" s="2976" t="s">
        <v>4643</v>
      </c>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1"/>
      <c r="O115" s="1151"/>
      <c r="P115" s="2628"/>
      <c r="Q115" s="504"/>
    </row>
    <row r="116" spans="1:17" ht="15" thickTop="1">
      <c r="A116" s="599"/>
      <c r="B116" s="538" t="s">
        <v>2677</v>
      </c>
      <c r="C116" s="2976" t="s">
        <v>4645</v>
      </c>
      <c r="D116" s="2976" t="s">
        <v>4647</v>
      </c>
      <c r="E116" s="554"/>
      <c r="F116" s="554"/>
      <c r="G116" s="554"/>
      <c r="H116" s="583"/>
      <c r="I116" s="583"/>
      <c r="J116" s="583"/>
      <c r="K116" s="584"/>
      <c r="L116" s="585"/>
      <c r="M116" s="586"/>
      <c r="N116" s="1150"/>
      <c r="O116" s="1150"/>
      <c r="P116" s="2628"/>
      <c r="Q116" s="504"/>
    </row>
    <row r="117" spans="1:17" ht="15.75" thickBot="1">
      <c r="A117" s="534"/>
      <c r="B117" s="543"/>
      <c r="C117" s="544">
        <v>100</v>
      </c>
      <c r="D117" s="544">
        <f>C117-$K39</f>
        <v>105</v>
      </c>
      <c r="E117" s="544">
        <f>D117-$K39</f>
        <v>110</v>
      </c>
      <c r="F117" s="544">
        <f>E117-$K39</f>
        <v>115</v>
      </c>
      <c r="G117" s="544">
        <f>F117-$K39</f>
        <v>120</v>
      </c>
      <c r="H117" s="544"/>
      <c r="I117" s="544"/>
      <c r="J117" s="544"/>
      <c r="K117" s="544"/>
      <c r="L117" s="544"/>
      <c r="M117" s="545"/>
      <c r="N117" s="1151"/>
      <c r="O117" s="1151"/>
      <c r="P117" s="2628"/>
      <c r="Q117" s="504"/>
    </row>
    <row r="118" spans="1:17" ht="15" thickTop="1">
      <c r="A118" s="599"/>
      <c r="B118" s="538" t="s">
        <v>2678</v>
      </c>
      <c r="C118" s="627"/>
      <c r="D118" s="627"/>
      <c r="E118" s="627"/>
      <c r="F118" s="627"/>
      <c r="G118" s="627"/>
      <c r="H118" s="555"/>
      <c r="I118" s="555"/>
      <c r="J118" s="555"/>
      <c r="K118" s="555"/>
      <c r="L118" s="556"/>
      <c r="M118" s="557"/>
      <c r="N118" s="1150"/>
      <c r="O118" s="1150"/>
      <c r="P118" s="2628"/>
      <c r="Q118" s="504"/>
    </row>
    <row r="119" spans="1:17" ht="15.75" thickBot="1">
      <c r="A119" s="534"/>
      <c r="B119" s="543"/>
      <c r="C119" s="560"/>
      <c r="D119" s="536"/>
      <c r="E119" s="536"/>
      <c r="F119" s="536"/>
      <c r="G119" s="536"/>
      <c r="H119" s="536"/>
      <c r="I119" s="536"/>
      <c r="J119" s="536"/>
      <c r="K119" s="536"/>
      <c r="L119" s="536"/>
      <c r="M119" s="537"/>
      <c r="N119" s="1151"/>
      <c r="O119" s="1151"/>
      <c r="P119" s="2628"/>
      <c r="Q119" s="504"/>
    </row>
    <row r="120" spans="1:17" s="471" customFormat="1" ht="15" thickTop="1">
      <c r="A120" s="593"/>
      <c r="B120" s="538" t="s">
        <v>2679</v>
      </c>
      <c r="C120" s="583"/>
      <c r="D120" s="583"/>
      <c r="E120" s="583"/>
      <c r="F120" s="583"/>
      <c r="G120" s="555"/>
      <c r="H120" s="555"/>
      <c r="I120" s="555"/>
      <c r="J120" s="555"/>
      <c r="K120" s="555"/>
      <c r="L120" s="556"/>
      <c r="M120" s="557"/>
      <c r="N120" s="1152"/>
      <c r="O120" s="1152"/>
      <c r="P120" s="2629"/>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2"/>
      <c r="O121" s="1152"/>
      <c r="P121" s="2629"/>
      <c r="Q121" s="559"/>
    </row>
    <row r="122" spans="1:17" ht="15" thickTop="1">
      <c r="A122" s="599"/>
      <c r="B122" s="538" t="s">
        <v>2614</v>
      </c>
      <c r="C122" s="2976" t="s">
        <v>4650</v>
      </c>
      <c r="D122" s="2976" t="s">
        <v>4651</v>
      </c>
      <c r="E122" s="2976" t="s">
        <v>4648</v>
      </c>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1">C123-$K42</f>
        <v>98.5</v>
      </c>
      <c r="E123" s="544">
        <f t="shared" si="31"/>
        <v>97</v>
      </c>
      <c r="F123" s="544">
        <f t="shared" si="31"/>
        <v>95.5</v>
      </c>
      <c r="G123" s="544">
        <f t="shared" si="31"/>
        <v>94</v>
      </c>
      <c r="H123" s="544">
        <f t="shared" si="31"/>
        <v>92.5</v>
      </c>
      <c r="I123" s="544">
        <f t="shared" si="31"/>
        <v>91</v>
      </c>
      <c r="J123" s="544">
        <f t="shared" si="31"/>
        <v>89.5</v>
      </c>
      <c r="K123" s="544">
        <f t="shared" si="31"/>
        <v>88</v>
      </c>
      <c r="L123" s="544">
        <f t="shared" si="31"/>
        <v>86.5</v>
      </c>
      <c r="M123" s="545">
        <f t="shared" si="31"/>
        <v>85</v>
      </c>
      <c r="N123" s="1151"/>
      <c r="O123" s="1151"/>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29"/>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28"/>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9"/>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9"/>
      <c r="Q127" s="559"/>
    </row>
    <row r="128" spans="1:17" ht="15" thickTop="1">
      <c r="A128" s="599"/>
      <c r="B128" s="538">
        <f>B45</f>
        <v>111</v>
      </c>
      <c r="C128" s="554"/>
      <c r="D128" s="554"/>
      <c r="E128" s="554"/>
      <c r="F128" s="554"/>
      <c r="G128" s="583"/>
      <c r="H128" s="583"/>
      <c r="I128" s="583"/>
      <c r="J128" s="583"/>
      <c r="K128" s="584"/>
      <c r="L128" s="585"/>
      <c r="M128" s="586"/>
      <c r="N128" s="1150"/>
      <c r="O128" s="1150"/>
      <c r="P128" s="2628"/>
      <c r="Q128" s="504"/>
    </row>
    <row r="129" spans="1:17" ht="15.75" thickBot="1">
      <c r="A129" s="534"/>
      <c r="B129" s="543"/>
      <c r="C129" s="560"/>
      <c r="D129" s="536"/>
      <c r="E129" s="536"/>
      <c r="F129" s="536"/>
      <c r="G129" s="536"/>
      <c r="H129" s="536"/>
      <c r="I129" s="536"/>
      <c r="J129" s="536"/>
      <c r="K129" s="536"/>
      <c r="L129" s="536"/>
      <c r="M129" s="537"/>
      <c r="N129" s="1151"/>
      <c r="O129" s="1151"/>
      <c r="P129" s="2628"/>
      <c r="Q129" s="504"/>
    </row>
    <row r="130" spans="1:17" ht="15" thickTop="1">
      <c r="A130" s="599"/>
      <c r="B130" s="546">
        <f>B46</f>
        <v>111</v>
      </c>
      <c r="C130" s="554"/>
      <c r="D130" s="554"/>
      <c r="E130" s="554"/>
      <c r="F130" s="554"/>
      <c r="G130" s="587"/>
      <c r="H130" s="587"/>
      <c r="I130" s="587"/>
      <c r="J130" s="587"/>
      <c r="K130" s="523"/>
      <c r="L130" s="524"/>
      <c r="M130" s="590"/>
      <c r="N130" s="1150"/>
      <c r="O130" s="1150"/>
      <c r="P130" s="2628"/>
      <c r="Q130" s="504"/>
    </row>
    <row r="131" spans="1:17" ht="15.75" thickBot="1">
      <c r="A131" s="2634"/>
      <c r="B131" s="569"/>
      <c r="C131" s="570"/>
      <c r="D131" s="570"/>
      <c r="E131" s="570"/>
      <c r="F131" s="570"/>
      <c r="G131" s="591"/>
      <c r="H131" s="591"/>
      <c r="I131" s="591"/>
      <c r="J131" s="591"/>
      <c r="K131" s="591"/>
      <c r="L131" s="591"/>
      <c r="M131" s="592"/>
      <c r="N131" s="1151"/>
      <c r="O131" s="1151"/>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3" priority="17"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70" zoomScaleNormal="70" zoomScaleSheetLayoutView="90" workbookViewId="0">
      <selection activeCell="D16" sqref="D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4660</v>
      </c>
      <c r="D1" s="1817" t="s">
        <v>70</v>
      </c>
      <c r="E1" s="1818" t="s">
        <v>1383</v>
      </c>
      <c r="F1" s="1281">
        <f ca="1">J53</f>
        <v>36.53</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174</v>
      </c>
      <c r="C2" s="1842" t="s">
        <v>1512</v>
      </c>
      <c r="D2" s="1842"/>
      <c r="E2" s="1843"/>
      <c r="F2" s="1844"/>
      <c r="G2" s="1845"/>
      <c r="H2" s="1837"/>
      <c r="I2" s="1837"/>
      <c r="J2" s="1837"/>
      <c r="K2" s="1838"/>
      <c r="L2" s="1837"/>
      <c r="M2" s="1837"/>
    </row>
    <row r="3" spans="1:37" ht="18" customHeight="1" thickBot="1">
      <c r="A3" s="1846" t="s">
        <v>1513</v>
      </c>
      <c r="B3" s="1847">
        <f ca="1">IF(ISERROR(B2*10000/F43),0,ROUND(B2*10000/F43,0))</f>
        <v>17992</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11</v>
      </c>
      <c r="D5" s="1819" t="s">
        <v>1398</v>
      </c>
      <c r="E5" s="1291"/>
      <c r="F5" s="1292"/>
      <c r="G5" s="1848"/>
      <c r="H5" s="344">
        <v>1</v>
      </c>
      <c r="I5" s="345" t="s">
        <v>1397</v>
      </c>
      <c r="J5" s="1290">
        <f ca="1">J6+J10+J12</f>
        <v>0</v>
      </c>
      <c r="K5" s="1819" t="s">
        <v>1398</v>
      </c>
      <c r="L5" s="1291"/>
      <c r="M5" s="1292"/>
    </row>
    <row r="6" spans="1:37" ht="18" customHeight="1">
      <c r="A6" s="1289" t="s">
        <v>1032</v>
      </c>
      <c r="B6" s="3099" t="s">
        <v>1399</v>
      </c>
      <c r="C6" s="1294">
        <f ca="1">ROUND(F6*F8*F7*(1-F9)/10000,0)</f>
        <v>11</v>
      </c>
      <c r="D6" s="164" t="s">
        <v>3022</v>
      </c>
      <c r="E6" s="347" t="s">
        <v>1401</v>
      </c>
      <c r="F6" s="348">
        <f ca="1">INDIRECT("'数据-取费表'!u"&amp;$G$1)</f>
        <v>3.5999999999999996</v>
      </c>
      <c r="G6" s="1848"/>
      <c r="H6" s="1289" t="s">
        <v>1032</v>
      </c>
      <c r="I6" s="3099" t="s">
        <v>1399</v>
      </c>
      <c r="J6" s="346">
        <f ca="1">ROUND(M6*M8*M7*(1-M9)/10000,0)</f>
        <v>0</v>
      </c>
      <c r="K6" s="164" t="s">
        <v>3021</v>
      </c>
      <c r="L6" s="347" t="s">
        <v>1401</v>
      </c>
      <c r="M6" s="348">
        <f ca="1">INDIRECT("'数据-取费表'!z"&amp;$G$1)</f>
        <v>0</v>
      </c>
    </row>
    <row r="7" spans="1:37" ht="18" customHeight="1">
      <c r="A7" s="1293"/>
      <c r="B7" s="3100"/>
      <c r="C7" s="1295"/>
      <c r="D7" s="352"/>
      <c r="E7" s="2950" t="s">
        <v>1402</v>
      </c>
      <c r="F7" s="348">
        <f ca="1">IF(INDIRECT("'数据-取费表'!ah"&amp;$G$1)="",INDIRECT("'数据-取费表'!k"&amp;$G$1),INDIRECT("'数据-取费表'!ah"&amp;$G$1))</f>
        <v>96.71</v>
      </c>
      <c r="G7" s="1848"/>
      <c r="H7" s="349"/>
      <c r="I7" s="3100"/>
      <c r="J7" s="351"/>
      <c r="K7" s="352"/>
      <c r="L7" s="347" t="s">
        <v>1402</v>
      </c>
      <c r="M7" s="348">
        <f ca="1">F7</f>
        <v>96.71</v>
      </c>
    </row>
    <row r="8" spans="1:37" ht="18" customHeight="1">
      <c r="A8" s="349"/>
      <c r="B8" s="3100"/>
      <c r="C8" s="351"/>
      <c r="D8" s="352"/>
      <c r="E8" s="347" t="s">
        <v>1403</v>
      </c>
      <c r="F8" s="348">
        <f ca="1">INDIRECT("'数据-取费表'!ai"&amp;$G$1)</f>
        <v>365</v>
      </c>
      <c r="G8" s="1848"/>
      <c r="H8" s="349"/>
      <c r="I8" s="3100"/>
      <c r="J8" s="351"/>
      <c r="K8" s="352"/>
      <c r="L8" s="347" t="s">
        <v>1403</v>
      </c>
      <c r="M8" s="348">
        <f ca="1">INDIRECT("'数据-取费表'!ai"&amp;$G$1)</f>
        <v>365</v>
      </c>
    </row>
    <row r="9" spans="1:37" ht="18" customHeight="1">
      <c r="A9" s="349"/>
      <c r="B9" s="3101"/>
      <c r="C9" s="351"/>
      <c r="D9" s="352"/>
      <c r="E9" s="347" t="s">
        <v>1404</v>
      </c>
      <c r="F9" s="357">
        <f ca="1">INDIRECT("'数据-取费表'!w"&amp;$G$1)</f>
        <v>0.1</v>
      </c>
      <c r="G9" s="1848"/>
      <c r="H9" s="349"/>
      <c r="I9" s="3101"/>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3030</v>
      </c>
      <c r="E10" s="358" t="s">
        <v>1406</v>
      </c>
      <c r="F10" s="1364" t="s">
        <v>4662</v>
      </c>
      <c r="G10" s="1848"/>
      <c r="H10" s="1289" t="s">
        <v>1036</v>
      </c>
      <c r="I10" s="1820" t="s">
        <v>1405</v>
      </c>
      <c r="J10" s="346">
        <f ca="1">ROUND(IF(M10="押一",J6/12*M11,IF(M10="押二",J6/12*2*M11,IF(M10="押三",J6/12*3*M11,J11*M11))),0)</f>
        <v>0</v>
      </c>
      <c r="K10" s="1821" t="s">
        <v>3030</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42</v>
      </c>
      <c r="D13" s="1329" t="s">
        <v>1411</v>
      </c>
      <c r="E13" s="1329" t="s">
        <v>1412</v>
      </c>
      <c r="F13" s="1330">
        <f ca="1">INDIRECT("'数据-取费表'!y"&amp;$G$1)</f>
        <v>0.98</v>
      </c>
      <c r="G13" s="1848"/>
      <c r="H13" s="1327">
        <v>2</v>
      </c>
      <c r="I13" s="1328" t="s">
        <v>1410</v>
      </c>
      <c r="J13" s="1288">
        <f ca="1">ROUND(J14*J15,0)</f>
        <v>0</v>
      </c>
      <c r="K13" s="1335" t="s">
        <v>1411</v>
      </c>
      <c r="L13" s="1849"/>
      <c r="M13" s="1850"/>
    </row>
    <row r="14" spans="1:37" ht="18" customHeight="1">
      <c r="A14" s="1199" t="s">
        <v>1031</v>
      </c>
      <c r="B14" s="347" t="s">
        <v>1413</v>
      </c>
      <c r="C14" s="363">
        <f ca="1">INDIRECT("'数据-取费表'!m"&amp;$G$1)+INDIRECT("'数据-取费表'!t"&amp;$G$1)</f>
        <v>29</v>
      </c>
      <c r="D14" s="2959" t="s">
        <v>1414</v>
      </c>
      <c r="E14" s="2958"/>
      <c r="F14" s="364"/>
      <c r="G14" s="1848"/>
      <c r="H14" s="1199" t="s">
        <v>1032</v>
      </c>
      <c r="I14" s="347" t="s">
        <v>1415</v>
      </c>
      <c r="J14" s="24">
        <f ca="1">C29</f>
        <v>43</v>
      </c>
      <c r="K14" s="2949"/>
      <c r="L14" s="977"/>
      <c r="M14" s="978"/>
    </row>
    <row r="15" spans="1:37" s="1855" customFormat="1" ht="18" customHeight="1" thickBot="1">
      <c r="A15" s="1199" t="s">
        <v>1033</v>
      </c>
      <c r="B15" s="347" t="s">
        <v>1416</v>
      </c>
      <c r="C15" s="24">
        <f ca="1">ROUND(C14*F15,0)</f>
        <v>1</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7" t="s">
        <v>1027</v>
      </c>
      <c r="I16" s="1328" t="s">
        <v>1420</v>
      </c>
      <c r="J16" s="355">
        <f ca="1">ROUND(J17+J22+J23+J24,0)</f>
        <v>1</v>
      </c>
      <c r="K16" s="1335" t="s">
        <v>1421</v>
      </c>
      <c r="L16" s="2962"/>
      <c r="M16" s="1292"/>
    </row>
    <row r="17" spans="1:37" s="1855" customFormat="1" ht="18" customHeight="1">
      <c r="A17" s="1199" t="s">
        <v>1386</v>
      </c>
      <c r="B17" s="347" t="s">
        <v>1422</v>
      </c>
      <c r="C17" s="24">
        <f ca="1">ROUND(F17*(F43+INDIRECT("'数据-取费表'!S"&amp;$G$1))/10000,0)</f>
        <v>2</v>
      </c>
      <c r="D17" s="347" t="s">
        <v>1423</v>
      </c>
      <c r="E17" s="347" t="s">
        <v>1424</v>
      </c>
      <c r="F17" s="26">
        <f>'数据-取费表'!B35</f>
        <v>200</v>
      </c>
      <c r="G17" s="1851"/>
      <c r="H17" s="1199" t="s">
        <v>1032</v>
      </c>
      <c r="I17" s="347" t="s">
        <v>1425</v>
      </c>
      <c r="J17" s="24">
        <f ca="1">ROUND(IF(项目基本情况!B11="自然人",J5*M17,J18+J19+J20),1)</f>
        <v>0.4</v>
      </c>
      <c r="K17" s="2959" t="s">
        <v>1426</v>
      </c>
      <c r="L17" s="2961"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ROUND(J5*M18/(1+'数据-取费表'!C42),2)</f>
        <v>0</v>
      </c>
      <c r="K18" s="2961"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32</v>
      </c>
      <c r="D19" s="140" t="s">
        <v>1432</v>
      </c>
      <c r="E19" s="2947"/>
      <c r="F19" s="26"/>
      <c r="G19" s="1848"/>
      <c r="H19" s="1199" t="s">
        <v>1033</v>
      </c>
      <c r="I19" s="347" t="s">
        <v>1433</v>
      </c>
      <c r="J19" s="24">
        <f ca="1">IF(K19="按租金收入计税",ROUND(J5*M19,2),ROUND(C29*M19*0.7,2))</f>
        <v>0.36</v>
      </c>
      <c r="K19" s="1825" t="s">
        <v>1434</v>
      </c>
      <c r="L19" s="347" t="s">
        <v>1418</v>
      </c>
      <c r="M19" s="367">
        <f>IF(K19="按租金收入计税",'数据-取费表'!B51,'数据-取费表'!B50)</f>
        <v>1.2E-2</v>
      </c>
    </row>
    <row r="20" spans="1:37" s="1855" customFormat="1" ht="18" customHeight="1">
      <c r="A20" s="1199" t="s">
        <v>1036</v>
      </c>
      <c r="B20" s="347" t="s">
        <v>1435</v>
      </c>
      <c r="C20" s="24">
        <f ca="1">ROUND(C19*F20,0)</f>
        <v>1</v>
      </c>
      <c r="D20" s="369" t="s">
        <v>1436</v>
      </c>
      <c r="E20" s="347" t="s">
        <v>1418</v>
      </c>
      <c r="F20" s="367">
        <f>'数据-取费表'!B37</f>
        <v>0.02</v>
      </c>
      <c r="G20" s="1851"/>
      <c r="H20" s="1199" t="s">
        <v>1385</v>
      </c>
      <c r="I20" s="164" t="s">
        <v>1437</v>
      </c>
      <c r="J20" s="25">
        <f ca="1">ROUND(M20*M21/10000,2)</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47"/>
      <c r="F22" s="26"/>
      <c r="G22" s="1848"/>
      <c r="H22" s="1199" t="s">
        <v>1036</v>
      </c>
      <c r="I22" s="347" t="s">
        <v>1445</v>
      </c>
      <c r="J22" s="24">
        <f ca="1">ROUND(J14*M22,1)</f>
        <v>0.6</v>
      </c>
      <c r="K22" s="2961" t="s">
        <v>1446</v>
      </c>
      <c r="L22" s="347" t="s">
        <v>1418</v>
      </c>
      <c r="M22" s="374">
        <f ca="1">INDIRECT("'数据-取费表'!Ak"&amp;$G$1)</f>
        <v>1.4999999999999999E-2</v>
      </c>
    </row>
    <row r="23" spans="1:37" s="1855" customFormat="1" ht="18" customHeight="1">
      <c r="A23" s="1199"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ROUND(J13*M23,1)</f>
        <v>0</v>
      </c>
      <c r="K23" s="2961"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1388</v>
      </c>
      <c r="I24" s="1338" t="s">
        <v>1435</v>
      </c>
      <c r="J24" s="1339">
        <f ca="1">ROUND(J5*M24,1)</f>
        <v>0</v>
      </c>
      <c r="K24" s="1340" t="s">
        <v>1455</v>
      </c>
      <c r="L24" s="1338" t="s">
        <v>1418</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2947"/>
      <c r="F25" s="26"/>
      <c r="G25" s="1848"/>
      <c r="H25" s="1327" t="s">
        <v>1028</v>
      </c>
      <c r="I25" s="1342" t="s">
        <v>1459</v>
      </c>
      <c r="J25" s="355">
        <f ca="1">J5-J16</f>
        <v>-1</v>
      </c>
      <c r="K25" s="1343" t="s">
        <v>1460</v>
      </c>
      <c r="L25" s="1344"/>
      <c r="M25" s="1345"/>
    </row>
    <row r="26" spans="1:37">
      <c r="A26" s="1199" t="s">
        <v>1031</v>
      </c>
      <c r="B26" s="347" t="s">
        <v>1461</v>
      </c>
      <c r="C26" s="24">
        <f ca="1">ROUND((C19+C20)*F26,0)</f>
        <v>5</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0.06</v>
      </c>
    </row>
    <row r="27" spans="1:37" ht="18" customHeight="1">
      <c r="A27" s="1199" t="s">
        <v>1033</v>
      </c>
      <c r="B27" s="347" t="s">
        <v>1467</v>
      </c>
      <c r="C27" s="24">
        <f ca="1">ROUND(F21*F26,4)</f>
        <v>3.0000000000000001E-3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43</v>
      </c>
      <c r="D29" s="1340"/>
      <c r="E29" s="1338"/>
      <c r="F29" s="1341"/>
      <c r="G29" s="1851"/>
      <c r="H29" s="380" t="s">
        <v>1030</v>
      </c>
      <c r="I29" s="381" t="s">
        <v>1475</v>
      </c>
      <c r="J29" s="382">
        <f ca="1">ROUND(J26/(1+F40)^F41,0)</f>
        <v>0</v>
      </c>
      <c r="K29" s="383" t="s">
        <v>1476</v>
      </c>
      <c r="L29" s="384"/>
      <c r="M29" s="385">
        <f ca="1">INDIRECT("'数据-取费表'!k"&amp;$G$1)</f>
        <v>96.71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3</v>
      </c>
      <c r="D30" s="1335" t="s">
        <v>1421</v>
      </c>
      <c r="E30" s="2962"/>
      <c r="F30" s="1292"/>
      <c r="G30" s="1848"/>
      <c r="H30" s="745"/>
      <c r="I30" s="746"/>
      <c r="J30" s="747"/>
      <c r="K30" s="748"/>
      <c r="L30" s="749"/>
      <c r="M30" s="750"/>
    </row>
    <row r="31" spans="1:37" ht="18" customHeight="1">
      <c r="A31" s="1199" t="s">
        <v>1032</v>
      </c>
      <c r="B31" s="347" t="s">
        <v>1425</v>
      </c>
      <c r="C31" s="24">
        <f ca="1">ROUND(IF(项目基本情况!B11="自然人",C5*F31,C32+C33+C34),1)</f>
        <v>1.9</v>
      </c>
      <c r="D31" s="2959" t="s">
        <v>1426</v>
      </c>
      <c r="E31" s="2961"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IF(项目基本情况!B11="自然人","——",ROUND(C5*F32/(1+'数据-取费表'!C42),2))</f>
        <v>0.57999999999999996</v>
      </c>
      <c r="D32" s="2961"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1.32</v>
      </c>
      <c r="D33" s="1825" t="s">
        <v>4604</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ROUND(C29*F36,1)</f>
        <v>0.6</v>
      </c>
      <c r="D36" s="2961" t="s">
        <v>1478</v>
      </c>
      <c r="E36" s="347" t="s">
        <v>1418</v>
      </c>
      <c r="F36" s="374">
        <f ca="1">INDIRECT("'数据-取费表'!Ak"&amp;$G$1)</f>
        <v>1.4999999999999999E-2</v>
      </c>
      <c r="G36" s="1848"/>
      <c r="H36" s="1856"/>
      <c r="I36" s="1857"/>
      <c r="J36" s="1858"/>
      <c r="K36" s="751"/>
      <c r="L36" s="1856"/>
      <c r="M36" s="1856"/>
    </row>
    <row r="37" spans="1:18" ht="18" customHeight="1">
      <c r="A37" s="1199" t="s">
        <v>1072</v>
      </c>
      <c r="B37" s="347" t="s">
        <v>1449</v>
      </c>
      <c r="C37" s="24">
        <f ca="1">ROUND(C13*F37,1)</f>
        <v>0.1</v>
      </c>
      <c r="D37" s="2961" t="s">
        <v>1450</v>
      </c>
      <c r="E37" s="347" t="s">
        <v>1418</v>
      </c>
      <c r="F37" s="376">
        <f ca="1">INDIRECT("'数据-取费表'!Al"&amp;$G$1)</f>
        <v>1.5E-3</v>
      </c>
      <c r="G37" s="1848"/>
      <c r="H37" s="1856"/>
      <c r="I37" s="1857"/>
      <c r="J37" s="1858"/>
      <c r="K37" s="751"/>
      <c r="L37" s="1856"/>
      <c r="M37" s="1856"/>
    </row>
    <row r="38" spans="1:18" ht="18" customHeight="1" thickBot="1">
      <c r="A38" s="1337" t="s">
        <v>1388</v>
      </c>
      <c r="B38" s="1338" t="s">
        <v>1435</v>
      </c>
      <c r="C38" s="1339">
        <f ca="1">ROUND(C5*F38,1)</f>
        <v>0.1</v>
      </c>
      <c r="D38" s="1340" t="s">
        <v>1455</v>
      </c>
      <c r="E38" s="1338" t="s">
        <v>1418</v>
      </c>
      <c r="F38" s="1334">
        <f ca="1">INDIRECT("'数据-取费表'!Am"&amp;$G$1)</f>
        <v>0.01</v>
      </c>
      <c r="G38" s="1848"/>
      <c r="H38" s="1856"/>
      <c r="I38" s="1857"/>
      <c r="J38" s="1858"/>
      <c r="K38" s="1862"/>
      <c r="L38" s="1856"/>
      <c r="M38" s="1856"/>
    </row>
    <row r="39" spans="1:18" ht="24.6" customHeight="1" thickTop="1">
      <c r="A39" s="1327" t="s">
        <v>1028</v>
      </c>
      <c r="B39" s="1342" t="s">
        <v>1459</v>
      </c>
      <c r="C39" s="355">
        <f ca="1">C5-C30</f>
        <v>8</v>
      </c>
      <c r="D39" s="1343" t="s">
        <v>1460</v>
      </c>
      <c r="E39" s="1344"/>
      <c r="F39" s="1345"/>
      <c r="G39" s="1848"/>
      <c r="H39" s="1856"/>
      <c r="I39" s="1857"/>
      <c r="J39" s="1858"/>
      <c r="K39" s="1862"/>
      <c r="L39" s="1856"/>
      <c r="M39" s="1856"/>
    </row>
    <row r="40" spans="1:18" ht="18" customHeight="1">
      <c r="A40" s="344" t="s">
        <v>1029</v>
      </c>
      <c r="B40" s="345" t="s">
        <v>1481</v>
      </c>
      <c r="C40" s="346">
        <f ca="1">ROUND(C39*(1-((1+F42)/(1+F40))^F41)/(F40-F42),0)</f>
        <v>173</v>
      </c>
      <c r="D40" s="370" t="s">
        <v>1465</v>
      </c>
      <c r="E40" s="347" t="s">
        <v>1466</v>
      </c>
      <c r="F40" s="357">
        <f ca="1">INDIRECT("'数据-取费表'!I"&amp;$G$1)</f>
        <v>0.06</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36.53</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f ca="1">ROUND(C40*10000/F43,0)</f>
        <v>17889</v>
      </c>
      <c r="D43" s="383" t="s">
        <v>1484</v>
      </c>
      <c r="E43" s="384" t="s">
        <v>1485</v>
      </c>
      <c r="F43" s="385">
        <f ca="1">INDIRECT("'数据-取费表'!k"&amp;$G$1)</f>
        <v>96.71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-232</v>
      </c>
      <c r="D46" s="1869" t="str">
        <f>C2</f>
        <v>万元</v>
      </c>
      <c r="E46" s="1863"/>
      <c r="F46" s="1863"/>
      <c r="I46" s="1870" t="s">
        <v>1517</v>
      </c>
      <c r="J46" s="1871"/>
      <c r="K46" s="1872"/>
      <c r="L46" s="1873">
        <f ca="1">IF(M47="住宅",0,IF(L48&gt;J51,L60,J60))</f>
        <v>1</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4605</v>
      </c>
      <c r="K47" s="1879" t="s">
        <v>1523</v>
      </c>
      <c r="L47" s="1880">
        <f ca="1">INDIRECT("'数据-取费表'!d"&amp;$G$1)</f>
        <v>40</v>
      </c>
      <c r="M47" s="1835" t="str">
        <f>IF(ISNUMBER(FIND("住宅",C1)),"住宅","非住宅")</f>
        <v>非住宅</v>
      </c>
      <c r="O47" s="1881" t="s">
        <v>1037</v>
      </c>
      <c r="P47" s="1882" t="s">
        <v>1524</v>
      </c>
      <c r="Q47" s="1883">
        <f ca="1">C40+J29</f>
        <v>173</v>
      </c>
      <c r="R47" s="1883" t="s">
        <v>1525</v>
      </c>
    </row>
    <row r="48" spans="1:18" s="1839" customFormat="1" ht="28.5" thickBot="1">
      <c r="A48" s="1358" t="s">
        <v>1132</v>
      </c>
      <c r="B48" s="345" t="s">
        <v>1397</v>
      </c>
      <c r="C48" s="2946">
        <f ca="1">C49+C53+C55</f>
        <v>0</v>
      </c>
      <c r="D48" s="1360"/>
      <c r="E48" s="1361"/>
      <c r="F48" s="1179"/>
      <c r="G48" s="792"/>
      <c r="H48" s="793"/>
      <c r="I48" s="1884" t="s">
        <v>1526</v>
      </c>
      <c r="J48" s="1885" t="s">
        <v>4606</v>
      </c>
      <c r="K48" s="1886" t="s">
        <v>1527</v>
      </c>
      <c r="L48" s="1887">
        <f ca="1">INDIRECT("'数据-取费表'!f"&amp;$G$1)</f>
        <v>36.53</v>
      </c>
      <c r="O48" s="1881" t="s">
        <v>1038</v>
      </c>
      <c r="P48" s="1882" t="s">
        <v>1528</v>
      </c>
      <c r="Q48" s="1883">
        <f ca="1">J60</f>
        <v>1</v>
      </c>
      <c r="R48" s="1883" t="s">
        <v>1529</v>
      </c>
    </row>
    <row r="49" spans="1:18" s="1839" customFormat="1" ht="13.5" thickBot="1">
      <c r="A49" s="1192" t="s">
        <v>1133</v>
      </c>
      <c r="B49" s="1826" t="s">
        <v>1486</v>
      </c>
      <c r="C49" s="1362">
        <f ca="1">ROUND(F49*F51*F50*(1-F52)/10000,0)</f>
        <v>0</v>
      </c>
      <c r="D49" s="1274" t="s">
        <v>3021</v>
      </c>
      <c r="E49" s="1827" t="s">
        <v>1487</v>
      </c>
      <c r="F49" s="1279"/>
      <c r="G49" s="1888"/>
      <c r="H49" s="793"/>
      <c r="I49" s="1884" t="s">
        <v>1530</v>
      </c>
      <c r="J49" s="1889">
        <v>2018</v>
      </c>
      <c r="K49" s="1886" t="s">
        <v>1531</v>
      </c>
      <c r="L49" s="1890"/>
      <c r="O49" s="1891" t="s">
        <v>1039</v>
      </c>
      <c r="P49" s="1882" t="s">
        <v>1532</v>
      </c>
      <c r="Q49" s="1883">
        <f ca="1">C29</f>
        <v>43</v>
      </c>
      <c r="R49" s="1883" t="s">
        <v>1525</v>
      </c>
    </row>
    <row r="50" spans="1:18" s="1839" customFormat="1" ht="13.5" thickBot="1">
      <c r="A50" s="1193"/>
      <c r="B50" s="1196"/>
      <c r="C50" s="1366"/>
      <c r="D50" s="1170"/>
      <c r="E50" s="1275" t="s">
        <v>1402</v>
      </c>
      <c r="F50" s="1276">
        <f ca="1">F7</f>
        <v>96.71</v>
      </c>
      <c r="H50" s="793"/>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4"/>
      <c r="B51" s="1196"/>
      <c r="C51" s="1197"/>
      <c r="D51" s="1170"/>
      <c r="E51" s="1198" t="s">
        <v>1403</v>
      </c>
      <c r="F51" s="348">
        <f ca="1">F8</f>
        <v>365</v>
      </c>
      <c r="I51" s="1895" t="s">
        <v>1536</v>
      </c>
      <c r="J51" s="1896">
        <f>IF(J49="",J50,J49+J50-YEAR('数据-取费表'!B2))</f>
        <v>59</v>
      </c>
      <c r="K51" s="1897" t="s">
        <v>1537</v>
      </c>
      <c r="L51" s="1898">
        <f ca="1">ROUND(-PV(INDIRECT("'数据-取费表'!h"&amp;$G$1),L48,(C39-C13*C76),0),0)</f>
        <v>69</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36.53</v>
      </c>
      <c r="R52" s="1883" t="s">
        <v>1542</v>
      </c>
    </row>
    <row r="53" spans="1:18" s="1839" customFormat="1" ht="24.75" thickBot="1">
      <c r="A53" s="1403" t="s">
        <v>1134</v>
      </c>
      <c r="B53" s="1828" t="s">
        <v>1405</v>
      </c>
      <c r="C53" s="361">
        <f ca="1">ROUND(IF(F53="押一",C49/12*F11,IF(F53="押二",C49/12*2*F11,IF(F53="押三",C49/12*3*F11,C54*F11))),0)</f>
        <v>0</v>
      </c>
      <c r="D53" s="1821" t="s">
        <v>3030</v>
      </c>
      <c r="E53" s="358"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36.53</v>
      </c>
      <c r="K53" s="3102" t="s">
        <v>1544</v>
      </c>
      <c r="L53" s="3103"/>
      <c r="O53" s="1881" t="s">
        <v>1043</v>
      </c>
      <c r="P53" s="1882" t="s">
        <v>1545</v>
      </c>
      <c r="Q53" s="1883">
        <f ca="1">Q47+Q48</f>
        <v>174</v>
      </c>
      <c r="R53" s="1883" t="s">
        <v>1044</v>
      </c>
    </row>
    <row r="54" spans="1:18" s="1839" customFormat="1" ht="13.5" thickBot="1">
      <c r="A54" s="1404"/>
      <c r="B54" s="1822" t="s">
        <v>1384</v>
      </c>
      <c r="C54" s="1176"/>
      <c r="D54" s="1821"/>
      <c r="E54" s="295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2951"/>
      <c r="F55" s="1904"/>
      <c r="I55" s="1907" t="s">
        <v>1547</v>
      </c>
      <c r="J55" s="1908">
        <f ca="1">ROUND(IF(J47="钢混",J57/J50,1-(1-2%)*(J50-J57)/J50),3)</f>
        <v>0.375</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42</v>
      </c>
      <c r="D56" s="1911"/>
      <c r="E56" s="1912"/>
      <c r="F56" s="1904"/>
      <c r="I56" s="1913" t="s">
        <v>1550</v>
      </c>
      <c r="J56" s="1914" t="s">
        <v>4596</v>
      </c>
      <c r="K56" s="1884" t="s">
        <v>1551</v>
      </c>
      <c r="L56" s="1887" t="str">
        <f ca="1">IF(L48&lt;J51,"——",L48-J53)</f>
        <v>——</v>
      </c>
      <c r="O56" s="1881" t="s">
        <v>1037</v>
      </c>
      <c r="P56" s="1882" t="s">
        <v>1524</v>
      </c>
      <c r="Q56" s="1883">
        <f ca="1">C40+J29</f>
        <v>173</v>
      </c>
      <c r="R56" s="1883" t="s">
        <v>1525</v>
      </c>
    </row>
    <row r="57" spans="1:18" s="1839" customFormat="1" ht="24.75" thickBot="1">
      <c r="A57" s="1915"/>
      <c r="B57" s="1167" t="s">
        <v>1474</v>
      </c>
      <c r="C57" s="282">
        <f ca="1">C29</f>
        <v>43</v>
      </c>
      <c r="D57" s="1916"/>
      <c r="E57" s="1917"/>
      <c r="F57" s="1918"/>
      <c r="I57" s="1919" t="s">
        <v>1552</v>
      </c>
      <c r="J57" s="1920">
        <f ca="1">IF(OR(M47="住宅",J51&lt;L48,J56="是"),"——",J51-L48)</f>
        <v>22.47</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4</v>
      </c>
      <c r="D58" s="1177" t="s">
        <v>1421</v>
      </c>
      <c r="E58" s="1178"/>
      <c r="F58" s="1179"/>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3.6</v>
      </c>
      <c r="D59" s="1180" t="s">
        <v>1426</v>
      </c>
      <c r="E59" s="1181" t="s">
        <v>1427</v>
      </c>
      <c r="F59" s="368" t="str">
        <f ca="1">IF(项目基本情况!B11="企业","",IF(INDIRECT("'数据-取费表'!c"&amp;$G$1)="住宅",5%,IF(F49*F50*F51/12/(1+'数据-取费表'!C42)&gt;20000,12%,7%)))</f>
        <v/>
      </c>
      <c r="I59" s="1919" t="s">
        <v>1559</v>
      </c>
      <c r="J59" s="1920">
        <f ca="1">IF(OR(M47="住宅",J51&lt;L48,J56="是"),"——",ROUND(C29*J58,0))</f>
        <v>17</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2" t="s">
        <v>1561</v>
      </c>
      <c r="J60" s="1923">
        <f ca="1">IF(OR(M47="住宅",J51&lt;L48,J56="是"),"0",ROUND(J59/(1+J52)^J53,0))</f>
        <v>1</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1433</v>
      </c>
      <c r="C61" s="24">
        <f ca="1">IF(项目基本情况!B11="自然人","——",IF(D61="按租金收入计税",ROUND(C48*F61,2),IF(D61="按房产原值计税",ROUND(C57*F61*0.7,2),INDIRECT("'数据-取费表'!Aj"&amp;$G$1))))</f>
        <v>3.61</v>
      </c>
      <c r="D61" s="1825" t="s">
        <v>1434</v>
      </c>
      <c r="E61" s="1167" t="s">
        <v>1418</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1437</v>
      </c>
      <c r="C62" s="25">
        <f ca="1">IF(项目基本情况!B11="自然人","——",ROUND(F62*F63/10000,2))</f>
        <v>0</v>
      </c>
      <c r="D62" s="1182" t="s">
        <v>1438</v>
      </c>
      <c r="E62" s="1167" t="s">
        <v>1439</v>
      </c>
      <c r="F62" s="371">
        <f t="shared" si="0"/>
        <v>1.5</v>
      </c>
      <c r="I62" s="1926" t="s">
        <v>1566</v>
      </c>
      <c r="J62" s="1927" t="s">
        <v>1567</v>
      </c>
      <c r="K62" s="1927" t="s">
        <v>1568</v>
      </c>
      <c r="L62" s="1927" t="s">
        <v>1569</v>
      </c>
      <c r="M62" s="1928" t="s">
        <v>1570</v>
      </c>
      <c r="O62" s="1881" t="s">
        <v>1043</v>
      </c>
      <c r="P62" s="1882" t="s">
        <v>1545</v>
      </c>
      <c r="Q62" s="1883">
        <f ca="1">Q56+Q57</f>
        <v>173</v>
      </c>
      <c r="R62" s="1883" t="s">
        <v>1044</v>
      </c>
    </row>
    <row r="63" spans="1:18" s="1839" customFormat="1" ht="13.5" thickBot="1">
      <c r="A63" s="372"/>
      <c r="B63" s="1173"/>
      <c r="C63" s="29"/>
      <c r="D63" s="1183"/>
      <c r="E63" s="1167" t="s">
        <v>1443</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1036</v>
      </c>
      <c r="B64" s="1167" t="s">
        <v>1445</v>
      </c>
      <c r="C64" s="24">
        <f ca="1">ROUND(C57*F64,1)</f>
        <v>0.6</v>
      </c>
      <c r="D64" s="1181" t="s">
        <v>1478</v>
      </c>
      <c r="E64" s="1167"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0.1</v>
      </c>
      <c r="D65" s="1181" t="s">
        <v>1450</v>
      </c>
      <c r="E65" s="1167" t="s">
        <v>1418</v>
      </c>
      <c r="F65" s="376">
        <f t="shared" ca="1" si="0"/>
        <v>1.5E-3</v>
      </c>
      <c r="I65" s="1926" t="s">
        <v>1575</v>
      </c>
      <c r="J65" s="1927">
        <v>40</v>
      </c>
      <c r="K65" s="1927">
        <v>30</v>
      </c>
      <c r="L65" s="1927">
        <v>50</v>
      </c>
      <c r="M65" s="1929">
        <v>0.02</v>
      </c>
      <c r="O65" s="1881" t="s">
        <v>1037</v>
      </c>
      <c r="P65" s="1882" t="s">
        <v>1524</v>
      </c>
      <c r="Q65" s="1883">
        <f ca="1">C40+J29</f>
        <v>173</v>
      </c>
      <c r="R65" s="1883" t="s">
        <v>1525</v>
      </c>
    </row>
    <row r="66" spans="1:18" s="1839" customFormat="1" ht="16.5" thickBot="1">
      <c r="A66" s="1199" t="s">
        <v>1500</v>
      </c>
      <c r="B66" s="1167" t="s">
        <v>1435</v>
      </c>
      <c r="C66" s="24">
        <f ca="1">ROUND(C48*F66,1)</f>
        <v>0</v>
      </c>
      <c r="D66" s="1181" t="s">
        <v>1455</v>
      </c>
      <c r="E66" s="1167" t="s">
        <v>1418</v>
      </c>
      <c r="F66" s="357">
        <f t="shared" ca="1" si="0"/>
        <v>0.01</v>
      </c>
      <c r="O66" s="1881" t="s">
        <v>1038</v>
      </c>
      <c r="P66" s="1882" t="s">
        <v>1554</v>
      </c>
      <c r="Q66" s="1883">
        <f ca="1">L60</f>
        <v>0</v>
      </c>
      <c r="R66" s="1883" t="s">
        <v>1577</v>
      </c>
    </row>
    <row r="67" spans="1:18" s="1839" customFormat="1" ht="16.5" thickBot="1">
      <c r="A67" s="1174" t="s">
        <v>1028</v>
      </c>
      <c r="B67" s="1184" t="s">
        <v>1459</v>
      </c>
      <c r="C67" s="361">
        <f ca="1">C48-C58</f>
        <v>-4</v>
      </c>
      <c r="D67" s="1180" t="s">
        <v>1460</v>
      </c>
      <c r="E67" s="1185"/>
      <c r="F67" s="1186"/>
      <c r="O67" s="1891" t="s">
        <v>1039</v>
      </c>
      <c r="P67" s="1882" t="s">
        <v>1558</v>
      </c>
      <c r="Q67" s="1930">
        <f ca="1">L51</f>
        <v>69</v>
      </c>
      <c r="R67" s="1883" t="s">
        <v>1578</v>
      </c>
    </row>
    <row r="68" spans="1:18" s="1839" customFormat="1" ht="16.5" thickBot="1">
      <c r="A68" s="1164" t="s">
        <v>1029</v>
      </c>
      <c r="B68" s="1165" t="s">
        <v>1481</v>
      </c>
      <c r="C68" s="346">
        <f ca="1">ROUND(C67*(1-((1+F70)/(1+F68))^F69)/(F68-F70),0)</f>
        <v>-59</v>
      </c>
      <c r="D68" s="1182" t="s">
        <v>1465</v>
      </c>
      <c r="E68" s="1167" t="s">
        <v>1466</v>
      </c>
      <c r="F68" s="357">
        <f ca="1">F40</f>
        <v>0.06</v>
      </c>
      <c r="O68" s="1891" t="s">
        <v>1040</v>
      </c>
      <c r="P68" s="1931" t="s">
        <v>1579</v>
      </c>
      <c r="Q68" s="1883">
        <f ca="1">ROUND(Q69-Q70*Q71,0)</f>
        <v>4</v>
      </c>
      <c r="R68" s="1883" t="s">
        <v>1048</v>
      </c>
    </row>
    <row r="69" spans="1:18" s="1839" customFormat="1" ht="13.5" thickBot="1">
      <c r="A69" s="1168"/>
      <c r="B69" s="1169"/>
      <c r="C69" s="351"/>
      <c r="D69" s="1187" t="s">
        <v>1469</v>
      </c>
      <c r="E69" s="1167" t="s">
        <v>1470</v>
      </c>
      <c r="F69" s="379">
        <f ca="1">F41</f>
        <v>36.53</v>
      </c>
      <c r="O69" s="1891" t="s">
        <v>1045</v>
      </c>
      <c r="P69" s="1931" t="s">
        <v>1580</v>
      </c>
      <c r="Q69" s="1883">
        <f ca="1">C39</f>
        <v>8</v>
      </c>
      <c r="R69" s="1883" t="s">
        <v>1525</v>
      </c>
    </row>
    <row r="70" spans="1:18" s="1839" customFormat="1" ht="13.5" thickBot="1">
      <c r="A70" s="1171"/>
      <c r="B70" s="1172"/>
      <c r="C70" s="355"/>
      <c r="D70" s="1183"/>
      <c r="E70" s="1167" t="s">
        <v>1473</v>
      </c>
      <c r="F70" s="1273"/>
      <c r="O70" s="1891" t="s">
        <v>1046</v>
      </c>
      <c r="P70" s="1931" t="s">
        <v>1581</v>
      </c>
      <c r="Q70" s="1883">
        <f ca="1">C13</f>
        <v>42</v>
      </c>
      <c r="R70" s="1883" t="s">
        <v>1525</v>
      </c>
    </row>
    <row r="71" spans="1:18" s="1839" customFormat="1" ht="13.5" thickBot="1">
      <c r="A71" s="1188" t="s">
        <v>1030</v>
      </c>
      <c r="B71" s="1189" t="s">
        <v>1483</v>
      </c>
      <c r="C71" s="382">
        <f ca="1">ROUND(C68*10000/F71,0)</f>
        <v>-6101</v>
      </c>
      <c r="D71" s="1190" t="s">
        <v>1484</v>
      </c>
      <c r="E71" s="1191" t="s">
        <v>1485</v>
      </c>
      <c r="F71" s="385">
        <f ca="1">F43</f>
        <v>96.71</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4</v>
      </c>
      <c r="D75" s="1839"/>
      <c r="E75" s="1839"/>
      <c r="F75" s="1839"/>
      <c r="K75" s="1865"/>
      <c r="L75" s="1839"/>
      <c r="O75" s="1881" t="s">
        <v>1043</v>
      </c>
      <c r="P75" s="1882" t="s">
        <v>1545</v>
      </c>
      <c r="Q75" s="1883">
        <f ca="1">Q65+Q66</f>
        <v>173</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0.5</v>
      </c>
    </row>
    <row r="80" spans="1:18">
      <c r="B80" s="386" t="s">
        <v>1507</v>
      </c>
      <c r="C80" s="318">
        <f ca="1">ROUND(C75/C39,3)</f>
        <v>0.5</v>
      </c>
    </row>
    <row r="81" spans="2:3">
      <c r="B81" s="314" t="s">
        <v>1508</v>
      </c>
      <c r="C81" s="282"/>
    </row>
    <row r="82" spans="2:3">
      <c r="B82" s="317" t="s">
        <v>1509</v>
      </c>
      <c r="C82" s="319">
        <f ca="1">1-C83</f>
        <v>0.75700000000000001</v>
      </c>
    </row>
    <row r="83" spans="2:3">
      <c r="B83" s="317" t="s">
        <v>1510</v>
      </c>
      <c r="C83" s="318">
        <f ca="1">ROUND(C13/C40,3)</f>
        <v>0.24299999999999999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activeCell="C50" sqref="C50"/>
      <selection pane="bottomLeft" activeCell="V41" sqref="V41"/>
    </sheetView>
  </sheetViews>
  <sheetFormatPr defaultColWidth="9" defaultRowHeight="12.75"/>
  <cols>
    <col min="1" max="1" width="36.375" style="139" customWidth="1"/>
    <col min="2" max="2" width="9.25" style="27" customWidth="1"/>
    <col min="3" max="3" width="7.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3000</v>
      </c>
      <c r="C1" s="3268" t="s">
        <v>3001</v>
      </c>
      <c r="D1" s="3269"/>
      <c r="E1" s="3269"/>
      <c r="F1" s="3269"/>
      <c r="G1" s="3269"/>
      <c r="H1" s="3269"/>
      <c r="I1" s="3269"/>
      <c r="J1" s="3269"/>
      <c r="K1" s="3269"/>
      <c r="L1" s="3269"/>
      <c r="M1" s="3269"/>
      <c r="N1" s="3269"/>
      <c r="O1" s="3269"/>
      <c r="P1" s="3269"/>
      <c r="Q1" s="3269"/>
      <c r="R1" s="3269"/>
      <c r="S1" s="3270"/>
      <c r="T1" s="1202" t="s">
        <v>3002</v>
      </c>
    </row>
    <row r="2" spans="1:45" s="707" customFormat="1" ht="38.25">
      <c r="A2" s="1203"/>
      <c r="B2" s="703" t="s">
        <v>3003</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v>50</v>
      </c>
      <c r="E3" s="710">
        <v>100</v>
      </c>
      <c r="F3" s="1702">
        <v>150</v>
      </c>
      <c r="G3" s="1702">
        <v>200</v>
      </c>
      <c r="H3" s="1702">
        <v>250</v>
      </c>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v>100</v>
      </c>
      <c r="D4" s="1209">
        <f>C4-1</f>
        <v>99</v>
      </c>
      <c r="E4" s="1209">
        <f t="shared" ref="E4:H4" si="7">D4-1</f>
        <v>98</v>
      </c>
      <c r="F4" s="1209">
        <f t="shared" si="7"/>
        <v>97</v>
      </c>
      <c r="G4" s="1209">
        <f t="shared" si="7"/>
        <v>96</v>
      </c>
      <c r="H4" s="1209">
        <f t="shared" si="7"/>
        <v>95</v>
      </c>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2988" t="s">
        <v>4663</v>
      </c>
      <c r="C5" s="2990" t="s">
        <v>4665</v>
      </c>
      <c r="D5" s="2991" t="s">
        <v>4666</v>
      </c>
      <c r="E5" s="1215"/>
      <c r="F5" s="1709"/>
      <c r="G5" s="1709"/>
      <c r="H5" s="1709"/>
      <c r="I5" s="1709"/>
      <c r="J5" s="1709"/>
      <c r="K5" s="1709"/>
      <c r="L5" s="1710"/>
      <c r="M5" s="1711"/>
      <c r="N5" s="1711"/>
      <c r="O5" s="1709"/>
      <c r="P5" s="1709"/>
      <c r="Q5" s="1709"/>
      <c r="R5" s="1709"/>
      <c r="S5" s="1712"/>
      <c r="T5" s="1217">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105</v>
      </c>
      <c r="E6" s="1117">
        <f t="shared" ref="E6:S6" si="8">D6-$T5</f>
        <v>110</v>
      </c>
      <c r="F6" s="1713">
        <f t="shared" si="8"/>
        <v>115</v>
      </c>
      <c r="G6" s="1713">
        <f t="shared" si="8"/>
        <v>120</v>
      </c>
      <c r="H6" s="1713">
        <f t="shared" si="8"/>
        <v>125</v>
      </c>
      <c r="I6" s="1713">
        <f t="shared" si="8"/>
        <v>130</v>
      </c>
      <c r="J6" s="1713">
        <f t="shared" si="8"/>
        <v>135</v>
      </c>
      <c r="K6" s="1713">
        <f t="shared" si="8"/>
        <v>140</v>
      </c>
      <c r="L6" s="1713">
        <f t="shared" si="8"/>
        <v>145</v>
      </c>
      <c r="M6" s="1713">
        <f t="shared" si="8"/>
        <v>150</v>
      </c>
      <c r="N6" s="1713">
        <f t="shared" si="8"/>
        <v>155</v>
      </c>
      <c r="O6" s="1713">
        <f t="shared" si="8"/>
        <v>160</v>
      </c>
      <c r="P6" s="1713">
        <f t="shared" si="8"/>
        <v>165</v>
      </c>
      <c r="Q6" s="1713">
        <f t="shared" si="8"/>
        <v>170</v>
      </c>
      <c r="R6" s="1713">
        <f t="shared" si="8"/>
        <v>175</v>
      </c>
      <c r="S6" s="1713">
        <f t="shared" si="8"/>
        <v>180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2989" t="s">
        <v>4664</v>
      </c>
      <c r="C7" s="2992" t="s">
        <v>4667</v>
      </c>
      <c r="D7" s="2993" t="s">
        <v>4668</v>
      </c>
      <c r="E7" s="2993" t="s">
        <v>4669</v>
      </c>
      <c r="F7" s="1714"/>
      <c r="G7" s="1714"/>
      <c r="H7" s="1714"/>
      <c r="I7" s="1714"/>
      <c r="J7" s="1714"/>
      <c r="K7" s="1714"/>
      <c r="L7" s="1714"/>
      <c r="M7" s="1715"/>
      <c r="N7" s="1716"/>
      <c r="O7" s="1717"/>
      <c r="P7" s="1718"/>
      <c r="Q7" s="1719"/>
      <c r="R7" s="1720"/>
      <c r="S7" s="1721"/>
      <c r="T7" s="713">
        <f>'比较法-商业'!K42</f>
        <v>1.5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98.5</v>
      </c>
      <c r="E8" s="1117">
        <f t="shared" ref="E8:S8" si="9">D8-$T7</f>
        <v>97</v>
      </c>
      <c r="F8" s="1713">
        <f t="shared" si="9"/>
        <v>95.5</v>
      </c>
      <c r="G8" s="1713">
        <f t="shared" si="9"/>
        <v>94</v>
      </c>
      <c r="H8" s="1713">
        <f t="shared" si="9"/>
        <v>92.5</v>
      </c>
      <c r="I8" s="1713">
        <f t="shared" si="9"/>
        <v>91</v>
      </c>
      <c r="J8" s="1713">
        <f t="shared" si="9"/>
        <v>89.5</v>
      </c>
      <c r="K8" s="1713">
        <f t="shared" si="9"/>
        <v>88</v>
      </c>
      <c r="L8" s="1713">
        <f t="shared" si="9"/>
        <v>86.5</v>
      </c>
      <c r="M8" s="1713">
        <f t="shared" si="9"/>
        <v>85</v>
      </c>
      <c r="N8" s="1713">
        <f t="shared" si="9"/>
        <v>83.5</v>
      </c>
      <c r="O8" s="1713">
        <f t="shared" si="9"/>
        <v>82</v>
      </c>
      <c r="P8" s="1713">
        <f t="shared" si="9"/>
        <v>80.5</v>
      </c>
      <c r="Q8" s="1713">
        <f t="shared" si="9"/>
        <v>79</v>
      </c>
      <c r="R8" s="1713">
        <f t="shared" si="9"/>
        <v>77.5</v>
      </c>
      <c r="S8" s="1713">
        <f t="shared" si="9"/>
        <v>76</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2989"/>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10">D10-$T9</f>
        <v>100</v>
      </c>
      <c r="F10" s="1723">
        <f t="shared" si="10"/>
        <v>100</v>
      </c>
      <c r="G10" s="1723">
        <f t="shared" si="10"/>
        <v>100</v>
      </c>
      <c r="H10" s="1723">
        <f t="shared" si="10"/>
        <v>100</v>
      </c>
      <c r="I10" s="1723">
        <f t="shared" si="10"/>
        <v>100</v>
      </c>
      <c r="J10" s="1723">
        <f t="shared" si="10"/>
        <v>100</v>
      </c>
      <c r="K10" s="1723">
        <f t="shared" si="10"/>
        <v>100</v>
      </c>
      <c r="L10" s="1723">
        <f t="shared" si="10"/>
        <v>100</v>
      </c>
      <c r="M10" s="1723">
        <f t="shared" si="10"/>
        <v>100</v>
      </c>
      <c r="N10" s="1723">
        <f t="shared" si="10"/>
        <v>100</v>
      </c>
      <c r="O10" s="1723">
        <f t="shared" si="10"/>
        <v>100</v>
      </c>
      <c r="P10" s="1723">
        <f t="shared" si="10"/>
        <v>100</v>
      </c>
      <c r="Q10" s="1723">
        <f t="shared" si="10"/>
        <v>100</v>
      </c>
      <c r="R10" s="1723">
        <f t="shared" si="10"/>
        <v>100</v>
      </c>
      <c r="S10" s="1723">
        <f t="shared" si="10"/>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1">D12-$T11</f>
        <v>100</v>
      </c>
      <c r="F12" s="1117">
        <f t="shared" si="11"/>
        <v>100</v>
      </c>
      <c r="G12" s="1117">
        <f t="shared" si="11"/>
        <v>100</v>
      </c>
      <c r="H12" s="1117">
        <f t="shared" si="11"/>
        <v>100</v>
      </c>
      <c r="I12" s="1117">
        <f t="shared" si="11"/>
        <v>100</v>
      </c>
      <c r="J12" s="1117">
        <f t="shared" si="11"/>
        <v>100</v>
      </c>
      <c r="K12" s="1117">
        <f t="shared" si="11"/>
        <v>100</v>
      </c>
      <c r="L12" s="1117">
        <f t="shared" si="11"/>
        <v>100</v>
      </c>
      <c r="M12" s="1117">
        <f t="shared" si="11"/>
        <v>100</v>
      </c>
      <c r="N12" s="1117">
        <f t="shared" si="11"/>
        <v>100</v>
      </c>
      <c r="O12" s="1117">
        <f t="shared" si="11"/>
        <v>100</v>
      </c>
      <c r="P12" s="1117">
        <f t="shared" si="11"/>
        <v>100</v>
      </c>
      <c r="Q12" s="1117">
        <f t="shared" si="11"/>
        <v>100</v>
      </c>
      <c r="R12" s="1117">
        <f>Q12-$T11</f>
        <v>100</v>
      </c>
      <c r="S12" s="1117">
        <f t="shared" si="11"/>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3006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3007</v>
      </c>
      <c r="B17" s="2915" t="s">
        <v>3008</v>
      </c>
      <c r="C17" s="1229">
        <v>-1</v>
      </c>
      <c r="D17" s="1230">
        <v>-2</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v>100</v>
      </c>
      <c r="D18" s="1242">
        <v>83</v>
      </c>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6" t="s">
        <v>3009</v>
      </c>
      <c r="E19" s="1789"/>
      <c r="F19" s="1789"/>
      <c r="G19" s="1789"/>
      <c r="H19" s="1278"/>
      <c r="I19" s="168"/>
      <c r="J19" s="168"/>
      <c r="K19" s="168"/>
      <c r="L19" s="168"/>
      <c r="M19" s="168"/>
      <c r="N19" s="168"/>
      <c r="O19" s="168"/>
      <c r="P19" s="168"/>
      <c r="Q19" s="168"/>
      <c r="R19" s="788"/>
      <c r="S19" s="138"/>
    </row>
    <row r="20" spans="1:45" ht="16.5" thickBot="1">
      <c r="A20" s="715" t="s">
        <v>3010</v>
      </c>
      <c r="B20" s="338">
        <f ca="1">IF(D20="——",S22,S22-F20)</f>
        <v>11764</v>
      </c>
      <c r="C20" s="168"/>
      <c r="D20" s="2917" t="s">
        <v>70</v>
      </c>
      <c r="E20" s="1790"/>
      <c r="F20" s="1202" t="e">
        <f ca="1">SUMIF(INDIRECT("'"&amp;H20&amp;"'"&amp;"!A:A"),"承租人权益价值",INDIRECT("'"&amp;H20&amp;"'"&amp;"!c:c"))</f>
        <v>#REF!</v>
      </c>
      <c r="G20" s="1202" t="s">
        <v>3011</v>
      </c>
      <c r="H20" s="2918"/>
      <c r="I20" s="168"/>
      <c r="J20" s="168"/>
      <c r="K20" s="168"/>
      <c r="L20" s="168"/>
      <c r="M20" s="168"/>
      <c r="N20" s="168"/>
      <c r="O20" s="168"/>
      <c r="P20" s="168"/>
      <c r="Q20" s="168"/>
      <c r="R20" s="788"/>
      <c r="S20" s="138"/>
    </row>
    <row r="21" spans="1:45" ht="15.75">
      <c r="A21" s="715" t="s">
        <v>3012</v>
      </c>
      <c r="B21" s="338">
        <f ca="1">R22</f>
        <v>21634</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5437.64</v>
      </c>
      <c r="C22" s="3210" t="s">
        <v>33</v>
      </c>
      <c r="D22" s="3211"/>
      <c r="E22" s="3211"/>
      <c r="F22" s="3211"/>
      <c r="G22" s="3211"/>
      <c r="H22" s="3211"/>
      <c r="I22" s="3211"/>
      <c r="J22" s="3211"/>
      <c r="K22" s="3211"/>
      <c r="L22" s="3211"/>
      <c r="M22" s="3211"/>
      <c r="N22" s="3211"/>
      <c r="O22" s="3211"/>
      <c r="P22" s="3211"/>
      <c r="Q22" s="3267"/>
      <c r="R22" s="716">
        <f ca="1">ROUND(S22*10000/B22,0)</f>
        <v>21634</v>
      </c>
      <c r="S22" s="24">
        <f ca="1">SUM(S24:S10000)</f>
        <v>11764</v>
      </c>
    </row>
    <row r="23" spans="1:45" s="12" customFormat="1" ht="24">
      <c r="A23" s="11" t="s">
        <v>3014</v>
      </c>
      <c r="B23" s="11" t="s">
        <v>3015</v>
      </c>
      <c r="C23" s="11" t="s">
        <v>3016</v>
      </c>
      <c r="D23" s="11" t="str">
        <f>B5</f>
        <v>层高</v>
      </c>
      <c r="E23" s="11" t="s">
        <v>3016</v>
      </c>
      <c r="F23" s="11" t="str">
        <f>B7</f>
        <v>装修</v>
      </c>
      <c r="G23" s="11" t="s">
        <v>3016</v>
      </c>
      <c r="H23" s="11">
        <f>B9</f>
        <v>0</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抵押物清单!E100</f>
        <v>北京恒大滨河左岸-商铺-16_01_05地块--122</v>
      </c>
      <c r="B24" s="718">
        <f>抵押物清单!G100</f>
        <v>96.71</v>
      </c>
      <c r="C24" s="719">
        <v>1</v>
      </c>
      <c r="D24" s="720" t="s">
        <v>4646</v>
      </c>
      <c r="E24" s="719">
        <v>1</v>
      </c>
      <c r="F24" s="2994" t="s">
        <v>4670</v>
      </c>
      <c r="G24" s="719">
        <v>1</v>
      </c>
      <c r="H24" s="720"/>
      <c r="I24" s="719">
        <v>1</v>
      </c>
      <c r="J24" s="720"/>
      <c r="K24" s="719">
        <v>1</v>
      </c>
      <c r="L24" s="720"/>
      <c r="M24" s="719">
        <v>1</v>
      </c>
      <c r="N24" s="720"/>
      <c r="O24" s="719">
        <v>1</v>
      </c>
      <c r="P24" s="720">
        <v>-1</v>
      </c>
      <c r="Q24" s="719">
        <v>1</v>
      </c>
      <c r="R24" s="721">
        <f ca="1">'结果表-商业'!G20</f>
        <v>24103</v>
      </c>
      <c r="S24" s="719">
        <f t="shared" ref="S24:S54" ca="1" si="12">ROUND(R24*B24/10000,0)</f>
        <v>233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764" t="str">
        <f>抵押物清单!E101</f>
        <v>北京恒大滨河左岸-商铺-16_01_05地块--123</v>
      </c>
      <c r="B25" s="2764">
        <f>抵押物清单!G101</f>
        <v>61.64</v>
      </c>
      <c r="C25" s="24">
        <f>IF(B25="",1,(LOOKUP(B25,$3:$3,$4:$4)-LOOKUP($B$24,$3:$3,$4:$4)+100)/100)</f>
        <v>1</v>
      </c>
      <c r="D25" s="720" t="s">
        <v>4646</v>
      </c>
      <c r="E25" s="24">
        <f>(SUMIF($5:$5,D25,$6:$6)-SUMIF($5:$5,$D$24,$6:$6)+100)/100</f>
        <v>1</v>
      </c>
      <c r="F25" s="2994" t="s">
        <v>4670</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 ca="1">IF(B25="",0,ROUND($R$24*C25*E25*G25*I25*K25*M25*O25*Q25,0))</f>
        <v>24103</v>
      </c>
      <c r="S25" s="361">
        <f t="shared" ca="1" si="12"/>
        <v>149</v>
      </c>
    </row>
    <row r="26" spans="1:45">
      <c r="A26" s="2764" t="str">
        <f>抵押物清单!E102</f>
        <v>北京恒大滨河左岸-商铺-16_01_05地块--124</v>
      </c>
      <c r="B26" s="2764">
        <f>抵押物清单!G102</f>
        <v>95.83</v>
      </c>
      <c r="C26" s="24">
        <f t="shared" ref="C26:C89" si="13">IF(B26="",1,(LOOKUP(B26,$3:$3,$4:$4)-LOOKUP($B$24,$3:$3,$4:$4)+100)/100)</f>
        <v>1</v>
      </c>
      <c r="D26" s="720" t="s">
        <v>4646</v>
      </c>
      <c r="E26" s="24">
        <f t="shared" ref="E26:E89" si="14">(SUMIF($5:$5,D26,$6:$6)-SUMIF($5:$5,$D$24,$6:$6)+100)/100</f>
        <v>1</v>
      </c>
      <c r="F26" s="2994" t="s">
        <v>4670</v>
      </c>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v>-1</v>
      </c>
      <c r="Q26" s="24">
        <f t="shared" ref="Q26:Q89" si="20">(SUMIF($17:$17,P26,$18:$18)-SUMIF($17:$17,$P$24,$18:$18)+100)/100</f>
        <v>1</v>
      </c>
      <c r="R26" s="716">
        <f t="shared" ref="R26:R89" ca="1" si="21">IF(B26="",0,ROUND($R$24*C26*E26*G26*I26*K26*M26*O26*Q26,0))</f>
        <v>24103</v>
      </c>
      <c r="S26" s="361">
        <f t="shared" ca="1" si="12"/>
        <v>231</v>
      </c>
    </row>
    <row r="27" spans="1:45">
      <c r="A27" s="2764" t="str">
        <f>抵押物清单!E103</f>
        <v>北京恒大滨河左岸-商铺-16_01_05地块--125</v>
      </c>
      <c r="B27" s="2764">
        <f>抵押物清单!G103</f>
        <v>97.09</v>
      </c>
      <c r="C27" s="24">
        <f t="shared" si="13"/>
        <v>1</v>
      </c>
      <c r="D27" s="720" t="s">
        <v>4646</v>
      </c>
      <c r="E27" s="24">
        <f t="shared" si="14"/>
        <v>1</v>
      </c>
      <c r="F27" s="2994" t="s">
        <v>4670</v>
      </c>
      <c r="G27" s="24">
        <f t="shared" si="15"/>
        <v>1</v>
      </c>
      <c r="H27" s="720"/>
      <c r="I27" s="24">
        <f t="shared" si="16"/>
        <v>1</v>
      </c>
      <c r="J27" s="720"/>
      <c r="K27" s="24">
        <f t="shared" si="17"/>
        <v>1</v>
      </c>
      <c r="L27" s="720"/>
      <c r="M27" s="24">
        <f t="shared" si="18"/>
        <v>1</v>
      </c>
      <c r="N27" s="720"/>
      <c r="O27" s="24">
        <f t="shared" si="19"/>
        <v>1</v>
      </c>
      <c r="P27" s="720">
        <v>-1</v>
      </c>
      <c r="Q27" s="24">
        <f t="shared" si="20"/>
        <v>1</v>
      </c>
      <c r="R27" s="716">
        <f t="shared" ca="1" si="21"/>
        <v>24103</v>
      </c>
      <c r="S27" s="361">
        <f t="shared" ca="1" si="12"/>
        <v>234</v>
      </c>
    </row>
    <row r="28" spans="1:45">
      <c r="A28" s="2764" t="str">
        <f>抵押物清单!E104</f>
        <v>北京恒大滨河左岸-商铺-16_01_05地块--126</v>
      </c>
      <c r="B28" s="2764">
        <f>抵押物清单!G104</f>
        <v>97.32</v>
      </c>
      <c r="C28" s="24">
        <f t="shared" si="13"/>
        <v>1</v>
      </c>
      <c r="D28" s="720" t="s">
        <v>4646</v>
      </c>
      <c r="E28" s="24">
        <f t="shared" si="14"/>
        <v>1</v>
      </c>
      <c r="F28" s="2994" t="s">
        <v>4670</v>
      </c>
      <c r="G28" s="24">
        <f t="shared" si="15"/>
        <v>1</v>
      </c>
      <c r="H28" s="720"/>
      <c r="I28" s="24">
        <f t="shared" si="16"/>
        <v>1</v>
      </c>
      <c r="J28" s="720"/>
      <c r="K28" s="24">
        <f t="shared" si="17"/>
        <v>1</v>
      </c>
      <c r="L28" s="720"/>
      <c r="M28" s="24">
        <f t="shared" si="18"/>
        <v>1</v>
      </c>
      <c r="N28" s="720"/>
      <c r="O28" s="24">
        <f t="shared" si="19"/>
        <v>1</v>
      </c>
      <c r="P28" s="720">
        <v>-1</v>
      </c>
      <c r="Q28" s="24">
        <f t="shared" si="20"/>
        <v>1</v>
      </c>
      <c r="R28" s="716">
        <f t="shared" ca="1" si="21"/>
        <v>24103</v>
      </c>
      <c r="S28" s="361">
        <f t="shared" ca="1" si="12"/>
        <v>235</v>
      </c>
    </row>
    <row r="29" spans="1:45">
      <c r="A29" s="2764" t="str">
        <f>抵押物清单!E105</f>
        <v>北京恒大滨河左岸-商铺-16_01_05地块--127</v>
      </c>
      <c r="B29" s="2764">
        <f>抵押物清单!G105</f>
        <v>95.87</v>
      </c>
      <c r="C29" s="24">
        <f t="shared" si="13"/>
        <v>1</v>
      </c>
      <c r="D29" s="720" t="s">
        <v>4646</v>
      </c>
      <c r="E29" s="24">
        <f t="shared" si="14"/>
        <v>1</v>
      </c>
      <c r="F29" s="2994" t="s">
        <v>4670</v>
      </c>
      <c r="G29" s="24">
        <f t="shared" si="15"/>
        <v>1</v>
      </c>
      <c r="H29" s="720"/>
      <c r="I29" s="24">
        <f t="shared" si="16"/>
        <v>1</v>
      </c>
      <c r="J29" s="720"/>
      <c r="K29" s="24">
        <f t="shared" si="17"/>
        <v>1</v>
      </c>
      <c r="L29" s="720"/>
      <c r="M29" s="24">
        <f t="shared" si="18"/>
        <v>1</v>
      </c>
      <c r="N29" s="720"/>
      <c r="O29" s="24">
        <f t="shared" si="19"/>
        <v>1</v>
      </c>
      <c r="P29" s="720">
        <v>-1</v>
      </c>
      <c r="Q29" s="24">
        <f t="shared" si="20"/>
        <v>1</v>
      </c>
      <c r="R29" s="716">
        <f t="shared" ca="1" si="21"/>
        <v>24103</v>
      </c>
      <c r="S29" s="361">
        <f t="shared" ca="1" si="12"/>
        <v>231</v>
      </c>
    </row>
    <row r="30" spans="1:45">
      <c r="A30" s="2764" t="str">
        <f>抵押物清单!E106</f>
        <v>北京恒大滨河左岸-商铺-16_01_05地块--128</v>
      </c>
      <c r="B30" s="2764">
        <f>抵押物清单!G106</f>
        <v>94.28</v>
      </c>
      <c r="C30" s="24">
        <f t="shared" si="13"/>
        <v>1</v>
      </c>
      <c r="D30" s="720" t="s">
        <v>4646</v>
      </c>
      <c r="E30" s="24">
        <f t="shared" si="14"/>
        <v>1</v>
      </c>
      <c r="F30" s="2994" t="s">
        <v>4670</v>
      </c>
      <c r="G30" s="24">
        <f t="shared" si="15"/>
        <v>1</v>
      </c>
      <c r="H30" s="720"/>
      <c r="I30" s="24">
        <f t="shared" si="16"/>
        <v>1</v>
      </c>
      <c r="J30" s="720"/>
      <c r="K30" s="24">
        <f t="shared" si="17"/>
        <v>1</v>
      </c>
      <c r="L30" s="720"/>
      <c r="M30" s="24">
        <f t="shared" si="18"/>
        <v>1</v>
      </c>
      <c r="N30" s="720"/>
      <c r="O30" s="24">
        <f t="shared" si="19"/>
        <v>1</v>
      </c>
      <c r="P30" s="720">
        <v>-1</v>
      </c>
      <c r="Q30" s="24">
        <f t="shared" si="20"/>
        <v>1</v>
      </c>
      <c r="R30" s="716">
        <f t="shared" ca="1" si="21"/>
        <v>24103</v>
      </c>
      <c r="S30" s="361">
        <f t="shared" ca="1" si="12"/>
        <v>227</v>
      </c>
    </row>
    <row r="31" spans="1:45">
      <c r="A31" s="2764" t="str">
        <f>抵押物清单!E107</f>
        <v>北京恒大滨河左岸-商铺-16_01_05地块--129</v>
      </c>
      <c r="B31" s="2764">
        <f>抵押物清单!G107</f>
        <v>216.93</v>
      </c>
      <c r="C31" s="24">
        <f t="shared" si="13"/>
        <v>0.97</v>
      </c>
      <c r="D31" s="720" t="s">
        <v>4646</v>
      </c>
      <c r="E31" s="24">
        <f t="shared" si="14"/>
        <v>1</v>
      </c>
      <c r="F31" s="2994" t="s">
        <v>4670</v>
      </c>
      <c r="G31" s="24">
        <f t="shared" si="15"/>
        <v>1</v>
      </c>
      <c r="H31" s="720"/>
      <c r="I31" s="24">
        <f t="shared" si="16"/>
        <v>1</v>
      </c>
      <c r="J31" s="720"/>
      <c r="K31" s="24">
        <f t="shared" si="17"/>
        <v>1</v>
      </c>
      <c r="L31" s="720"/>
      <c r="M31" s="24">
        <f t="shared" si="18"/>
        <v>1</v>
      </c>
      <c r="N31" s="720"/>
      <c r="O31" s="24">
        <f t="shared" si="19"/>
        <v>1</v>
      </c>
      <c r="P31" s="720">
        <v>-1</v>
      </c>
      <c r="Q31" s="24">
        <f t="shared" si="20"/>
        <v>1</v>
      </c>
      <c r="R31" s="716">
        <f t="shared" ca="1" si="21"/>
        <v>23380</v>
      </c>
      <c r="S31" s="361">
        <f t="shared" ca="1" si="12"/>
        <v>507</v>
      </c>
    </row>
    <row r="32" spans="1:45">
      <c r="A32" s="2764" t="str">
        <f>抵押物清单!E108</f>
        <v>北京恒大滨河左岸-商铺-16_03_04地块--056</v>
      </c>
      <c r="B32" s="2764">
        <f>抵押物清单!G108</f>
        <v>49.68</v>
      </c>
      <c r="C32" s="24">
        <f t="shared" si="13"/>
        <v>1.01</v>
      </c>
      <c r="D32" s="720" t="s">
        <v>4646</v>
      </c>
      <c r="E32" s="24">
        <f t="shared" si="14"/>
        <v>1</v>
      </c>
      <c r="F32" s="2994" t="s">
        <v>4670</v>
      </c>
      <c r="G32" s="24">
        <f t="shared" si="15"/>
        <v>1</v>
      </c>
      <c r="H32" s="720"/>
      <c r="I32" s="24">
        <f t="shared" si="16"/>
        <v>1</v>
      </c>
      <c r="J32" s="720"/>
      <c r="K32" s="24">
        <f t="shared" si="17"/>
        <v>1</v>
      </c>
      <c r="L32" s="720"/>
      <c r="M32" s="24">
        <f t="shared" si="18"/>
        <v>1</v>
      </c>
      <c r="N32" s="720"/>
      <c r="O32" s="24">
        <f t="shared" si="19"/>
        <v>1</v>
      </c>
      <c r="P32" s="720">
        <v>-1</v>
      </c>
      <c r="Q32" s="24">
        <f t="shared" si="20"/>
        <v>1</v>
      </c>
      <c r="R32" s="716">
        <f t="shared" ca="1" si="21"/>
        <v>24344</v>
      </c>
      <c r="S32" s="361">
        <f t="shared" ca="1" si="12"/>
        <v>121</v>
      </c>
    </row>
    <row r="33" spans="1:19">
      <c r="A33" s="2764" t="str">
        <f>抵押物清单!E109</f>
        <v>北京恒大滨河左岸-商铺-16_03_04地块--057</v>
      </c>
      <c r="B33" s="2764">
        <f>抵押物清单!G109</f>
        <v>47.32</v>
      </c>
      <c r="C33" s="24">
        <f t="shared" si="13"/>
        <v>1.01</v>
      </c>
      <c r="D33" s="720" t="s">
        <v>4646</v>
      </c>
      <c r="E33" s="24">
        <f t="shared" si="14"/>
        <v>1</v>
      </c>
      <c r="F33" s="2994" t="s">
        <v>4670</v>
      </c>
      <c r="G33" s="24">
        <f t="shared" si="15"/>
        <v>1</v>
      </c>
      <c r="H33" s="720"/>
      <c r="I33" s="24">
        <f t="shared" si="16"/>
        <v>1</v>
      </c>
      <c r="J33" s="720"/>
      <c r="K33" s="24">
        <f t="shared" si="17"/>
        <v>1</v>
      </c>
      <c r="L33" s="720"/>
      <c r="M33" s="24">
        <f t="shared" si="18"/>
        <v>1</v>
      </c>
      <c r="N33" s="720"/>
      <c r="O33" s="24">
        <f t="shared" si="19"/>
        <v>1</v>
      </c>
      <c r="P33" s="720">
        <v>-1</v>
      </c>
      <c r="Q33" s="24">
        <f t="shared" si="20"/>
        <v>1</v>
      </c>
      <c r="R33" s="716">
        <f t="shared" ca="1" si="21"/>
        <v>24344</v>
      </c>
      <c r="S33" s="361">
        <f t="shared" ca="1" si="12"/>
        <v>115</v>
      </c>
    </row>
    <row r="34" spans="1:19">
      <c r="A34" s="2764" t="str">
        <f>抵押物清单!E110</f>
        <v>北京恒大滨河左岸-商铺-16_03_04地块--058</v>
      </c>
      <c r="B34" s="2764">
        <f>抵押物清单!G110</f>
        <v>35.06</v>
      </c>
      <c r="C34" s="24">
        <f t="shared" si="13"/>
        <v>1.01</v>
      </c>
      <c r="D34" s="720" t="s">
        <v>4646</v>
      </c>
      <c r="E34" s="24">
        <f t="shared" si="14"/>
        <v>1</v>
      </c>
      <c r="F34" s="2994" t="s">
        <v>4670</v>
      </c>
      <c r="G34" s="24">
        <f t="shared" si="15"/>
        <v>1</v>
      </c>
      <c r="H34" s="720"/>
      <c r="I34" s="24">
        <f t="shared" si="16"/>
        <v>1</v>
      </c>
      <c r="J34" s="720"/>
      <c r="K34" s="24">
        <f t="shared" si="17"/>
        <v>1</v>
      </c>
      <c r="L34" s="720"/>
      <c r="M34" s="24">
        <f t="shared" si="18"/>
        <v>1</v>
      </c>
      <c r="N34" s="720"/>
      <c r="O34" s="24">
        <f t="shared" si="19"/>
        <v>1</v>
      </c>
      <c r="P34" s="720">
        <v>-1</v>
      </c>
      <c r="Q34" s="24">
        <f t="shared" si="20"/>
        <v>1</v>
      </c>
      <c r="R34" s="716">
        <f t="shared" ca="1" si="21"/>
        <v>24344</v>
      </c>
      <c r="S34" s="361">
        <f t="shared" ca="1" si="12"/>
        <v>85</v>
      </c>
    </row>
    <row r="35" spans="1:19">
      <c r="A35" s="2764" t="str">
        <f>抵押物清单!E111</f>
        <v>北京恒大滨河左岸-商铺-16_03_04地块--059</v>
      </c>
      <c r="B35" s="2764">
        <f>抵押物清单!G111</f>
        <v>35.06</v>
      </c>
      <c r="C35" s="24">
        <f t="shared" si="13"/>
        <v>1.01</v>
      </c>
      <c r="D35" s="720" t="s">
        <v>4646</v>
      </c>
      <c r="E35" s="24">
        <f t="shared" si="14"/>
        <v>1</v>
      </c>
      <c r="F35" s="2994" t="s">
        <v>4670</v>
      </c>
      <c r="G35" s="24">
        <f t="shared" si="15"/>
        <v>1</v>
      </c>
      <c r="H35" s="720"/>
      <c r="I35" s="24">
        <f t="shared" si="16"/>
        <v>1</v>
      </c>
      <c r="J35" s="720"/>
      <c r="K35" s="24">
        <f t="shared" si="17"/>
        <v>1</v>
      </c>
      <c r="L35" s="720"/>
      <c r="M35" s="24">
        <f t="shared" si="18"/>
        <v>1</v>
      </c>
      <c r="N35" s="720"/>
      <c r="O35" s="24">
        <f t="shared" si="19"/>
        <v>1</v>
      </c>
      <c r="P35" s="720">
        <v>-1</v>
      </c>
      <c r="Q35" s="24">
        <f t="shared" si="20"/>
        <v>1</v>
      </c>
      <c r="R35" s="716">
        <f t="shared" ca="1" si="21"/>
        <v>24344</v>
      </c>
      <c r="S35" s="361">
        <f t="shared" ca="1" si="12"/>
        <v>85</v>
      </c>
    </row>
    <row r="36" spans="1:19">
      <c r="A36" s="2764" t="str">
        <f>抵押物清单!E112</f>
        <v>北京恒大滨河左岸-商铺-16_03_04地块--060</v>
      </c>
      <c r="B36" s="2764">
        <f>抵押物清单!G112</f>
        <v>36.81</v>
      </c>
      <c r="C36" s="24">
        <f t="shared" si="13"/>
        <v>1.01</v>
      </c>
      <c r="D36" s="720" t="s">
        <v>4646</v>
      </c>
      <c r="E36" s="24">
        <f t="shared" si="14"/>
        <v>1</v>
      </c>
      <c r="F36" s="2994" t="s">
        <v>4670</v>
      </c>
      <c r="G36" s="24">
        <f t="shared" si="15"/>
        <v>1</v>
      </c>
      <c r="H36" s="720"/>
      <c r="I36" s="24">
        <f t="shared" si="16"/>
        <v>1</v>
      </c>
      <c r="J36" s="720"/>
      <c r="K36" s="24">
        <f t="shared" si="17"/>
        <v>1</v>
      </c>
      <c r="L36" s="720"/>
      <c r="M36" s="24">
        <f t="shared" si="18"/>
        <v>1</v>
      </c>
      <c r="N36" s="720"/>
      <c r="O36" s="24">
        <f t="shared" si="19"/>
        <v>1</v>
      </c>
      <c r="P36" s="720">
        <v>-1</v>
      </c>
      <c r="Q36" s="24">
        <f t="shared" si="20"/>
        <v>1</v>
      </c>
      <c r="R36" s="716">
        <f t="shared" ca="1" si="21"/>
        <v>24344</v>
      </c>
      <c r="S36" s="361">
        <f t="shared" ca="1" si="12"/>
        <v>90</v>
      </c>
    </row>
    <row r="37" spans="1:19">
      <c r="A37" s="2764" t="str">
        <f>抵押物清单!E113</f>
        <v>北京恒大滨河左岸-商铺-16_03_04地块--061</v>
      </c>
      <c r="B37" s="2764">
        <f>抵押物清单!G113</f>
        <v>74.209999999999994</v>
      </c>
      <c r="C37" s="24">
        <f t="shared" si="13"/>
        <v>1</v>
      </c>
      <c r="D37" s="720" t="s">
        <v>4646</v>
      </c>
      <c r="E37" s="24">
        <f t="shared" si="14"/>
        <v>1</v>
      </c>
      <c r="F37" s="2994" t="s">
        <v>4670</v>
      </c>
      <c r="G37" s="24">
        <f t="shared" si="15"/>
        <v>1</v>
      </c>
      <c r="H37" s="720"/>
      <c r="I37" s="24">
        <f t="shared" si="16"/>
        <v>1</v>
      </c>
      <c r="J37" s="720"/>
      <c r="K37" s="24">
        <f t="shared" si="17"/>
        <v>1</v>
      </c>
      <c r="L37" s="720"/>
      <c r="M37" s="24">
        <f t="shared" si="18"/>
        <v>1</v>
      </c>
      <c r="N37" s="720"/>
      <c r="O37" s="24">
        <f t="shared" si="19"/>
        <v>1</v>
      </c>
      <c r="P37" s="720">
        <v>-1</v>
      </c>
      <c r="Q37" s="24">
        <f t="shared" si="20"/>
        <v>1</v>
      </c>
      <c r="R37" s="716">
        <f t="shared" ca="1" si="21"/>
        <v>24103</v>
      </c>
      <c r="S37" s="361">
        <f t="shared" ca="1" si="12"/>
        <v>179</v>
      </c>
    </row>
    <row r="38" spans="1:19">
      <c r="A38" s="2764" t="str">
        <f>抵押物清单!E114</f>
        <v>北京恒大滨河左岸-商铺-16_03_04地块--062</v>
      </c>
      <c r="B38" s="2764">
        <f>抵押物清单!G114</f>
        <v>113.29</v>
      </c>
      <c r="C38" s="24">
        <f t="shared" si="13"/>
        <v>0.99</v>
      </c>
      <c r="D38" s="720" t="s">
        <v>4646</v>
      </c>
      <c r="E38" s="24">
        <f t="shared" si="14"/>
        <v>1</v>
      </c>
      <c r="F38" s="2994" t="s">
        <v>4670</v>
      </c>
      <c r="G38" s="24">
        <f t="shared" si="15"/>
        <v>1</v>
      </c>
      <c r="H38" s="720"/>
      <c r="I38" s="24">
        <f t="shared" si="16"/>
        <v>1</v>
      </c>
      <c r="J38" s="720"/>
      <c r="K38" s="24">
        <f t="shared" si="17"/>
        <v>1</v>
      </c>
      <c r="L38" s="720"/>
      <c r="M38" s="24">
        <f t="shared" si="18"/>
        <v>1</v>
      </c>
      <c r="N38" s="720"/>
      <c r="O38" s="24">
        <f t="shared" si="19"/>
        <v>1</v>
      </c>
      <c r="P38" s="720">
        <v>-1</v>
      </c>
      <c r="Q38" s="24">
        <f t="shared" si="20"/>
        <v>1</v>
      </c>
      <c r="R38" s="716">
        <f t="shared" ca="1" si="21"/>
        <v>23862</v>
      </c>
      <c r="S38" s="361">
        <f t="shared" ca="1" si="12"/>
        <v>270</v>
      </c>
    </row>
    <row r="39" spans="1:19">
      <c r="A39" s="2764" t="str">
        <f>抵押物清单!E115</f>
        <v>北京恒大滨河左岸-商铺-16_03_04地块--063</v>
      </c>
      <c r="B39" s="2764">
        <f>抵押物清单!G115</f>
        <v>57.65</v>
      </c>
      <c r="C39" s="24">
        <f t="shared" si="13"/>
        <v>1</v>
      </c>
      <c r="D39" s="720" t="s">
        <v>4646</v>
      </c>
      <c r="E39" s="24">
        <f t="shared" si="14"/>
        <v>1</v>
      </c>
      <c r="F39" s="2994" t="s">
        <v>4670</v>
      </c>
      <c r="G39" s="24">
        <f t="shared" si="15"/>
        <v>1</v>
      </c>
      <c r="H39" s="720"/>
      <c r="I39" s="24">
        <f t="shared" si="16"/>
        <v>1</v>
      </c>
      <c r="J39" s="720"/>
      <c r="K39" s="24">
        <f t="shared" si="17"/>
        <v>1</v>
      </c>
      <c r="L39" s="720"/>
      <c r="M39" s="24">
        <f t="shared" si="18"/>
        <v>1</v>
      </c>
      <c r="N39" s="720"/>
      <c r="O39" s="24">
        <f t="shared" si="19"/>
        <v>1</v>
      </c>
      <c r="P39" s="720">
        <v>-1</v>
      </c>
      <c r="Q39" s="24">
        <f t="shared" si="20"/>
        <v>1</v>
      </c>
      <c r="R39" s="716">
        <f t="shared" ca="1" si="21"/>
        <v>24103</v>
      </c>
      <c r="S39" s="361">
        <f t="shared" ca="1" si="12"/>
        <v>139</v>
      </c>
    </row>
    <row r="40" spans="1:19">
      <c r="A40" s="2764" t="str">
        <f>抵押物清单!E116</f>
        <v>北京恒大滨河左岸-商铺-16_03_04地块--064</v>
      </c>
      <c r="B40" s="2764">
        <f>抵押物清单!G116</f>
        <v>90.83</v>
      </c>
      <c r="C40" s="24">
        <f t="shared" si="13"/>
        <v>1</v>
      </c>
      <c r="D40" s="720" t="s">
        <v>4646</v>
      </c>
      <c r="E40" s="24">
        <f t="shared" si="14"/>
        <v>1</v>
      </c>
      <c r="F40" s="2994" t="s">
        <v>4670</v>
      </c>
      <c r="G40" s="24">
        <f t="shared" si="15"/>
        <v>1</v>
      </c>
      <c r="H40" s="720"/>
      <c r="I40" s="24">
        <f t="shared" si="16"/>
        <v>1</v>
      </c>
      <c r="J40" s="720"/>
      <c r="K40" s="24">
        <f t="shared" si="17"/>
        <v>1</v>
      </c>
      <c r="L40" s="720"/>
      <c r="M40" s="24">
        <f t="shared" si="18"/>
        <v>1</v>
      </c>
      <c r="N40" s="720"/>
      <c r="O40" s="24">
        <f t="shared" si="19"/>
        <v>1</v>
      </c>
      <c r="P40" s="720">
        <v>-1</v>
      </c>
      <c r="Q40" s="24">
        <f t="shared" si="20"/>
        <v>1</v>
      </c>
      <c r="R40" s="716">
        <f t="shared" ca="1" si="21"/>
        <v>24103</v>
      </c>
      <c r="S40" s="361">
        <f t="shared" ca="1" si="12"/>
        <v>219</v>
      </c>
    </row>
    <row r="41" spans="1:19">
      <c r="A41" s="2764" t="str">
        <f>抵押物清单!E117</f>
        <v>北京恒大滨河左岸-商铺-16_03_04地块--065</v>
      </c>
      <c r="B41" s="2764">
        <f>抵押物清单!G117</f>
        <v>90.83</v>
      </c>
      <c r="C41" s="24">
        <f t="shared" si="13"/>
        <v>1</v>
      </c>
      <c r="D41" s="720" t="s">
        <v>4646</v>
      </c>
      <c r="E41" s="24">
        <f t="shared" si="14"/>
        <v>1</v>
      </c>
      <c r="F41" s="2994" t="s">
        <v>4670</v>
      </c>
      <c r="G41" s="24">
        <f t="shared" si="15"/>
        <v>1</v>
      </c>
      <c r="H41" s="720"/>
      <c r="I41" s="24">
        <f t="shared" si="16"/>
        <v>1</v>
      </c>
      <c r="J41" s="720"/>
      <c r="K41" s="24">
        <f t="shared" si="17"/>
        <v>1</v>
      </c>
      <c r="L41" s="720"/>
      <c r="M41" s="24">
        <f t="shared" si="18"/>
        <v>1</v>
      </c>
      <c r="N41" s="720"/>
      <c r="O41" s="24">
        <f t="shared" si="19"/>
        <v>1</v>
      </c>
      <c r="P41" s="720">
        <v>-1</v>
      </c>
      <c r="Q41" s="24">
        <f t="shared" si="20"/>
        <v>1</v>
      </c>
      <c r="R41" s="716">
        <f t="shared" ca="1" si="21"/>
        <v>24103</v>
      </c>
      <c r="S41" s="361">
        <f t="shared" ca="1" si="12"/>
        <v>219</v>
      </c>
    </row>
    <row r="42" spans="1:19">
      <c r="A42" s="2764" t="str">
        <f>抵押物清单!E118</f>
        <v>北京恒大滨河左岸-商铺-16_03_04地块--066</v>
      </c>
      <c r="B42" s="2764">
        <f>抵押物清单!G118</f>
        <v>57.65</v>
      </c>
      <c r="C42" s="24">
        <f t="shared" si="13"/>
        <v>1</v>
      </c>
      <c r="D42" s="720" t="s">
        <v>4646</v>
      </c>
      <c r="E42" s="24">
        <f t="shared" si="14"/>
        <v>1</v>
      </c>
      <c r="F42" s="2994" t="s">
        <v>4670</v>
      </c>
      <c r="G42" s="24">
        <f t="shared" si="15"/>
        <v>1</v>
      </c>
      <c r="H42" s="720"/>
      <c r="I42" s="24">
        <f t="shared" si="16"/>
        <v>1</v>
      </c>
      <c r="J42" s="720"/>
      <c r="K42" s="24">
        <f t="shared" si="17"/>
        <v>1</v>
      </c>
      <c r="L42" s="720"/>
      <c r="M42" s="24">
        <f t="shared" si="18"/>
        <v>1</v>
      </c>
      <c r="N42" s="720"/>
      <c r="O42" s="24">
        <f t="shared" si="19"/>
        <v>1</v>
      </c>
      <c r="P42" s="720">
        <v>-1</v>
      </c>
      <c r="Q42" s="24">
        <f t="shared" si="20"/>
        <v>1</v>
      </c>
      <c r="R42" s="716">
        <f t="shared" ca="1" si="21"/>
        <v>24103</v>
      </c>
      <c r="S42" s="361">
        <f t="shared" ca="1" si="12"/>
        <v>139</v>
      </c>
    </row>
    <row r="43" spans="1:19">
      <c r="A43" s="2764" t="str">
        <f>抵押物清单!E119</f>
        <v>北京恒大滨河左岸-商铺-16_03_04地块--067</v>
      </c>
      <c r="B43" s="2764">
        <f>抵押物清单!G119</f>
        <v>57.65</v>
      </c>
      <c r="C43" s="24">
        <f t="shared" si="13"/>
        <v>1</v>
      </c>
      <c r="D43" s="720" t="s">
        <v>4646</v>
      </c>
      <c r="E43" s="24">
        <f t="shared" si="14"/>
        <v>1</v>
      </c>
      <c r="F43" s="2994" t="s">
        <v>4670</v>
      </c>
      <c r="G43" s="24">
        <f t="shared" si="15"/>
        <v>1</v>
      </c>
      <c r="H43" s="720"/>
      <c r="I43" s="24">
        <f t="shared" si="16"/>
        <v>1</v>
      </c>
      <c r="J43" s="720"/>
      <c r="K43" s="24">
        <f t="shared" si="17"/>
        <v>1</v>
      </c>
      <c r="L43" s="720"/>
      <c r="M43" s="24">
        <f t="shared" si="18"/>
        <v>1</v>
      </c>
      <c r="N43" s="720"/>
      <c r="O43" s="24">
        <f t="shared" si="19"/>
        <v>1</v>
      </c>
      <c r="P43" s="720">
        <v>-1</v>
      </c>
      <c r="Q43" s="24">
        <f t="shared" si="20"/>
        <v>1</v>
      </c>
      <c r="R43" s="716">
        <f t="shared" ca="1" si="21"/>
        <v>24103</v>
      </c>
      <c r="S43" s="361">
        <f t="shared" ca="1" si="12"/>
        <v>139</v>
      </c>
    </row>
    <row r="44" spans="1:19">
      <c r="A44" s="2764" t="str">
        <f>抵押物清单!E120</f>
        <v>北京恒大滨河左岸-商铺-16_03_04地块--068</v>
      </c>
      <c r="B44" s="2764">
        <f>抵押物清单!G120</f>
        <v>70.739999999999995</v>
      </c>
      <c r="C44" s="24">
        <f t="shared" si="13"/>
        <v>1</v>
      </c>
      <c r="D44" s="720" t="s">
        <v>4646</v>
      </c>
      <c r="E44" s="24">
        <f t="shared" si="14"/>
        <v>1</v>
      </c>
      <c r="F44" s="2994" t="s">
        <v>4670</v>
      </c>
      <c r="G44" s="24">
        <f t="shared" si="15"/>
        <v>1</v>
      </c>
      <c r="H44" s="720"/>
      <c r="I44" s="24">
        <f t="shared" si="16"/>
        <v>1</v>
      </c>
      <c r="J44" s="720"/>
      <c r="K44" s="24">
        <f t="shared" si="17"/>
        <v>1</v>
      </c>
      <c r="L44" s="720"/>
      <c r="M44" s="24">
        <f t="shared" si="18"/>
        <v>1</v>
      </c>
      <c r="N44" s="720"/>
      <c r="O44" s="24">
        <f t="shared" si="19"/>
        <v>1</v>
      </c>
      <c r="P44" s="720">
        <v>-1</v>
      </c>
      <c r="Q44" s="24">
        <f t="shared" si="20"/>
        <v>1</v>
      </c>
      <c r="R44" s="716">
        <f t="shared" ca="1" si="21"/>
        <v>24103</v>
      </c>
      <c r="S44" s="361">
        <f t="shared" ca="1" si="12"/>
        <v>171</v>
      </c>
    </row>
    <row r="45" spans="1:19">
      <c r="A45" s="2764" t="str">
        <f>抵押物清单!E121</f>
        <v>北京恒大滨河左岸-商铺-16_03_04地块--069</v>
      </c>
      <c r="B45" s="2764">
        <f>抵押物清单!G121</f>
        <v>70.739999999999995</v>
      </c>
      <c r="C45" s="24">
        <f t="shared" si="13"/>
        <v>1</v>
      </c>
      <c r="D45" s="720" t="s">
        <v>4646</v>
      </c>
      <c r="E45" s="24">
        <f t="shared" si="14"/>
        <v>1</v>
      </c>
      <c r="F45" s="2994" t="s">
        <v>4670</v>
      </c>
      <c r="G45" s="24">
        <f t="shared" si="15"/>
        <v>1</v>
      </c>
      <c r="H45" s="720"/>
      <c r="I45" s="24">
        <f t="shared" si="16"/>
        <v>1</v>
      </c>
      <c r="J45" s="720"/>
      <c r="K45" s="24">
        <f t="shared" si="17"/>
        <v>1</v>
      </c>
      <c r="L45" s="720"/>
      <c r="M45" s="24">
        <f t="shared" si="18"/>
        <v>1</v>
      </c>
      <c r="N45" s="720"/>
      <c r="O45" s="24">
        <f t="shared" si="19"/>
        <v>1</v>
      </c>
      <c r="P45" s="720">
        <v>-1</v>
      </c>
      <c r="Q45" s="24">
        <f t="shared" si="20"/>
        <v>1</v>
      </c>
      <c r="R45" s="716">
        <f t="shared" ca="1" si="21"/>
        <v>24103</v>
      </c>
      <c r="S45" s="361">
        <f t="shared" ca="1" si="12"/>
        <v>171</v>
      </c>
    </row>
    <row r="46" spans="1:19">
      <c r="A46" s="2764" t="str">
        <f>抵押物清单!E122</f>
        <v>北京恒大滨河左岸-商铺-16_03_04地块--070</v>
      </c>
      <c r="B46" s="2764">
        <f>抵押物清单!G122</f>
        <v>92.58</v>
      </c>
      <c r="C46" s="24">
        <f t="shared" si="13"/>
        <v>1</v>
      </c>
      <c r="D46" s="720" t="s">
        <v>4646</v>
      </c>
      <c r="E46" s="24">
        <f t="shared" si="14"/>
        <v>1</v>
      </c>
      <c r="F46" s="2994" t="s">
        <v>4670</v>
      </c>
      <c r="G46" s="24">
        <f t="shared" si="15"/>
        <v>1</v>
      </c>
      <c r="H46" s="720"/>
      <c r="I46" s="24">
        <f t="shared" si="16"/>
        <v>1</v>
      </c>
      <c r="J46" s="720"/>
      <c r="K46" s="24">
        <f t="shared" si="17"/>
        <v>1</v>
      </c>
      <c r="L46" s="720"/>
      <c r="M46" s="24">
        <f t="shared" si="18"/>
        <v>1</v>
      </c>
      <c r="N46" s="720"/>
      <c r="O46" s="24">
        <f t="shared" si="19"/>
        <v>1</v>
      </c>
      <c r="P46" s="720">
        <v>-1</v>
      </c>
      <c r="Q46" s="24">
        <f t="shared" si="20"/>
        <v>1</v>
      </c>
      <c r="R46" s="716">
        <f t="shared" ca="1" si="21"/>
        <v>24103</v>
      </c>
      <c r="S46" s="361">
        <f t="shared" ca="1" si="12"/>
        <v>223</v>
      </c>
    </row>
    <row r="47" spans="1:19">
      <c r="A47" s="2764" t="str">
        <f>抵押物清单!E123</f>
        <v>北京恒大滨河左岸-商铺-16_03_04地块--071</v>
      </c>
      <c r="B47" s="2764">
        <f>抵押物清单!G123</f>
        <v>70.739999999999995</v>
      </c>
      <c r="C47" s="24">
        <f t="shared" si="13"/>
        <v>1</v>
      </c>
      <c r="D47" s="720" t="s">
        <v>4646</v>
      </c>
      <c r="E47" s="24">
        <f t="shared" si="14"/>
        <v>1</v>
      </c>
      <c r="F47" s="2994" t="s">
        <v>4670</v>
      </c>
      <c r="G47" s="24">
        <f t="shared" si="15"/>
        <v>1</v>
      </c>
      <c r="H47" s="720"/>
      <c r="I47" s="24">
        <f t="shared" si="16"/>
        <v>1</v>
      </c>
      <c r="J47" s="720"/>
      <c r="K47" s="24">
        <f t="shared" si="17"/>
        <v>1</v>
      </c>
      <c r="L47" s="720"/>
      <c r="M47" s="24">
        <f t="shared" si="18"/>
        <v>1</v>
      </c>
      <c r="N47" s="720"/>
      <c r="O47" s="24">
        <f t="shared" si="19"/>
        <v>1</v>
      </c>
      <c r="P47" s="720">
        <v>-1</v>
      </c>
      <c r="Q47" s="24">
        <f t="shared" si="20"/>
        <v>1</v>
      </c>
      <c r="R47" s="716">
        <f t="shared" ca="1" si="21"/>
        <v>24103</v>
      </c>
      <c r="S47" s="361">
        <f t="shared" ca="1" si="12"/>
        <v>171</v>
      </c>
    </row>
    <row r="48" spans="1:19">
      <c r="A48" s="2764" t="str">
        <f>抵押物清单!E124</f>
        <v>北京恒大滨河左岸-商铺-16_03_04地块--072</v>
      </c>
      <c r="B48" s="2764">
        <f>抵押物清单!G124</f>
        <v>70.739999999999995</v>
      </c>
      <c r="C48" s="24">
        <f t="shared" si="13"/>
        <v>1</v>
      </c>
      <c r="D48" s="720" t="s">
        <v>4646</v>
      </c>
      <c r="E48" s="24">
        <f t="shared" si="14"/>
        <v>1</v>
      </c>
      <c r="F48" s="2994" t="s">
        <v>4670</v>
      </c>
      <c r="G48" s="24">
        <f t="shared" si="15"/>
        <v>1</v>
      </c>
      <c r="H48" s="720"/>
      <c r="I48" s="24">
        <f t="shared" si="16"/>
        <v>1</v>
      </c>
      <c r="J48" s="720"/>
      <c r="K48" s="24">
        <f t="shared" si="17"/>
        <v>1</v>
      </c>
      <c r="L48" s="720"/>
      <c r="M48" s="24">
        <f t="shared" si="18"/>
        <v>1</v>
      </c>
      <c r="N48" s="720"/>
      <c r="O48" s="24">
        <f t="shared" si="19"/>
        <v>1</v>
      </c>
      <c r="P48" s="720">
        <v>-1</v>
      </c>
      <c r="Q48" s="24">
        <f t="shared" si="20"/>
        <v>1</v>
      </c>
      <c r="R48" s="716">
        <f t="shared" ca="1" si="21"/>
        <v>24103</v>
      </c>
      <c r="S48" s="361">
        <f t="shared" ca="1" si="12"/>
        <v>171</v>
      </c>
    </row>
    <row r="49" spans="1:19">
      <c r="A49" s="2764" t="str">
        <f>抵押物清单!E125</f>
        <v>北京恒大滨河左岸-商铺-16_03_04地块--073</v>
      </c>
      <c r="B49" s="2764">
        <f>抵押物清单!G125</f>
        <v>55.89</v>
      </c>
      <c r="C49" s="24">
        <f t="shared" si="13"/>
        <v>1</v>
      </c>
      <c r="D49" s="720" t="s">
        <v>4646</v>
      </c>
      <c r="E49" s="24">
        <f t="shared" si="14"/>
        <v>1</v>
      </c>
      <c r="F49" s="2994" t="s">
        <v>4670</v>
      </c>
      <c r="G49" s="24">
        <f t="shared" si="15"/>
        <v>1</v>
      </c>
      <c r="H49" s="720"/>
      <c r="I49" s="24">
        <f t="shared" si="16"/>
        <v>1</v>
      </c>
      <c r="J49" s="720"/>
      <c r="K49" s="24">
        <f t="shared" si="17"/>
        <v>1</v>
      </c>
      <c r="L49" s="720"/>
      <c r="M49" s="24">
        <f t="shared" si="18"/>
        <v>1</v>
      </c>
      <c r="N49" s="720"/>
      <c r="O49" s="24">
        <f t="shared" si="19"/>
        <v>1</v>
      </c>
      <c r="P49" s="720">
        <v>-1</v>
      </c>
      <c r="Q49" s="24">
        <f t="shared" si="20"/>
        <v>1</v>
      </c>
      <c r="R49" s="716">
        <f t="shared" ca="1" si="21"/>
        <v>24103</v>
      </c>
      <c r="S49" s="361">
        <f t="shared" ca="1" si="12"/>
        <v>135</v>
      </c>
    </row>
    <row r="50" spans="1:19">
      <c r="A50" s="2764" t="str">
        <f>抵押物清单!E126</f>
        <v>北京恒大滨河左岸-商铺-16_03_04地块--074</v>
      </c>
      <c r="B50" s="2764">
        <f>抵押物清单!G126</f>
        <v>58.51</v>
      </c>
      <c r="C50" s="24">
        <f t="shared" si="13"/>
        <v>1</v>
      </c>
      <c r="D50" s="720" t="s">
        <v>4646</v>
      </c>
      <c r="E50" s="24">
        <f t="shared" si="14"/>
        <v>1</v>
      </c>
      <c r="F50" s="2994" t="s">
        <v>4670</v>
      </c>
      <c r="G50" s="24">
        <f t="shared" si="15"/>
        <v>1</v>
      </c>
      <c r="H50" s="720"/>
      <c r="I50" s="24">
        <f t="shared" si="16"/>
        <v>1</v>
      </c>
      <c r="J50" s="720"/>
      <c r="K50" s="24">
        <f t="shared" si="17"/>
        <v>1</v>
      </c>
      <c r="L50" s="720"/>
      <c r="M50" s="24">
        <f t="shared" si="18"/>
        <v>1</v>
      </c>
      <c r="N50" s="720"/>
      <c r="O50" s="24">
        <f t="shared" si="19"/>
        <v>1</v>
      </c>
      <c r="P50" s="720">
        <v>-1</v>
      </c>
      <c r="Q50" s="24">
        <f t="shared" si="20"/>
        <v>1</v>
      </c>
      <c r="R50" s="716">
        <f t="shared" ca="1" si="21"/>
        <v>24103</v>
      </c>
      <c r="S50" s="361">
        <f t="shared" ca="1" si="12"/>
        <v>141</v>
      </c>
    </row>
    <row r="51" spans="1:19">
      <c r="A51" s="2764" t="str">
        <f>抵押物清单!E127</f>
        <v>北京恒大滨河左岸-商铺-16_03_04地块--094</v>
      </c>
      <c r="B51" s="2764">
        <f>抵押物清单!G127</f>
        <v>51.2</v>
      </c>
      <c r="C51" s="24">
        <f t="shared" si="13"/>
        <v>1</v>
      </c>
      <c r="D51" s="720" t="s">
        <v>4646</v>
      </c>
      <c r="E51" s="24">
        <f t="shared" si="14"/>
        <v>1</v>
      </c>
      <c r="F51" s="2994" t="s">
        <v>4670</v>
      </c>
      <c r="G51" s="24">
        <f t="shared" si="15"/>
        <v>1</v>
      </c>
      <c r="H51" s="720"/>
      <c r="I51" s="24">
        <f t="shared" si="16"/>
        <v>1</v>
      </c>
      <c r="J51" s="720"/>
      <c r="K51" s="24">
        <f t="shared" si="17"/>
        <v>1</v>
      </c>
      <c r="L51" s="720"/>
      <c r="M51" s="24">
        <f t="shared" si="18"/>
        <v>1</v>
      </c>
      <c r="N51" s="720"/>
      <c r="O51" s="24">
        <f t="shared" si="19"/>
        <v>1</v>
      </c>
      <c r="P51" s="720">
        <v>-1</v>
      </c>
      <c r="Q51" s="24">
        <f t="shared" si="20"/>
        <v>1</v>
      </c>
      <c r="R51" s="716">
        <f t="shared" ca="1" si="21"/>
        <v>24103</v>
      </c>
      <c r="S51" s="361">
        <f t="shared" ca="1" si="12"/>
        <v>123</v>
      </c>
    </row>
    <row r="52" spans="1:19">
      <c r="A52" s="2764" t="str">
        <f>抵押物清单!E128</f>
        <v>北京恒大滨河左岸-商铺-16_03_04地块--0142</v>
      </c>
      <c r="B52" s="2764">
        <f>抵押物清单!G128</f>
        <v>76.95</v>
      </c>
      <c r="C52" s="24">
        <f t="shared" si="13"/>
        <v>1</v>
      </c>
      <c r="D52" s="720" t="s">
        <v>4646</v>
      </c>
      <c r="E52" s="24">
        <f t="shared" si="14"/>
        <v>1</v>
      </c>
      <c r="F52" s="2994" t="s">
        <v>4670</v>
      </c>
      <c r="G52" s="24">
        <f t="shared" si="15"/>
        <v>1</v>
      </c>
      <c r="H52" s="720"/>
      <c r="I52" s="24">
        <f t="shared" si="16"/>
        <v>1</v>
      </c>
      <c r="J52" s="720"/>
      <c r="K52" s="24">
        <f t="shared" si="17"/>
        <v>1</v>
      </c>
      <c r="L52" s="720"/>
      <c r="M52" s="24">
        <f t="shared" si="18"/>
        <v>1</v>
      </c>
      <c r="N52" s="720"/>
      <c r="O52" s="24">
        <f t="shared" si="19"/>
        <v>1</v>
      </c>
      <c r="P52" s="720">
        <v>-1</v>
      </c>
      <c r="Q52" s="24">
        <f t="shared" si="20"/>
        <v>1</v>
      </c>
      <c r="R52" s="716">
        <f t="shared" ca="1" si="21"/>
        <v>24103</v>
      </c>
      <c r="S52" s="361">
        <f t="shared" ca="1" si="12"/>
        <v>185</v>
      </c>
    </row>
    <row r="53" spans="1:19">
      <c r="A53" s="2764" t="str">
        <f>抵押物清单!E129</f>
        <v>北京恒大滨河左岸-商铺-16_03_04地块--0143</v>
      </c>
      <c r="B53" s="2764">
        <f>抵押物清单!G129</f>
        <v>70.03</v>
      </c>
      <c r="C53" s="24">
        <f t="shared" si="13"/>
        <v>1</v>
      </c>
      <c r="D53" s="720" t="s">
        <v>4646</v>
      </c>
      <c r="E53" s="24">
        <f t="shared" si="14"/>
        <v>1</v>
      </c>
      <c r="F53" s="2994" t="s">
        <v>4670</v>
      </c>
      <c r="G53" s="24">
        <f t="shared" si="15"/>
        <v>1</v>
      </c>
      <c r="H53" s="720"/>
      <c r="I53" s="24">
        <f t="shared" si="16"/>
        <v>1</v>
      </c>
      <c r="J53" s="720"/>
      <c r="K53" s="24">
        <f t="shared" si="17"/>
        <v>1</v>
      </c>
      <c r="L53" s="720"/>
      <c r="M53" s="24">
        <f t="shared" si="18"/>
        <v>1</v>
      </c>
      <c r="N53" s="720"/>
      <c r="O53" s="24">
        <f t="shared" si="19"/>
        <v>1</v>
      </c>
      <c r="P53" s="720">
        <v>-1</v>
      </c>
      <c r="Q53" s="24">
        <f t="shared" si="20"/>
        <v>1</v>
      </c>
      <c r="R53" s="716">
        <f t="shared" ca="1" si="21"/>
        <v>24103</v>
      </c>
      <c r="S53" s="361">
        <f t="shared" ca="1" si="12"/>
        <v>169</v>
      </c>
    </row>
    <row r="54" spans="1:19">
      <c r="A54" s="2764" t="str">
        <f>抵押物清单!E130</f>
        <v>北京恒大滨河左岸-商铺-16_03_04地块--0144</v>
      </c>
      <c r="B54" s="2764">
        <f>抵押物清单!G130</f>
        <v>58.35</v>
      </c>
      <c r="C54" s="24">
        <f t="shared" si="13"/>
        <v>1</v>
      </c>
      <c r="D54" s="720" t="s">
        <v>4646</v>
      </c>
      <c r="E54" s="24">
        <f t="shared" si="14"/>
        <v>1</v>
      </c>
      <c r="F54" s="2994" t="s">
        <v>4670</v>
      </c>
      <c r="G54" s="24">
        <f t="shared" si="15"/>
        <v>1</v>
      </c>
      <c r="H54" s="720"/>
      <c r="I54" s="24">
        <f t="shared" si="16"/>
        <v>1</v>
      </c>
      <c r="J54" s="720"/>
      <c r="K54" s="24">
        <f t="shared" si="17"/>
        <v>1</v>
      </c>
      <c r="L54" s="720"/>
      <c r="M54" s="24">
        <f t="shared" si="18"/>
        <v>1</v>
      </c>
      <c r="N54" s="720"/>
      <c r="O54" s="24">
        <f t="shared" si="19"/>
        <v>1</v>
      </c>
      <c r="P54" s="720">
        <v>-1</v>
      </c>
      <c r="Q54" s="24">
        <f t="shared" si="20"/>
        <v>1</v>
      </c>
      <c r="R54" s="716">
        <f t="shared" ca="1" si="21"/>
        <v>24103</v>
      </c>
      <c r="S54" s="361">
        <f t="shared" ca="1" si="12"/>
        <v>141</v>
      </c>
    </row>
    <row r="55" spans="1:19">
      <c r="A55" s="2764" t="str">
        <f>抵押物清单!E131</f>
        <v>北京恒大滨河左岸-商铺-16_03_04地块--0145</v>
      </c>
      <c r="B55" s="2764">
        <f>抵押物清单!G131</f>
        <v>67.52</v>
      </c>
      <c r="C55" s="24">
        <f t="shared" si="13"/>
        <v>1</v>
      </c>
      <c r="D55" s="720" t="s">
        <v>4646</v>
      </c>
      <c r="E55" s="24">
        <f t="shared" si="14"/>
        <v>1</v>
      </c>
      <c r="F55" s="2994" t="s">
        <v>4670</v>
      </c>
      <c r="G55" s="24">
        <f t="shared" si="15"/>
        <v>1</v>
      </c>
      <c r="H55" s="720"/>
      <c r="I55" s="24">
        <f t="shared" si="16"/>
        <v>1</v>
      </c>
      <c r="J55" s="720"/>
      <c r="K55" s="24">
        <f t="shared" si="17"/>
        <v>1</v>
      </c>
      <c r="L55" s="720"/>
      <c r="M55" s="24">
        <f t="shared" si="18"/>
        <v>1</v>
      </c>
      <c r="N55" s="720"/>
      <c r="O55" s="24">
        <f t="shared" si="19"/>
        <v>1</v>
      </c>
      <c r="P55" s="720">
        <v>-1</v>
      </c>
      <c r="Q55" s="24">
        <f t="shared" si="20"/>
        <v>1</v>
      </c>
      <c r="R55" s="716">
        <f t="shared" ca="1" si="21"/>
        <v>24103</v>
      </c>
      <c r="S55" s="361">
        <f t="shared" ref="S55:S77" ca="1" si="22">ROUND(R55*B55/10000,0)</f>
        <v>163</v>
      </c>
    </row>
    <row r="56" spans="1:19">
      <c r="A56" s="2764" t="str">
        <f>抵押物清单!E132</f>
        <v>北京恒大滨河左岸-商铺-16_03_04地块--0146</v>
      </c>
      <c r="B56" s="2764">
        <f>抵押物清单!G132</f>
        <v>31.47</v>
      </c>
      <c r="C56" s="24">
        <f t="shared" si="13"/>
        <v>1.01</v>
      </c>
      <c r="D56" s="720" t="s">
        <v>4646</v>
      </c>
      <c r="E56" s="24">
        <f t="shared" si="14"/>
        <v>1</v>
      </c>
      <c r="F56" s="2994" t="s">
        <v>4670</v>
      </c>
      <c r="G56" s="24">
        <f t="shared" si="15"/>
        <v>1</v>
      </c>
      <c r="H56" s="720"/>
      <c r="I56" s="24">
        <f t="shared" si="16"/>
        <v>1</v>
      </c>
      <c r="J56" s="720"/>
      <c r="K56" s="24">
        <f t="shared" si="17"/>
        <v>1</v>
      </c>
      <c r="L56" s="720"/>
      <c r="M56" s="24">
        <f t="shared" si="18"/>
        <v>1</v>
      </c>
      <c r="N56" s="720"/>
      <c r="O56" s="24">
        <f t="shared" si="19"/>
        <v>1</v>
      </c>
      <c r="P56" s="720">
        <v>-1</v>
      </c>
      <c r="Q56" s="24">
        <f t="shared" si="20"/>
        <v>1</v>
      </c>
      <c r="R56" s="716">
        <f t="shared" ca="1" si="21"/>
        <v>24344</v>
      </c>
      <c r="S56" s="361">
        <f t="shared" ca="1" si="22"/>
        <v>77</v>
      </c>
    </row>
    <row r="57" spans="1:19">
      <c r="A57" s="2764" t="str">
        <f>抵押物清单!E133</f>
        <v>北京恒大滨河左岸-商铺-16_03_04地块--0147</v>
      </c>
      <c r="B57" s="2764">
        <f>抵押物清单!G133</f>
        <v>53.19</v>
      </c>
      <c r="C57" s="24">
        <f t="shared" si="13"/>
        <v>1</v>
      </c>
      <c r="D57" s="720" t="s">
        <v>4646</v>
      </c>
      <c r="E57" s="24">
        <f t="shared" si="14"/>
        <v>1</v>
      </c>
      <c r="F57" s="2994" t="s">
        <v>4670</v>
      </c>
      <c r="G57" s="24">
        <f t="shared" si="15"/>
        <v>1</v>
      </c>
      <c r="H57" s="720"/>
      <c r="I57" s="24">
        <f t="shared" si="16"/>
        <v>1</v>
      </c>
      <c r="J57" s="720"/>
      <c r="K57" s="24">
        <f t="shared" si="17"/>
        <v>1</v>
      </c>
      <c r="L57" s="720"/>
      <c r="M57" s="24">
        <f t="shared" si="18"/>
        <v>1</v>
      </c>
      <c r="N57" s="720"/>
      <c r="O57" s="24">
        <f t="shared" si="19"/>
        <v>1</v>
      </c>
      <c r="P57" s="720">
        <v>-1</v>
      </c>
      <c r="Q57" s="24">
        <f t="shared" si="20"/>
        <v>1</v>
      </c>
      <c r="R57" s="716">
        <f t="shared" ca="1" si="21"/>
        <v>24103</v>
      </c>
      <c r="S57" s="361">
        <f t="shared" ca="1" si="22"/>
        <v>128</v>
      </c>
    </row>
    <row r="58" spans="1:19">
      <c r="A58" s="2764" t="str">
        <f>抵押物清单!E134</f>
        <v>北京恒大滨河左岸-商铺-16_03_04地块--0148</v>
      </c>
      <c r="B58" s="2764">
        <f>抵押物清单!G134</f>
        <v>38.49</v>
      </c>
      <c r="C58" s="24">
        <f t="shared" si="13"/>
        <v>1.01</v>
      </c>
      <c r="D58" s="720" t="s">
        <v>4646</v>
      </c>
      <c r="E58" s="24">
        <f t="shared" si="14"/>
        <v>1</v>
      </c>
      <c r="F58" s="2994" t="s">
        <v>4670</v>
      </c>
      <c r="G58" s="24">
        <f t="shared" si="15"/>
        <v>1</v>
      </c>
      <c r="H58" s="720"/>
      <c r="I58" s="24">
        <f t="shared" si="16"/>
        <v>1</v>
      </c>
      <c r="J58" s="720"/>
      <c r="K58" s="24">
        <f t="shared" si="17"/>
        <v>1</v>
      </c>
      <c r="L58" s="720"/>
      <c r="M58" s="24">
        <f t="shared" si="18"/>
        <v>1</v>
      </c>
      <c r="N58" s="720"/>
      <c r="O58" s="24">
        <f t="shared" si="19"/>
        <v>1</v>
      </c>
      <c r="P58" s="720">
        <v>-1</v>
      </c>
      <c r="Q58" s="24">
        <f t="shared" si="20"/>
        <v>1</v>
      </c>
      <c r="R58" s="716">
        <f t="shared" ca="1" si="21"/>
        <v>24344</v>
      </c>
      <c r="S58" s="361">
        <f t="shared" ca="1" si="22"/>
        <v>94</v>
      </c>
    </row>
    <row r="59" spans="1:19">
      <c r="A59" s="2764" t="str">
        <f>抵押物清单!E135</f>
        <v>北京恒大滨河左岸-商铺-16_03_04地块--0149</v>
      </c>
      <c r="B59" s="2764">
        <f>抵押物清单!G135</f>
        <v>55.56</v>
      </c>
      <c r="C59" s="24">
        <f t="shared" si="13"/>
        <v>1</v>
      </c>
      <c r="D59" s="720" t="s">
        <v>4646</v>
      </c>
      <c r="E59" s="24">
        <f t="shared" si="14"/>
        <v>1</v>
      </c>
      <c r="F59" s="2994" t="s">
        <v>4670</v>
      </c>
      <c r="G59" s="24">
        <f t="shared" si="15"/>
        <v>1</v>
      </c>
      <c r="H59" s="720"/>
      <c r="I59" s="24">
        <f t="shared" si="16"/>
        <v>1</v>
      </c>
      <c r="J59" s="720"/>
      <c r="K59" s="24">
        <f t="shared" si="17"/>
        <v>1</v>
      </c>
      <c r="L59" s="720"/>
      <c r="M59" s="24">
        <f t="shared" si="18"/>
        <v>1</v>
      </c>
      <c r="N59" s="720"/>
      <c r="O59" s="24">
        <f t="shared" si="19"/>
        <v>1</v>
      </c>
      <c r="P59" s="720">
        <v>-1</v>
      </c>
      <c r="Q59" s="24">
        <f t="shared" si="20"/>
        <v>1</v>
      </c>
      <c r="R59" s="716">
        <f t="shared" ca="1" si="21"/>
        <v>24103</v>
      </c>
      <c r="S59" s="361">
        <f t="shared" ca="1" si="22"/>
        <v>134</v>
      </c>
    </row>
    <row r="60" spans="1:19">
      <c r="A60" s="2764" t="str">
        <f>抵押物清单!E136</f>
        <v>北京恒大滨河左岸-商铺-16_03_04地块--0150</v>
      </c>
      <c r="B60" s="2764">
        <f>抵押物清单!G136</f>
        <v>48.38</v>
      </c>
      <c r="C60" s="24">
        <f t="shared" si="13"/>
        <v>1.01</v>
      </c>
      <c r="D60" s="720" t="s">
        <v>4646</v>
      </c>
      <c r="E60" s="24">
        <f t="shared" si="14"/>
        <v>1</v>
      </c>
      <c r="F60" s="2994" t="s">
        <v>4670</v>
      </c>
      <c r="G60" s="24">
        <f t="shared" si="15"/>
        <v>1</v>
      </c>
      <c r="H60" s="720"/>
      <c r="I60" s="24">
        <f t="shared" si="16"/>
        <v>1</v>
      </c>
      <c r="J60" s="720"/>
      <c r="K60" s="24">
        <f t="shared" si="17"/>
        <v>1</v>
      </c>
      <c r="L60" s="720"/>
      <c r="M60" s="24">
        <f t="shared" si="18"/>
        <v>1</v>
      </c>
      <c r="N60" s="720"/>
      <c r="O60" s="24">
        <f t="shared" si="19"/>
        <v>1</v>
      </c>
      <c r="P60" s="720">
        <v>-1</v>
      </c>
      <c r="Q60" s="24">
        <f t="shared" si="20"/>
        <v>1</v>
      </c>
      <c r="R60" s="716">
        <f t="shared" ca="1" si="21"/>
        <v>24344</v>
      </c>
      <c r="S60" s="361">
        <f t="shared" ca="1" si="22"/>
        <v>118</v>
      </c>
    </row>
    <row r="61" spans="1:19">
      <c r="A61" s="2764" t="str">
        <f>抵押物清单!E137</f>
        <v>北京恒大滨河左岸-商铺-16_03_04地块--0151</v>
      </c>
      <c r="B61" s="2764">
        <f>抵押物清单!G137</f>
        <v>59.38</v>
      </c>
      <c r="C61" s="24">
        <f t="shared" si="13"/>
        <v>1</v>
      </c>
      <c r="D61" s="720" t="s">
        <v>4646</v>
      </c>
      <c r="E61" s="24">
        <f t="shared" si="14"/>
        <v>1</v>
      </c>
      <c r="F61" s="2994" t="s">
        <v>4670</v>
      </c>
      <c r="G61" s="24">
        <f t="shared" si="15"/>
        <v>1</v>
      </c>
      <c r="H61" s="720"/>
      <c r="I61" s="24">
        <f t="shared" si="16"/>
        <v>1</v>
      </c>
      <c r="J61" s="720"/>
      <c r="K61" s="24">
        <f t="shared" si="17"/>
        <v>1</v>
      </c>
      <c r="L61" s="720"/>
      <c r="M61" s="24">
        <f t="shared" si="18"/>
        <v>1</v>
      </c>
      <c r="N61" s="720"/>
      <c r="O61" s="24">
        <f t="shared" si="19"/>
        <v>1</v>
      </c>
      <c r="P61" s="720">
        <v>-1</v>
      </c>
      <c r="Q61" s="24">
        <f t="shared" si="20"/>
        <v>1</v>
      </c>
      <c r="R61" s="716">
        <f t="shared" ca="1" si="21"/>
        <v>24103</v>
      </c>
      <c r="S61" s="361">
        <f t="shared" ca="1" si="22"/>
        <v>143</v>
      </c>
    </row>
    <row r="62" spans="1:19">
      <c r="A62" s="2764" t="str">
        <f>抵押物清单!E138</f>
        <v>北京恒大滨河左岸-商铺-16_03_04地块--0152</v>
      </c>
      <c r="B62" s="2764">
        <f>抵押物清单!G138</f>
        <v>62.29</v>
      </c>
      <c r="C62" s="24">
        <f t="shared" si="13"/>
        <v>1</v>
      </c>
      <c r="D62" s="720" t="s">
        <v>4646</v>
      </c>
      <c r="E62" s="24">
        <f t="shared" si="14"/>
        <v>1</v>
      </c>
      <c r="F62" s="2994" t="s">
        <v>4670</v>
      </c>
      <c r="G62" s="24">
        <f t="shared" si="15"/>
        <v>1</v>
      </c>
      <c r="H62" s="720"/>
      <c r="I62" s="24">
        <f t="shared" si="16"/>
        <v>1</v>
      </c>
      <c r="J62" s="720"/>
      <c r="K62" s="24">
        <f t="shared" si="17"/>
        <v>1</v>
      </c>
      <c r="L62" s="720"/>
      <c r="M62" s="24">
        <f t="shared" si="18"/>
        <v>1</v>
      </c>
      <c r="N62" s="720"/>
      <c r="O62" s="24">
        <f t="shared" si="19"/>
        <v>1</v>
      </c>
      <c r="P62" s="720">
        <v>-1</v>
      </c>
      <c r="Q62" s="24">
        <f t="shared" si="20"/>
        <v>1</v>
      </c>
      <c r="R62" s="716">
        <f t="shared" ca="1" si="21"/>
        <v>24103</v>
      </c>
      <c r="S62" s="361">
        <f t="shared" ca="1" si="22"/>
        <v>150</v>
      </c>
    </row>
    <row r="63" spans="1:19">
      <c r="A63" s="2764" t="str">
        <f>抵押物清单!E139</f>
        <v>北京恒大滨河左岸-商铺-16_03_04地块--52</v>
      </c>
      <c r="B63" s="2764">
        <f>抵押物清单!G139</f>
        <v>50.08</v>
      </c>
      <c r="C63" s="24">
        <f t="shared" si="13"/>
        <v>1</v>
      </c>
      <c r="D63" s="720" t="s">
        <v>4644</v>
      </c>
      <c r="E63" s="24">
        <f t="shared" si="14"/>
        <v>0.95</v>
      </c>
      <c r="F63" s="2994" t="s">
        <v>4670</v>
      </c>
      <c r="G63" s="24">
        <f t="shared" si="15"/>
        <v>1</v>
      </c>
      <c r="H63" s="720"/>
      <c r="I63" s="24">
        <f t="shared" si="16"/>
        <v>1</v>
      </c>
      <c r="J63" s="720"/>
      <c r="K63" s="24">
        <f t="shared" si="17"/>
        <v>1</v>
      </c>
      <c r="L63" s="720"/>
      <c r="M63" s="24">
        <f t="shared" si="18"/>
        <v>1</v>
      </c>
      <c r="N63" s="720"/>
      <c r="O63" s="24">
        <f t="shared" si="19"/>
        <v>1</v>
      </c>
      <c r="P63" s="720">
        <v>-2</v>
      </c>
      <c r="Q63" s="24">
        <f t="shared" si="20"/>
        <v>0.83</v>
      </c>
      <c r="R63" s="716">
        <f t="shared" ca="1" si="21"/>
        <v>19005</v>
      </c>
      <c r="S63" s="361">
        <f t="shared" ca="1" si="22"/>
        <v>95</v>
      </c>
    </row>
    <row r="64" spans="1:19">
      <c r="A64" s="2764" t="str">
        <f>抵押物清单!E140</f>
        <v>北京恒大滨河左岸-商铺-16_03_04地块--53</v>
      </c>
      <c r="B64" s="2764">
        <f>抵押物清单!G140</f>
        <v>47.7</v>
      </c>
      <c r="C64" s="24">
        <f t="shared" si="13"/>
        <v>1.01</v>
      </c>
      <c r="D64" s="720" t="s">
        <v>4644</v>
      </c>
      <c r="E64" s="24">
        <f t="shared" si="14"/>
        <v>0.95</v>
      </c>
      <c r="F64" s="2994" t="s">
        <v>4670</v>
      </c>
      <c r="G64" s="24">
        <f t="shared" si="15"/>
        <v>1</v>
      </c>
      <c r="H64" s="720"/>
      <c r="I64" s="24">
        <f t="shared" si="16"/>
        <v>1</v>
      </c>
      <c r="J64" s="720"/>
      <c r="K64" s="24">
        <f t="shared" si="17"/>
        <v>1</v>
      </c>
      <c r="L64" s="720"/>
      <c r="M64" s="24">
        <f t="shared" si="18"/>
        <v>1</v>
      </c>
      <c r="N64" s="720"/>
      <c r="O64" s="24">
        <f t="shared" si="19"/>
        <v>1</v>
      </c>
      <c r="P64" s="720">
        <v>-2</v>
      </c>
      <c r="Q64" s="24">
        <f t="shared" si="20"/>
        <v>0.83</v>
      </c>
      <c r="R64" s="716">
        <f t="shared" ca="1" si="21"/>
        <v>19195</v>
      </c>
      <c r="S64" s="361">
        <f t="shared" ca="1" si="22"/>
        <v>92</v>
      </c>
    </row>
    <row r="65" spans="1:19">
      <c r="A65" s="2764" t="str">
        <f>抵押物清单!E141</f>
        <v>北京恒大滨河左岸-商铺-16_03_04地块--54</v>
      </c>
      <c r="B65" s="2764">
        <f>抵押物清单!G141</f>
        <v>35.340000000000003</v>
      </c>
      <c r="C65" s="24">
        <f t="shared" si="13"/>
        <v>1.01</v>
      </c>
      <c r="D65" s="720" t="s">
        <v>4644</v>
      </c>
      <c r="E65" s="24">
        <f t="shared" si="14"/>
        <v>0.95</v>
      </c>
      <c r="F65" s="2994" t="s">
        <v>4670</v>
      </c>
      <c r="G65" s="24">
        <f t="shared" si="15"/>
        <v>1</v>
      </c>
      <c r="H65" s="720"/>
      <c r="I65" s="24">
        <f t="shared" si="16"/>
        <v>1</v>
      </c>
      <c r="J65" s="720"/>
      <c r="K65" s="24">
        <f t="shared" si="17"/>
        <v>1</v>
      </c>
      <c r="L65" s="720"/>
      <c r="M65" s="24">
        <f t="shared" si="18"/>
        <v>1</v>
      </c>
      <c r="N65" s="720"/>
      <c r="O65" s="24">
        <f t="shared" si="19"/>
        <v>1</v>
      </c>
      <c r="P65" s="720">
        <v>-2</v>
      </c>
      <c r="Q65" s="24">
        <f t="shared" si="20"/>
        <v>0.83</v>
      </c>
      <c r="R65" s="716">
        <f t="shared" ca="1" si="21"/>
        <v>19195</v>
      </c>
      <c r="S65" s="361">
        <f t="shared" ca="1" si="22"/>
        <v>68</v>
      </c>
    </row>
    <row r="66" spans="1:19">
      <c r="A66" s="2764" t="str">
        <f>抵押物清单!E142</f>
        <v>北京恒大滨河左岸-商铺-16_03_04地块--55</v>
      </c>
      <c r="B66" s="2764">
        <f>抵押物清单!G142</f>
        <v>35.340000000000003</v>
      </c>
      <c r="C66" s="24">
        <f t="shared" si="13"/>
        <v>1.01</v>
      </c>
      <c r="D66" s="720" t="s">
        <v>4644</v>
      </c>
      <c r="E66" s="24">
        <f t="shared" si="14"/>
        <v>0.95</v>
      </c>
      <c r="F66" s="2994" t="s">
        <v>4670</v>
      </c>
      <c r="G66" s="24">
        <f t="shared" si="15"/>
        <v>1</v>
      </c>
      <c r="H66" s="720"/>
      <c r="I66" s="24">
        <f t="shared" si="16"/>
        <v>1</v>
      </c>
      <c r="J66" s="720"/>
      <c r="K66" s="24">
        <f t="shared" si="17"/>
        <v>1</v>
      </c>
      <c r="L66" s="720"/>
      <c r="M66" s="24">
        <f t="shared" si="18"/>
        <v>1</v>
      </c>
      <c r="N66" s="720"/>
      <c r="O66" s="24">
        <f t="shared" si="19"/>
        <v>1</v>
      </c>
      <c r="P66" s="720">
        <v>-2</v>
      </c>
      <c r="Q66" s="24">
        <f t="shared" si="20"/>
        <v>0.83</v>
      </c>
      <c r="R66" s="716">
        <f t="shared" ca="1" si="21"/>
        <v>19195</v>
      </c>
      <c r="S66" s="361">
        <f t="shared" ca="1" si="22"/>
        <v>68</v>
      </c>
    </row>
    <row r="67" spans="1:19">
      <c r="A67" s="2764" t="str">
        <f>抵押物清单!E143</f>
        <v>北京恒大滨河左岸-商铺-16_03_04地块--56</v>
      </c>
      <c r="B67" s="2764">
        <f>抵押物清单!G143</f>
        <v>37.11</v>
      </c>
      <c r="C67" s="24">
        <f t="shared" si="13"/>
        <v>1.01</v>
      </c>
      <c r="D67" s="720" t="s">
        <v>4644</v>
      </c>
      <c r="E67" s="24">
        <f t="shared" si="14"/>
        <v>0.95</v>
      </c>
      <c r="F67" s="2994" t="s">
        <v>4670</v>
      </c>
      <c r="G67" s="24">
        <f t="shared" si="15"/>
        <v>1</v>
      </c>
      <c r="H67" s="720"/>
      <c r="I67" s="24">
        <f t="shared" si="16"/>
        <v>1</v>
      </c>
      <c r="J67" s="720"/>
      <c r="K67" s="24">
        <f t="shared" si="17"/>
        <v>1</v>
      </c>
      <c r="L67" s="720"/>
      <c r="M67" s="24">
        <f t="shared" si="18"/>
        <v>1</v>
      </c>
      <c r="N67" s="720"/>
      <c r="O67" s="24">
        <f t="shared" si="19"/>
        <v>1</v>
      </c>
      <c r="P67" s="720">
        <v>-2</v>
      </c>
      <c r="Q67" s="24">
        <f t="shared" si="20"/>
        <v>0.83</v>
      </c>
      <c r="R67" s="716">
        <f t="shared" ca="1" si="21"/>
        <v>19195</v>
      </c>
      <c r="S67" s="361">
        <f t="shared" ca="1" si="22"/>
        <v>71</v>
      </c>
    </row>
    <row r="68" spans="1:19">
      <c r="A68" s="2764" t="str">
        <f>抵押物清单!E144</f>
        <v>北京恒大滨河左岸-商铺-16_03_04地块--57</v>
      </c>
      <c r="B68" s="2764">
        <f>抵押物清单!G144</f>
        <v>74.8</v>
      </c>
      <c r="C68" s="24">
        <f t="shared" si="13"/>
        <v>1</v>
      </c>
      <c r="D68" s="720" t="s">
        <v>4644</v>
      </c>
      <c r="E68" s="24">
        <f t="shared" si="14"/>
        <v>0.95</v>
      </c>
      <c r="F68" s="2994" t="s">
        <v>4670</v>
      </c>
      <c r="G68" s="24">
        <f t="shared" si="15"/>
        <v>1</v>
      </c>
      <c r="H68" s="720"/>
      <c r="I68" s="24">
        <f t="shared" si="16"/>
        <v>1</v>
      </c>
      <c r="J68" s="720"/>
      <c r="K68" s="24">
        <f t="shared" si="17"/>
        <v>1</v>
      </c>
      <c r="L68" s="720"/>
      <c r="M68" s="24">
        <f t="shared" si="18"/>
        <v>1</v>
      </c>
      <c r="N68" s="720"/>
      <c r="O68" s="24">
        <f t="shared" si="19"/>
        <v>1</v>
      </c>
      <c r="P68" s="720">
        <v>-2</v>
      </c>
      <c r="Q68" s="24">
        <f t="shared" si="20"/>
        <v>0.83</v>
      </c>
      <c r="R68" s="716">
        <f t="shared" ca="1" si="21"/>
        <v>19005</v>
      </c>
      <c r="S68" s="361">
        <f t="shared" ca="1" si="22"/>
        <v>142</v>
      </c>
    </row>
    <row r="69" spans="1:19">
      <c r="A69" s="2764" t="str">
        <f>抵押物清单!E145</f>
        <v>北京恒大滨河左岸-商铺-16_03_04地块--58</v>
      </c>
      <c r="B69" s="2764">
        <f>抵押物清单!G145</f>
        <v>114.2</v>
      </c>
      <c r="C69" s="24">
        <f t="shared" si="13"/>
        <v>0.99</v>
      </c>
      <c r="D69" s="720" t="s">
        <v>4644</v>
      </c>
      <c r="E69" s="24">
        <f t="shared" si="14"/>
        <v>0.95</v>
      </c>
      <c r="F69" s="2994" t="s">
        <v>4670</v>
      </c>
      <c r="G69" s="24">
        <f t="shared" si="15"/>
        <v>1</v>
      </c>
      <c r="H69" s="720"/>
      <c r="I69" s="24">
        <f t="shared" si="16"/>
        <v>1</v>
      </c>
      <c r="J69" s="720"/>
      <c r="K69" s="24">
        <f t="shared" si="17"/>
        <v>1</v>
      </c>
      <c r="L69" s="720"/>
      <c r="M69" s="24">
        <f t="shared" si="18"/>
        <v>1</v>
      </c>
      <c r="N69" s="720"/>
      <c r="O69" s="24">
        <f t="shared" si="19"/>
        <v>1</v>
      </c>
      <c r="P69" s="720">
        <v>-2</v>
      </c>
      <c r="Q69" s="24">
        <f t="shared" si="20"/>
        <v>0.83</v>
      </c>
      <c r="R69" s="716">
        <f t="shared" ca="1" si="21"/>
        <v>18815</v>
      </c>
      <c r="S69" s="361">
        <f t="shared" ca="1" si="22"/>
        <v>215</v>
      </c>
    </row>
    <row r="70" spans="1:19">
      <c r="A70" s="2764" t="str">
        <f>抵押物清单!E146</f>
        <v>北京恒大滨河左岸-商铺-16_03_04地块--59</v>
      </c>
      <c r="B70" s="2764">
        <f>抵押物清单!G146</f>
        <v>58.11</v>
      </c>
      <c r="C70" s="24">
        <f t="shared" si="13"/>
        <v>1</v>
      </c>
      <c r="D70" s="720" t="s">
        <v>4644</v>
      </c>
      <c r="E70" s="24">
        <f t="shared" si="14"/>
        <v>0.95</v>
      </c>
      <c r="F70" s="2994" t="s">
        <v>4670</v>
      </c>
      <c r="G70" s="24">
        <f t="shared" si="15"/>
        <v>1</v>
      </c>
      <c r="H70" s="720"/>
      <c r="I70" s="24">
        <f t="shared" si="16"/>
        <v>1</v>
      </c>
      <c r="J70" s="720"/>
      <c r="K70" s="24">
        <f t="shared" si="17"/>
        <v>1</v>
      </c>
      <c r="L70" s="720"/>
      <c r="M70" s="24">
        <f t="shared" si="18"/>
        <v>1</v>
      </c>
      <c r="N70" s="720"/>
      <c r="O70" s="24">
        <f t="shared" si="19"/>
        <v>1</v>
      </c>
      <c r="P70" s="720">
        <v>-2</v>
      </c>
      <c r="Q70" s="24">
        <f t="shared" si="20"/>
        <v>0.83</v>
      </c>
      <c r="R70" s="716">
        <f t="shared" ca="1" si="21"/>
        <v>19005</v>
      </c>
      <c r="S70" s="361">
        <f t="shared" ca="1" si="22"/>
        <v>110</v>
      </c>
    </row>
    <row r="71" spans="1:19">
      <c r="A71" s="2764" t="str">
        <f>抵押物清单!E147</f>
        <v>北京恒大滨河左岸-商铺-16_03_04地块--60</v>
      </c>
      <c r="B71" s="2764">
        <f>抵押物清单!G147</f>
        <v>91.56</v>
      </c>
      <c r="C71" s="24">
        <f t="shared" si="13"/>
        <v>1</v>
      </c>
      <c r="D71" s="720" t="s">
        <v>4644</v>
      </c>
      <c r="E71" s="24">
        <f t="shared" si="14"/>
        <v>0.95</v>
      </c>
      <c r="F71" s="2994" t="s">
        <v>4670</v>
      </c>
      <c r="G71" s="24">
        <f t="shared" si="15"/>
        <v>1</v>
      </c>
      <c r="H71" s="720"/>
      <c r="I71" s="24">
        <f t="shared" si="16"/>
        <v>1</v>
      </c>
      <c r="J71" s="720"/>
      <c r="K71" s="24">
        <f t="shared" si="17"/>
        <v>1</v>
      </c>
      <c r="L71" s="720"/>
      <c r="M71" s="24">
        <f t="shared" si="18"/>
        <v>1</v>
      </c>
      <c r="N71" s="720"/>
      <c r="O71" s="24">
        <f t="shared" si="19"/>
        <v>1</v>
      </c>
      <c r="P71" s="720">
        <v>-2</v>
      </c>
      <c r="Q71" s="24">
        <f t="shared" si="20"/>
        <v>0.83</v>
      </c>
      <c r="R71" s="716">
        <f t="shared" ca="1" si="21"/>
        <v>19005</v>
      </c>
      <c r="S71" s="361">
        <f t="shared" ca="1" si="22"/>
        <v>174</v>
      </c>
    </row>
    <row r="72" spans="1:19">
      <c r="A72" s="2764" t="str">
        <f>抵押物清单!E148</f>
        <v>北京恒大滨河左岸-商铺-16_03_04地块--61</v>
      </c>
      <c r="B72" s="2764">
        <f>抵押物清单!G148</f>
        <v>91.56</v>
      </c>
      <c r="C72" s="24">
        <f t="shared" si="13"/>
        <v>1</v>
      </c>
      <c r="D72" s="720" t="s">
        <v>4644</v>
      </c>
      <c r="E72" s="24">
        <f t="shared" si="14"/>
        <v>0.95</v>
      </c>
      <c r="F72" s="2994" t="s">
        <v>4670</v>
      </c>
      <c r="G72" s="24">
        <f t="shared" si="15"/>
        <v>1</v>
      </c>
      <c r="H72" s="720"/>
      <c r="I72" s="24">
        <f t="shared" si="16"/>
        <v>1</v>
      </c>
      <c r="J72" s="720"/>
      <c r="K72" s="24">
        <f t="shared" si="17"/>
        <v>1</v>
      </c>
      <c r="L72" s="720"/>
      <c r="M72" s="24">
        <f t="shared" si="18"/>
        <v>1</v>
      </c>
      <c r="N72" s="720"/>
      <c r="O72" s="24">
        <f t="shared" si="19"/>
        <v>1</v>
      </c>
      <c r="P72" s="720">
        <v>-2</v>
      </c>
      <c r="Q72" s="24">
        <f t="shared" si="20"/>
        <v>0.83</v>
      </c>
      <c r="R72" s="716">
        <f t="shared" ca="1" si="21"/>
        <v>19005</v>
      </c>
      <c r="S72" s="361">
        <f t="shared" ca="1" si="22"/>
        <v>174</v>
      </c>
    </row>
    <row r="73" spans="1:19">
      <c r="A73" s="2764" t="str">
        <f>抵押物清单!E149</f>
        <v>北京恒大滨河左岸-商铺-16_03_04地块--62</v>
      </c>
      <c r="B73" s="2764">
        <f>抵押物清单!G149</f>
        <v>58.11</v>
      </c>
      <c r="C73" s="24">
        <f t="shared" si="13"/>
        <v>1</v>
      </c>
      <c r="D73" s="720" t="s">
        <v>4644</v>
      </c>
      <c r="E73" s="24">
        <f t="shared" si="14"/>
        <v>0.95</v>
      </c>
      <c r="F73" s="2994" t="s">
        <v>4670</v>
      </c>
      <c r="G73" s="24">
        <f t="shared" si="15"/>
        <v>1</v>
      </c>
      <c r="H73" s="720"/>
      <c r="I73" s="24">
        <f t="shared" si="16"/>
        <v>1</v>
      </c>
      <c r="J73" s="720"/>
      <c r="K73" s="24">
        <f t="shared" si="17"/>
        <v>1</v>
      </c>
      <c r="L73" s="720"/>
      <c r="M73" s="24">
        <f t="shared" si="18"/>
        <v>1</v>
      </c>
      <c r="N73" s="720"/>
      <c r="O73" s="24">
        <f t="shared" si="19"/>
        <v>1</v>
      </c>
      <c r="P73" s="720">
        <v>-2</v>
      </c>
      <c r="Q73" s="24">
        <f t="shared" si="20"/>
        <v>0.83</v>
      </c>
      <c r="R73" s="716">
        <f t="shared" ca="1" si="21"/>
        <v>19005</v>
      </c>
      <c r="S73" s="361">
        <f t="shared" ca="1" si="22"/>
        <v>110</v>
      </c>
    </row>
    <row r="74" spans="1:19">
      <c r="A74" s="2764" t="str">
        <f>抵押物清单!E150</f>
        <v>北京恒大滨河左岸-商铺-16_03_04地块--63</v>
      </c>
      <c r="B74" s="2764">
        <f>抵押物清单!G150</f>
        <v>58.11</v>
      </c>
      <c r="C74" s="24">
        <f t="shared" si="13"/>
        <v>1</v>
      </c>
      <c r="D74" s="720" t="s">
        <v>4644</v>
      </c>
      <c r="E74" s="24">
        <f t="shared" si="14"/>
        <v>0.95</v>
      </c>
      <c r="F74" s="2994" t="s">
        <v>4670</v>
      </c>
      <c r="G74" s="24">
        <f t="shared" si="15"/>
        <v>1</v>
      </c>
      <c r="H74" s="720"/>
      <c r="I74" s="24">
        <f t="shared" si="16"/>
        <v>1</v>
      </c>
      <c r="J74" s="720"/>
      <c r="K74" s="24">
        <f t="shared" si="17"/>
        <v>1</v>
      </c>
      <c r="L74" s="720"/>
      <c r="M74" s="24">
        <f t="shared" si="18"/>
        <v>1</v>
      </c>
      <c r="N74" s="720"/>
      <c r="O74" s="24">
        <f t="shared" si="19"/>
        <v>1</v>
      </c>
      <c r="P74" s="720">
        <v>-2</v>
      </c>
      <c r="Q74" s="24">
        <f t="shared" si="20"/>
        <v>0.83</v>
      </c>
      <c r="R74" s="716">
        <f t="shared" ca="1" si="21"/>
        <v>19005</v>
      </c>
      <c r="S74" s="361">
        <f t="shared" ca="1" si="22"/>
        <v>110</v>
      </c>
    </row>
    <row r="75" spans="1:19">
      <c r="A75" s="2764" t="str">
        <f>抵押物清单!E151</f>
        <v>北京恒大滨河左岸-商铺-16_03_04地块--64</v>
      </c>
      <c r="B75" s="2764">
        <f>抵押物清单!G151</f>
        <v>71.31</v>
      </c>
      <c r="C75" s="24">
        <f t="shared" si="13"/>
        <v>1</v>
      </c>
      <c r="D75" s="720" t="s">
        <v>4644</v>
      </c>
      <c r="E75" s="24">
        <f t="shared" si="14"/>
        <v>0.95</v>
      </c>
      <c r="F75" s="2994" t="s">
        <v>4670</v>
      </c>
      <c r="G75" s="24">
        <f t="shared" si="15"/>
        <v>1</v>
      </c>
      <c r="H75" s="720"/>
      <c r="I75" s="24">
        <f t="shared" si="16"/>
        <v>1</v>
      </c>
      <c r="J75" s="720"/>
      <c r="K75" s="24">
        <f t="shared" si="17"/>
        <v>1</v>
      </c>
      <c r="L75" s="720"/>
      <c r="M75" s="24">
        <f t="shared" si="18"/>
        <v>1</v>
      </c>
      <c r="N75" s="720"/>
      <c r="O75" s="24">
        <f t="shared" si="19"/>
        <v>1</v>
      </c>
      <c r="P75" s="720">
        <v>-2</v>
      </c>
      <c r="Q75" s="24">
        <f t="shared" si="20"/>
        <v>0.83</v>
      </c>
      <c r="R75" s="716">
        <f t="shared" ca="1" si="21"/>
        <v>19005</v>
      </c>
      <c r="S75" s="361">
        <f t="shared" ca="1" si="22"/>
        <v>136</v>
      </c>
    </row>
    <row r="76" spans="1:19">
      <c r="A76" s="2764" t="str">
        <f>抵押物清单!E152</f>
        <v>北京恒大滨河左岸-商铺-16_03_04地块--65</v>
      </c>
      <c r="B76" s="2764">
        <f>抵押物清单!G152</f>
        <v>71.31</v>
      </c>
      <c r="C76" s="24">
        <f t="shared" si="13"/>
        <v>1</v>
      </c>
      <c r="D76" s="720" t="s">
        <v>4644</v>
      </c>
      <c r="E76" s="24">
        <f t="shared" si="14"/>
        <v>0.95</v>
      </c>
      <c r="F76" s="2994" t="s">
        <v>4670</v>
      </c>
      <c r="G76" s="24">
        <f t="shared" si="15"/>
        <v>1</v>
      </c>
      <c r="H76" s="720"/>
      <c r="I76" s="24">
        <f t="shared" si="16"/>
        <v>1</v>
      </c>
      <c r="J76" s="720"/>
      <c r="K76" s="24">
        <f t="shared" si="17"/>
        <v>1</v>
      </c>
      <c r="L76" s="720"/>
      <c r="M76" s="24">
        <f t="shared" si="18"/>
        <v>1</v>
      </c>
      <c r="N76" s="720"/>
      <c r="O76" s="24">
        <f t="shared" si="19"/>
        <v>1</v>
      </c>
      <c r="P76" s="720">
        <v>-2</v>
      </c>
      <c r="Q76" s="24">
        <f t="shared" si="20"/>
        <v>0.83</v>
      </c>
      <c r="R76" s="716">
        <f t="shared" ca="1" si="21"/>
        <v>19005</v>
      </c>
      <c r="S76" s="361">
        <f t="shared" ca="1" si="22"/>
        <v>136</v>
      </c>
    </row>
    <row r="77" spans="1:19">
      <c r="A77" s="2764" t="str">
        <f>抵押物清单!E153</f>
        <v>北京恒大滨河左岸-商铺-16_03_04地块--66</v>
      </c>
      <c r="B77" s="2764">
        <f>抵押物清单!G153</f>
        <v>93.33</v>
      </c>
      <c r="C77" s="24">
        <f t="shared" si="13"/>
        <v>1</v>
      </c>
      <c r="D77" s="720" t="s">
        <v>4644</v>
      </c>
      <c r="E77" s="24">
        <f t="shared" si="14"/>
        <v>0.95</v>
      </c>
      <c r="F77" s="2994" t="s">
        <v>4670</v>
      </c>
      <c r="G77" s="24">
        <f t="shared" si="15"/>
        <v>1</v>
      </c>
      <c r="H77" s="720"/>
      <c r="I77" s="24">
        <f t="shared" si="16"/>
        <v>1</v>
      </c>
      <c r="J77" s="720"/>
      <c r="K77" s="24">
        <f t="shared" si="17"/>
        <v>1</v>
      </c>
      <c r="L77" s="720"/>
      <c r="M77" s="24">
        <f t="shared" si="18"/>
        <v>1</v>
      </c>
      <c r="N77" s="720"/>
      <c r="O77" s="24">
        <f t="shared" si="19"/>
        <v>1</v>
      </c>
      <c r="P77" s="720">
        <v>-2</v>
      </c>
      <c r="Q77" s="24">
        <f t="shared" si="20"/>
        <v>0.83</v>
      </c>
      <c r="R77" s="716">
        <f t="shared" ca="1" si="21"/>
        <v>19005</v>
      </c>
      <c r="S77" s="361">
        <f t="shared" ca="1" si="22"/>
        <v>177</v>
      </c>
    </row>
    <row r="78" spans="1:19">
      <c r="A78" s="2764" t="str">
        <f>抵押物清单!E154</f>
        <v>北京恒大滨河左岸-商铺-16_03_04地块--67</v>
      </c>
      <c r="B78" s="2764">
        <f>抵押物清单!G154</f>
        <v>71.31</v>
      </c>
      <c r="C78" s="24">
        <f t="shared" si="13"/>
        <v>1</v>
      </c>
      <c r="D78" s="720" t="s">
        <v>4644</v>
      </c>
      <c r="E78" s="24">
        <f t="shared" si="14"/>
        <v>0.95</v>
      </c>
      <c r="F78" s="2994" t="s">
        <v>4670</v>
      </c>
      <c r="G78" s="24">
        <f t="shared" si="15"/>
        <v>1</v>
      </c>
      <c r="H78" s="720"/>
      <c r="I78" s="24">
        <f t="shared" si="16"/>
        <v>1</v>
      </c>
      <c r="J78" s="720"/>
      <c r="K78" s="24">
        <f t="shared" si="17"/>
        <v>1</v>
      </c>
      <c r="L78" s="720"/>
      <c r="M78" s="24">
        <f t="shared" si="18"/>
        <v>1</v>
      </c>
      <c r="N78" s="720"/>
      <c r="O78" s="24">
        <f t="shared" si="19"/>
        <v>1</v>
      </c>
      <c r="P78" s="720">
        <v>-2</v>
      </c>
      <c r="Q78" s="24">
        <f t="shared" si="20"/>
        <v>0.83</v>
      </c>
      <c r="R78" s="716">
        <f t="shared" ca="1" si="21"/>
        <v>19005</v>
      </c>
      <c r="S78" s="361">
        <f t="shared" ref="S78:S122" ca="1" si="23">ROUND(R78*B78/10000,0)</f>
        <v>136</v>
      </c>
    </row>
    <row r="79" spans="1:19">
      <c r="A79" s="2764" t="str">
        <f>抵押物清单!E155</f>
        <v>北京恒大滨河左岸-商铺-16_03_04地块--68</v>
      </c>
      <c r="B79" s="2764">
        <f>抵押物清单!G155</f>
        <v>71.31</v>
      </c>
      <c r="C79" s="24">
        <f t="shared" si="13"/>
        <v>1</v>
      </c>
      <c r="D79" s="720" t="s">
        <v>4644</v>
      </c>
      <c r="E79" s="24">
        <f t="shared" si="14"/>
        <v>0.95</v>
      </c>
      <c r="F79" s="2994" t="s">
        <v>4670</v>
      </c>
      <c r="G79" s="24">
        <f t="shared" si="15"/>
        <v>1</v>
      </c>
      <c r="H79" s="720"/>
      <c r="I79" s="24">
        <f t="shared" si="16"/>
        <v>1</v>
      </c>
      <c r="J79" s="720"/>
      <c r="K79" s="24">
        <f t="shared" si="17"/>
        <v>1</v>
      </c>
      <c r="L79" s="720"/>
      <c r="M79" s="24">
        <f t="shared" si="18"/>
        <v>1</v>
      </c>
      <c r="N79" s="720"/>
      <c r="O79" s="24">
        <f t="shared" si="19"/>
        <v>1</v>
      </c>
      <c r="P79" s="720">
        <v>-2</v>
      </c>
      <c r="Q79" s="24">
        <f t="shared" si="20"/>
        <v>0.83</v>
      </c>
      <c r="R79" s="716">
        <f t="shared" ca="1" si="21"/>
        <v>19005</v>
      </c>
      <c r="S79" s="361">
        <f t="shared" ca="1" si="23"/>
        <v>136</v>
      </c>
    </row>
    <row r="80" spans="1:19">
      <c r="A80" s="2764" t="str">
        <f>抵押物清单!E156</f>
        <v>北京恒大滨河左岸-商铺-16_03_04地块--69</v>
      </c>
      <c r="B80" s="2764">
        <f>抵押物清单!G156</f>
        <v>56.34</v>
      </c>
      <c r="C80" s="24">
        <f t="shared" si="13"/>
        <v>1</v>
      </c>
      <c r="D80" s="720" t="s">
        <v>4644</v>
      </c>
      <c r="E80" s="24">
        <f t="shared" si="14"/>
        <v>0.95</v>
      </c>
      <c r="F80" s="2994" t="s">
        <v>4670</v>
      </c>
      <c r="G80" s="24">
        <f t="shared" si="15"/>
        <v>1</v>
      </c>
      <c r="H80" s="720"/>
      <c r="I80" s="24">
        <f t="shared" si="16"/>
        <v>1</v>
      </c>
      <c r="J80" s="720"/>
      <c r="K80" s="24">
        <f t="shared" si="17"/>
        <v>1</v>
      </c>
      <c r="L80" s="720"/>
      <c r="M80" s="24">
        <f t="shared" si="18"/>
        <v>1</v>
      </c>
      <c r="N80" s="720"/>
      <c r="O80" s="24">
        <f t="shared" si="19"/>
        <v>1</v>
      </c>
      <c r="P80" s="720">
        <v>-2</v>
      </c>
      <c r="Q80" s="24">
        <f t="shared" si="20"/>
        <v>0.83</v>
      </c>
      <c r="R80" s="716">
        <f t="shared" ca="1" si="21"/>
        <v>19005</v>
      </c>
      <c r="S80" s="361">
        <f t="shared" ca="1" si="23"/>
        <v>107</v>
      </c>
    </row>
    <row r="81" spans="1:19">
      <c r="A81" s="2764" t="str">
        <f>抵押物清单!E157</f>
        <v>北京恒大滨河左岸-商铺-16_03_04地块--70</v>
      </c>
      <c r="B81" s="2764">
        <f>抵押物清单!G157</f>
        <v>56.34</v>
      </c>
      <c r="C81" s="24">
        <f t="shared" si="13"/>
        <v>1</v>
      </c>
      <c r="D81" s="720" t="s">
        <v>4644</v>
      </c>
      <c r="E81" s="24">
        <f t="shared" si="14"/>
        <v>0.95</v>
      </c>
      <c r="F81" s="2994" t="s">
        <v>4670</v>
      </c>
      <c r="G81" s="24">
        <f t="shared" si="15"/>
        <v>1</v>
      </c>
      <c r="H81" s="720"/>
      <c r="I81" s="24">
        <f t="shared" si="16"/>
        <v>1</v>
      </c>
      <c r="J81" s="720"/>
      <c r="K81" s="24">
        <f t="shared" si="17"/>
        <v>1</v>
      </c>
      <c r="L81" s="720"/>
      <c r="M81" s="24">
        <f t="shared" si="18"/>
        <v>1</v>
      </c>
      <c r="N81" s="720"/>
      <c r="O81" s="24">
        <f t="shared" si="19"/>
        <v>1</v>
      </c>
      <c r="P81" s="720">
        <v>-2</v>
      </c>
      <c r="Q81" s="24">
        <f t="shared" si="20"/>
        <v>0.83</v>
      </c>
      <c r="R81" s="716">
        <f t="shared" ca="1" si="21"/>
        <v>19005</v>
      </c>
      <c r="S81" s="361">
        <f t="shared" ca="1" si="23"/>
        <v>107</v>
      </c>
    </row>
    <row r="82" spans="1:19">
      <c r="A82" s="2764" t="str">
        <f>抵押物清单!E158</f>
        <v>北京恒大滨河左岸-商铺-16_03_04地块--71</v>
      </c>
      <c r="B82" s="2764">
        <f>抵押物清单!G158</f>
        <v>74.84</v>
      </c>
      <c r="C82" s="24">
        <f t="shared" si="13"/>
        <v>1</v>
      </c>
      <c r="D82" s="720" t="s">
        <v>4644</v>
      </c>
      <c r="E82" s="24">
        <f t="shared" si="14"/>
        <v>0.95</v>
      </c>
      <c r="F82" s="2994" t="s">
        <v>4670</v>
      </c>
      <c r="G82" s="24">
        <f t="shared" si="15"/>
        <v>1</v>
      </c>
      <c r="H82" s="720"/>
      <c r="I82" s="24">
        <f t="shared" si="16"/>
        <v>1</v>
      </c>
      <c r="J82" s="720"/>
      <c r="K82" s="24">
        <f t="shared" si="17"/>
        <v>1</v>
      </c>
      <c r="L82" s="720"/>
      <c r="M82" s="24">
        <f t="shared" si="18"/>
        <v>1</v>
      </c>
      <c r="N82" s="720"/>
      <c r="O82" s="24">
        <f t="shared" si="19"/>
        <v>1</v>
      </c>
      <c r="P82" s="720">
        <v>-2</v>
      </c>
      <c r="Q82" s="24">
        <f t="shared" si="20"/>
        <v>0.83</v>
      </c>
      <c r="R82" s="716">
        <f t="shared" ca="1" si="21"/>
        <v>19005</v>
      </c>
      <c r="S82" s="361">
        <f t="shared" ca="1" si="23"/>
        <v>142</v>
      </c>
    </row>
    <row r="83" spans="1:19">
      <c r="A83" s="2764" t="str">
        <f>抵押物清单!E159</f>
        <v>北京恒大滨河左岸-商铺-16_03_04地块--72</v>
      </c>
      <c r="B83" s="2764">
        <f>抵押物清单!G159</f>
        <v>74.84</v>
      </c>
      <c r="C83" s="24">
        <f t="shared" si="13"/>
        <v>1</v>
      </c>
      <c r="D83" s="720" t="s">
        <v>4644</v>
      </c>
      <c r="E83" s="24">
        <f t="shared" si="14"/>
        <v>0.95</v>
      </c>
      <c r="F83" s="2994" t="s">
        <v>4670</v>
      </c>
      <c r="G83" s="24">
        <f t="shared" si="15"/>
        <v>1</v>
      </c>
      <c r="H83" s="720"/>
      <c r="I83" s="24">
        <f t="shared" si="16"/>
        <v>1</v>
      </c>
      <c r="J83" s="720"/>
      <c r="K83" s="24">
        <f t="shared" si="17"/>
        <v>1</v>
      </c>
      <c r="L83" s="720"/>
      <c r="M83" s="24">
        <f t="shared" si="18"/>
        <v>1</v>
      </c>
      <c r="N83" s="720"/>
      <c r="O83" s="24">
        <f t="shared" si="19"/>
        <v>1</v>
      </c>
      <c r="P83" s="720">
        <v>-2</v>
      </c>
      <c r="Q83" s="24">
        <f t="shared" si="20"/>
        <v>0.83</v>
      </c>
      <c r="R83" s="716">
        <f t="shared" ca="1" si="21"/>
        <v>19005</v>
      </c>
      <c r="S83" s="361">
        <f t="shared" ca="1" si="23"/>
        <v>142</v>
      </c>
    </row>
    <row r="84" spans="1:19">
      <c r="A84" s="2764" t="str">
        <f>抵押物清单!E160</f>
        <v>北京恒大滨河左岸-商铺-16_03_04地块--73</v>
      </c>
      <c r="B84" s="2764">
        <f>抵押物清单!G160</f>
        <v>58.28</v>
      </c>
      <c r="C84" s="24">
        <f t="shared" si="13"/>
        <v>1</v>
      </c>
      <c r="D84" s="720" t="s">
        <v>4644</v>
      </c>
      <c r="E84" s="24">
        <f t="shared" si="14"/>
        <v>0.95</v>
      </c>
      <c r="F84" s="2994" t="s">
        <v>4670</v>
      </c>
      <c r="G84" s="24">
        <f t="shared" si="15"/>
        <v>1</v>
      </c>
      <c r="H84" s="720"/>
      <c r="I84" s="24">
        <f t="shared" si="16"/>
        <v>1</v>
      </c>
      <c r="J84" s="720"/>
      <c r="K84" s="24">
        <f t="shared" si="17"/>
        <v>1</v>
      </c>
      <c r="L84" s="720"/>
      <c r="M84" s="24">
        <f t="shared" si="18"/>
        <v>1</v>
      </c>
      <c r="N84" s="720"/>
      <c r="O84" s="24">
        <f t="shared" si="19"/>
        <v>1</v>
      </c>
      <c r="P84" s="720">
        <v>-2</v>
      </c>
      <c r="Q84" s="24">
        <f t="shared" si="20"/>
        <v>0.83</v>
      </c>
      <c r="R84" s="716">
        <f t="shared" ca="1" si="21"/>
        <v>19005</v>
      </c>
      <c r="S84" s="361">
        <f t="shared" ca="1" si="23"/>
        <v>111</v>
      </c>
    </row>
    <row r="85" spans="1:19">
      <c r="A85" s="2764" t="str">
        <f>抵押物清单!E161</f>
        <v>北京恒大滨河左岸-商铺-16_03_04地块--74</v>
      </c>
      <c r="B85" s="2764">
        <f>抵押物清单!G161</f>
        <v>58.38</v>
      </c>
      <c r="C85" s="24">
        <f t="shared" si="13"/>
        <v>1</v>
      </c>
      <c r="D85" s="720" t="s">
        <v>4644</v>
      </c>
      <c r="E85" s="24">
        <f t="shared" si="14"/>
        <v>0.95</v>
      </c>
      <c r="F85" s="2994" t="s">
        <v>4670</v>
      </c>
      <c r="G85" s="24">
        <f t="shared" si="15"/>
        <v>1</v>
      </c>
      <c r="H85" s="720"/>
      <c r="I85" s="24">
        <f t="shared" si="16"/>
        <v>1</v>
      </c>
      <c r="J85" s="720"/>
      <c r="K85" s="24">
        <f t="shared" si="17"/>
        <v>1</v>
      </c>
      <c r="L85" s="720"/>
      <c r="M85" s="24">
        <f t="shared" si="18"/>
        <v>1</v>
      </c>
      <c r="N85" s="720"/>
      <c r="O85" s="24">
        <f t="shared" si="19"/>
        <v>1</v>
      </c>
      <c r="P85" s="720">
        <v>-2</v>
      </c>
      <c r="Q85" s="24">
        <f t="shared" si="20"/>
        <v>0.83</v>
      </c>
      <c r="R85" s="716">
        <f t="shared" ca="1" si="21"/>
        <v>19005</v>
      </c>
      <c r="S85" s="361">
        <f t="shared" ca="1" si="23"/>
        <v>111</v>
      </c>
    </row>
    <row r="86" spans="1:19">
      <c r="A86" s="2764" t="str">
        <f>抵押物清单!E162</f>
        <v>北京恒大滨河左岸-商铺-16_03_04地块--75</v>
      </c>
      <c r="B86" s="2764">
        <f>抵押物清单!G162</f>
        <v>28.22</v>
      </c>
      <c r="C86" s="24">
        <f t="shared" si="13"/>
        <v>1.01</v>
      </c>
      <c r="D86" s="720" t="s">
        <v>4644</v>
      </c>
      <c r="E86" s="24">
        <f t="shared" si="14"/>
        <v>0.95</v>
      </c>
      <c r="F86" s="2994" t="s">
        <v>4670</v>
      </c>
      <c r="G86" s="24">
        <f t="shared" si="15"/>
        <v>1</v>
      </c>
      <c r="H86" s="720"/>
      <c r="I86" s="24">
        <f t="shared" si="16"/>
        <v>1</v>
      </c>
      <c r="J86" s="720"/>
      <c r="K86" s="24">
        <f t="shared" si="17"/>
        <v>1</v>
      </c>
      <c r="L86" s="720"/>
      <c r="M86" s="24">
        <f t="shared" si="18"/>
        <v>1</v>
      </c>
      <c r="N86" s="720"/>
      <c r="O86" s="24">
        <f t="shared" si="19"/>
        <v>1</v>
      </c>
      <c r="P86" s="720">
        <v>-2</v>
      </c>
      <c r="Q86" s="24">
        <f t="shared" si="20"/>
        <v>0.83</v>
      </c>
      <c r="R86" s="716">
        <f t="shared" ca="1" si="21"/>
        <v>19195</v>
      </c>
      <c r="S86" s="361">
        <f t="shared" ca="1" si="23"/>
        <v>54</v>
      </c>
    </row>
    <row r="87" spans="1:19">
      <c r="A87" s="2764" t="str">
        <f>抵押物清单!E163</f>
        <v>北京恒大滨河左岸-商铺-16_03_04地块--76</v>
      </c>
      <c r="B87" s="2764">
        <f>抵押物清单!G163</f>
        <v>29.1</v>
      </c>
      <c r="C87" s="24">
        <f t="shared" si="13"/>
        <v>1.01</v>
      </c>
      <c r="D87" s="720" t="s">
        <v>4644</v>
      </c>
      <c r="E87" s="24">
        <f t="shared" si="14"/>
        <v>0.95</v>
      </c>
      <c r="F87" s="2994" t="s">
        <v>4670</v>
      </c>
      <c r="G87" s="24">
        <f t="shared" si="15"/>
        <v>1</v>
      </c>
      <c r="H87" s="720"/>
      <c r="I87" s="24">
        <f t="shared" si="16"/>
        <v>1</v>
      </c>
      <c r="J87" s="720"/>
      <c r="K87" s="24">
        <f t="shared" si="17"/>
        <v>1</v>
      </c>
      <c r="L87" s="720"/>
      <c r="M87" s="24">
        <f t="shared" si="18"/>
        <v>1</v>
      </c>
      <c r="N87" s="720"/>
      <c r="O87" s="24">
        <f t="shared" si="19"/>
        <v>1</v>
      </c>
      <c r="P87" s="720">
        <v>-2</v>
      </c>
      <c r="Q87" s="24">
        <f t="shared" si="20"/>
        <v>0.83</v>
      </c>
      <c r="R87" s="716">
        <f t="shared" ca="1" si="21"/>
        <v>19195</v>
      </c>
      <c r="S87" s="361">
        <f t="shared" ca="1" si="23"/>
        <v>56</v>
      </c>
    </row>
    <row r="88" spans="1:19">
      <c r="A88" s="2764" t="str">
        <f>抵押物清单!E164</f>
        <v>北京恒大滨河左岸-商铺-16_03_04地块--77</v>
      </c>
      <c r="B88" s="2764">
        <f>抵押物清单!G164</f>
        <v>51.22</v>
      </c>
      <c r="C88" s="24">
        <f t="shared" si="13"/>
        <v>1</v>
      </c>
      <c r="D88" s="720" t="s">
        <v>4644</v>
      </c>
      <c r="E88" s="24">
        <f t="shared" si="14"/>
        <v>0.95</v>
      </c>
      <c r="F88" s="2994" t="s">
        <v>4670</v>
      </c>
      <c r="G88" s="24">
        <f t="shared" si="15"/>
        <v>1</v>
      </c>
      <c r="H88" s="720"/>
      <c r="I88" s="24">
        <f t="shared" si="16"/>
        <v>1</v>
      </c>
      <c r="J88" s="720"/>
      <c r="K88" s="24">
        <f t="shared" si="17"/>
        <v>1</v>
      </c>
      <c r="L88" s="720"/>
      <c r="M88" s="24">
        <f t="shared" si="18"/>
        <v>1</v>
      </c>
      <c r="N88" s="720"/>
      <c r="O88" s="24">
        <f t="shared" si="19"/>
        <v>1</v>
      </c>
      <c r="P88" s="720">
        <v>-2</v>
      </c>
      <c r="Q88" s="24">
        <f t="shared" si="20"/>
        <v>0.83</v>
      </c>
      <c r="R88" s="716">
        <f t="shared" ca="1" si="21"/>
        <v>19005</v>
      </c>
      <c r="S88" s="361">
        <f t="shared" ca="1" si="23"/>
        <v>97</v>
      </c>
    </row>
    <row r="89" spans="1:19">
      <c r="A89" s="2764" t="str">
        <f>抵押物清单!E165</f>
        <v>北京恒大滨河左岸-商铺-16_03_04地块--78</v>
      </c>
      <c r="B89" s="2764">
        <f>抵押物清单!G165</f>
        <v>48.6</v>
      </c>
      <c r="C89" s="24">
        <f t="shared" si="13"/>
        <v>1.01</v>
      </c>
      <c r="D89" s="720" t="s">
        <v>4644</v>
      </c>
      <c r="E89" s="24">
        <f t="shared" si="14"/>
        <v>0.95</v>
      </c>
      <c r="F89" s="2994" t="s">
        <v>4670</v>
      </c>
      <c r="G89" s="24">
        <f t="shared" si="15"/>
        <v>1</v>
      </c>
      <c r="H89" s="720"/>
      <c r="I89" s="24">
        <f t="shared" si="16"/>
        <v>1</v>
      </c>
      <c r="J89" s="720"/>
      <c r="K89" s="24">
        <f t="shared" si="17"/>
        <v>1</v>
      </c>
      <c r="L89" s="720"/>
      <c r="M89" s="24">
        <f t="shared" si="18"/>
        <v>1</v>
      </c>
      <c r="N89" s="720"/>
      <c r="O89" s="24">
        <f t="shared" si="19"/>
        <v>1</v>
      </c>
      <c r="P89" s="720">
        <v>-2</v>
      </c>
      <c r="Q89" s="24">
        <f t="shared" si="20"/>
        <v>0.83</v>
      </c>
      <c r="R89" s="716">
        <f t="shared" ca="1" si="21"/>
        <v>19195</v>
      </c>
      <c r="S89" s="361">
        <f t="shared" ca="1" si="23"/>
        <v>93</v>
      </c>
    </row>
    <row r="90" spans="1:19">
      <c r="A90" s="2764" t="str">
        <f>抵押物清单!E166</f>
        <v>北京恒大滨河左岸-商铺-16_03_04地块--79</v>
      </c>
      <c r="B90" s="2764">
        <f>抵押物清单!G166</f>
        <v>59.67</v>
      </c>
      <c r="C90" s="24">
        <f t="shared" ref="C90:C153" si="24">IF(B90="",1,(LOOKUP(B90,$3:$3,$4:$4)-LOOKUP($B$24,$3:$3,$4:$4)+100)/100)</f>
        <v>1</v>
      </c>
      <c r="D90" s="720" t="s">
        <v>4644</v>
      </c>
      <c r="E90" s="24">
        <f t="shared" ref="E90:E153" si="25">(SUMIF($5:$5,D90,$6:$6)-SUMIF($5:$5,$D$24,$6:$6)+100)/100</f>
        <v>0.95</v>
      </c>
      <c r="F90" s="2994" t="s">
        <v>4670</v>
      </c>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v>-2</v>
      </c>
      <c r="Q90" s="24">
        <f t="shared" ref="Q90:Q153" si="31">(SUMIF($17:$17,P90,$18:$18)-SUMIF($17:$17,$P$24,$18:$18)+100)/100</f>
        <v>0.83</v>
      </c>
      <c r="R90" s="716">
        <f t="shared" ref="R90:R153" ca="1" si="32">IF(B90="",0,ROUND($R$24*C90*E90*G90*I90*K90*M90*O90*Q90,0))</f>
        <v>19005</v>
      </c>
      <c r="S90" s="361">
        <f t="shared" ca="1" si="23"/>
        <v>113</v>
      </c>
    </row>
    <row r="91" spans="1:19">
      <c r="A91" s="2764" t="str">
        <f>抵押物清单!E167</f>
        <v>北京恒大滨河左岸-商铺-16_03_04地块--80</v>
      </c>
      <c r="B91" s="2764">
        <f>抵押物清单!G167</f>
        <v>97.26</v>
      </c>
      <c r="C91" s="24">
        <f t="shared" si="24"/>
        <v>1</v>
      </c>
      <c r="D91" s="720" t="s">
        <v>4644</v>
      </c>
      <c r="E91" s="24">
        <f t="shared" si="25"/>
        <v>0.95</v>
      </c>
      <c r="F91" s="2994" t="s">
        <v>4670</v>
      </c>
      <c r="G91" s="24">
        <f t="shared" si="26"/>
        <v>1</v>
      </c>
      <c r="H91" s="720"/>
      <c r="I91" s="24">
        <f t="shared" si="27"/>
        <v>1</v>
      </c>
      <c r="J91" s="720"/>
      <c r="K91" s="24">
        <f t="shared" si="28"/>
        <v>1</v>
      </c>
      <c r="L91" s="720"/>
      <c r="M91" s="24">
        <f t="shared" si="29"/>
        <v>1</v>
      </c>
      <c r="N91" s="720"/>
      <c r="O91" s="24">
        <f t="shared" si="30"/>
        <v>1</v>
      </c>
      <c r="P91" s="720">
        <v>-2</v>
      </c>
      <c r="Q91" s="24">
        <f t="shared" si="31"/>
        <v>0.83</v>
      </c>
      <c r="R91" s="716">
        <f t="shared" ca="1" si="32"/>
        <v>19005</v>
      </c>
      <c r="S91" s="361">
        <f t="shared" ca="1" si="23"/>
        <v>185</v>
      </c>
    </row>
    <row r="92" spans="1:19">
      <c r="A92" s="2764" t="str">
        <f>抵押物清单!E168</f>
        <v>北京恒大滨河左岸-商铺-16_03_04地块--81</v>
      </c>
      <c r="B92" s="2764">
        <f>抵押物清单!G168</f>
        <v>88.73</v>
      </c>
      <c r="C92" s="24">
        <f t="shared" si="24"/>
        <v>1</v>
      </c>
      <c r="D92" s="720" t="s">
        <v>4644</v>
      </c>
      <c r="E92" s="24">
        <f t="shared" si="25"/>
        <v>0.95</v>
      </c>
      <c r="F92" s="2994" t="s">
        <v>4670</v>
      </c>
      <c r="G92" s="24">
        <f t="shared" si="26"/>
        <v>1</v>
      </c>
      <c r="H92" s="720"/>
      <c r="I92" s="24">
        <f t="shared" si="27"/>
        <v>1</v>
      </c>
      <c r="J92" s="720"/>
      <c r="K92" s="24">
        <f t="shared" si="28"/>
        <v>1</v>
      </c>
      <c r="L92" s="720"/>
      <c r="M92" s="24">
        <f t="shared" si="29"/>
        <v>1</v>
      </c>
      <c r="N92" s="720"/>
      <c r="O92" s="24">
        <f t="shared" si="30"/>
        <v>1</v>
      </c>
      <c r="P92" s="720">
        <v>-2</v>
      </c>
      <c r="Q92" s="24">
        <f t="shared" si="31"/>
        <v>0.83</v>
      </c>
      <c r="R92" s="716">
        <f t="shared" ca="1" si="32"/>
        <v>19005</v>
      </c>
      <c r="S92" s="361">
        <f t="shared" ca="1" si="23"/>
        <v>169</v>
      </c>
    </row>
    <row r="93" spans="1:19">
      <c r="A93" s="2764" t="str">
        <f>抵押物清单!E169</f>
        <v>北京恒大滨河左岸-商铺-16_03_04地块--82</v>
      </c>
      <c r="B93" s="2764">
        <f>抵押物清单!G169</f>
        <v>56.01</v>
      </c>
      <c r="C93" s="24">
        <f t="shared" si="24"/>
        <v>1</v>
      </c>
      <c r="D93" s="720" t="s">
        <v>4644</v>
      </c>
      <c r="E93" s="24">
        <f t="shared" si="25"/>
        <v>0.95</v>
      </c>
      <c r="F93" s="2994" t="s">
        <v>4670</v>
      </c>
      <c r="G93" s="24">
        <f t="shared" si="26"/>
        <v>1</v>
      </c>
      <c r="H93" s="720"/>
      <c r="I93" s="24">
        <f t="shared" si="27"/>
        <v>1</v>
      </c>
      <c r="J93" s="720"/>
      <c r="K93" s="24">
        <f t="shared" si="28"/>
        <v>1</v>
      </c>
      <c r="L93" s="720"/>
      <c r="M93" s="24">
        <f t="shared" si="29"/>
        <v>1</v>
      </c>
      <c r="N93" s="720"/>
      <c r="O93" s="24">
        <f t="shared" si="30"/>
        <v>1</v>
      </c>
      <c r="P93" s="720">
        <v>-2</v>
      </c>
      <c r="Q93" s="24">
        <f t="shared" si="31"/>
        <v>0.83</v>
      </c>
      <c r="R93" s="716">
        <f t="shared" ca="1" si="32"/>
        <v>19005</v>
      </c>
      <c r="S93" s="361">
        <f t="shared" ca="1" si="23"/>
        <v>106</v>
      </c>
    </row>
    <row r="94" spans="1:19">
      <c r="A94" s="2764" t="str">
        <f>抵押物清单!E170</f>
        <v>北京恒大滨河左岸-商铺-16_03_04地块--83</v>
      </c>
      <c r="B94" s="2764">
        <f>抵押物清单!G170</f>
        <v>48.87</v>
      </c>
      <c r="C94" s="24">
        <f t="shared" si="24"/>
        <v>1.01</v>
      </c>
      <c r="D94" s="720" t="s">
        <v>4644</v>
      </c>
      <c r="E94" s="24">
        <f t="shared" si="25"/>
        <v>0.95</v>
      </c>
      <c r="F94" s="2994" t="s">
        <v>4670</v>
      </c>
      <c r="G94" s="24">
        <f t="shared" si="26"/>
        <v>1</v>
      </c>
      <c r="H94" s="720"/>
      <c r="I94" s="24">
        <f t="shared" si="27"/>
        <v>1</v>
      </c>
      <c r="J94" s="720"/>
      <c r="K94" s="24">
        <f t="shared" si="28"/>
        <v>1</v>
      </c>
      <c r="L94" s="720"/>
      <c r="M94" s="24">
        <f t="shared" si="29"/>
        <v>1</v>
      </c>
      <c r="N94" s="720"/>
      <c r="O94" s="24">
        <f t="shared" si="30"/>
        <v>1</v>
      </c>
      <c r="P94" s="720">
        <v>-2</v>
      </c>
      <c r="Q94" s="24">
        <f t="shared" si="31"/>
        <v>0.83</v>
      </c>
      <c r="R94" s="716">
        <f t="shared" ca="1" si="32"/>
        <v>19195</v>
      </c>
      <c r="S94" s="361">
        <f t="shared" ca="1" si="23"/>
        <v>94</v>
      </c>
    </row>
    <row r="95" spans="1:19">
      <c r="A95" s="2764" t="str">
        <f>抵押物清单!E171</f>
        <v>北京恒大滨河左岸-商铺-16_03_04地块--84</v>
      </c>
      <c r="B95" s="2764">
        <f>抵押物清单!G171</f>
        <v>60.07</v>
      </c>
      <c r="C95" s="24">
        <f t="shared" si="24"/>
        <v>1</v>
      </c>
      <c r="D95" s="720" t="s">
        <v>4644</v>
      </c>
      <c r="E95" s="24">
        <f t="shared" si="25"/>
        <v>0.95</v>
      </c>
      <c r="F95" s="2994" t="s">
        <v>4670</v>
      </c>
      <c r="G95" s="24">
        <f t="shared" si="26"/>
        <v>1</v>
      </c>
      <c r="H95" s="720"/>
      <c r="I95" s="24">
        <f t="shared" si="27"/>
        <v>1</v>
      </c>
      <c r="J95" s="720"/>
      <c r="K95" s="24">
        <f t="shared" si="28"/>
        <v>1</v>
      </c>
      <c r="L95" s="720"/>
      <c r="M95" s="24">
        <f t="shared" si="29"/>
        <v>1</v>
      </c>
      <c r="N95" s="720"/>
      <c r="O95" s="24">
        <f t="shared" si="30"/>
        <v>1</v>
      </c>
      <c r="P95" s="720">
        <v>-2</v>
      </c>
      <c r="Q95" s="24">
        <f t="shared" si="31"/>
        <v>0.83</v>
      </c>
      <c r="R95" s="716">
        <f t="shared" ca="1" si="32"/>
        <v>19005</v>
      </c>
      <c r="S95" s="361">
        <f t="shared" ca="1" si="23"/>
        <v>114</v>
      </c>
    </row>
    <row r="96" spans="1:19">
      <c r="A96" s="2764" t="str">
        <f>抵押物清单!E172</f>
        <v>北京恒大滨河左岸-商铺-16_03_04地块--85</v>
      </c>
      <c r="B96" s="2764">
        <f>抵押物清单!G172</f>
        <v>63.08</v>
      </c>
      <c r="C96" s="24">
        <f t="shared" si="24"/>
        <v>1</v>
      </c>
      <c r="D96" s="720" t="s">
        <v>4644</v>
      </c>
      <c r="E96" s="24">
        <f t="shared" si="25"/>
        <v>0.95</v>
      </c>
      <c r="F96" s="2994" t="s">
        <v>4670</v>
      </c>
      <c r="G96" s="24">
        <f t="shared" si="26"/>
        <v>1</v>
      </c>
      <c r="H96" s="720"/>
      <c r="I96" s="24">
        <f t="shared" si="27"/>
        <v>1</v>
      </c>
      <c r="J96" s="720"/>
      <c r="K96" s="24">
        <f t="shared" si="28"/>
        <v>1</v>
      </c>
      <c r="L96" s="720"/>
      <c r="M96" s="24">
        <f t="shared" si="29"/>
        <v>1</v>
      </c>
      <c r="N96" s="720"/>
      <c r="O96" s="24">
        <f t="shared" si="30"/>
        <v>1</v>
      </c>
      <c r="P96" s="720">
        <v>-2</v>
      </c>
      <c r="Q96" s="24">
        <f t="shared" si="31"/>
        <v>0.83</v>
      </c>
      <c r="R96" s="716">
        <f t="shared" ca="1" si="32"/>
        <v>19005</v>
      </c>
      <c r="S96" s="361">
        <f t="shared" ca="1" si="23"/>
        <v>120</v>
      </c>
    </row>
    <row r="97" spans="1:19">
      <c r="A97" s="2764" t="str">
        <f>抵押物清单!E173</f>
        <v>北京恒大滨河左岸-商铺-16_03_04地块--86</v>
      </c>
      <c r="B97" s="2764">
        <f>抵押物清单!G173</f>
        <v>53.61</v>
      </c>
      <c r="C97" s="24">
        <f t="shared" si="24"/>
        <v>1</v>
      </c>
      <c r="D97" s="720" t="s">
        <v>4644</v>
      </c>
      <c r="E97" s="24">
        <f t="shared" si="25"/>
        <v>0.95</v>
      </c>
      <c r="F97" s="2994" t="s">
        <v>4670</v>
      </c>
      <c r="G97" s="24">
        <f t="shared" si="26"/>
        <v>1</v>
      </c>
      <c r="H97" s="720"/>
      <c r="I97" s="24">
        <f t="shared" si="27"/>
        <v>1</v>
      </c>
      <c r="J97" s="720"/>
      <c r="K97" s="24">
        <f t="shared" si="28"/>
        <v>1</v>
      </c>
      <c r="L97" s="720"/>
      <c r="M97" s="24">
        <f t="shared" si="29"/>
        <v>1</v>
      </c>
      <c r="N97" s="720"/>
      <c r="O97" s="24">
        <f t="shared" si="30"/>
        <v>1</v>
      </c>
      <c r="P97" s="720">
        <v>-2</v>
      </c>
      <c r="Q97" s="24">
        <f t="shared" si="31"/>
        <v>0.83</v>
      </c>
      <c r="R97" s="716">
        <f t="shared" ca="1" si="32"/>
        <v>19005</v>
      </c>
      <c r="S97" s="361">
        <f t="shared" ca="1" si="23"/>
        <v>102</v>
      </c>
    </row>
    <row r="98" spans="1:19">
      <c r="A98" s="2764" t="str">
        <f>抵押物清单!E174</f>
        <v>北京恒大滨河左岸-商铺-16_03_04地块--87</v>
      </c>
      <c r="B98" s="2764">
        <f>抵押物清单!G174</f>
        <v>31.72</v>
      </c>
      <c r="C98" s="24">
        <f t="shared" si="24"/>
        <v>1.01</v>
      </c>
      <c r="D98" s="720" t="s">
        <v>4644</v>
      </c>
      <c r="E98" s="24">
        <f t="shared" si="25"/>
        <v>0.95</v>
      </c>
      <c r="F98" s="2994" t="s">
        <v>4670</v>
      </c>
      <c r="G98" s="24">
        <f t="shared" si="26"/>
        <v>1</v>
      </c>
      <c r="H98" s="720"/>
      <c r="I98" s="24">
        <f t="shared" si="27"/>
        <v>1</v>
      </c>
      <c r="J98" s="720"/>
      <c r="K98" s="24">
        <f t="shared" si="28"/>
        <v>1</v>
      </c>
      <c r="L98" s="720"/>
      <c r="M98" s="24">
        <f t="shared" si="29"/>
        <v>1</v>
      </c>
      <c r="N98" s="720"/>
      <c r="O98" s="24">
        <f t="shared" si="30"/>
        <v>1</v>
      </c>
      <c r="P98" s="720">
        <v>-2</v>
      </c>
      <c r="Q98" s="24">
        <f t="shared" si="31"/>
        <v>0.83</v>
      </c>
      <c r="R98" s="716">
        <f t="shared" ca="1" si="32"/>
        <v>19195</v>
      </c>
      <c r="S98" s="361">
        <f t="shared" ca="1" si="23"/>
        <v>61</v>
      </c>
    </row>
    <row r="99" spans="1:19">
      <c r="A99" s="2764" t="str">
        <f>抵押物清单!E175</f>
        <v>北京恒大滨河左岸-商铺-16_03_04地块--88</v>
      </c>
      <c r="B99" s="2764">
        <f>抵押物清单!G175</f>
        <v>68.08</v>
      </c>
      <c r="C99" s="24">
        <f t="shared" si="24"/>
        <v>1</v>
      </c>
      <c r="D99" s="720" t="s">
        <v>4644</v>
      </c>
      <c r="E99" s="24">
        <f t="shared" si="25"/>
        <v>0.95</v>
      </c>
      <c r="F99" s="2994" t="s">
        <v>4670</v>
      </c>
      <c r="G99" s="24">
        <f t="shared" si="26"/>
        <v>1</v>
      </c>
      <c r="H99" s="720"/>
      <c r="I99" s="24">
        <f t="shared" si="27"/>
        <v>1</v>
      </c>
      <c r="J99" s="720"/>
      <c r="K99" s="24">
        <f t="shared" si="28"/>
        <v>1</v>
      </c>
      <c r="L99" s="720"/>
      <c r="M99" s="24">
        <f t="shared" si="29"/>
        <v>1</v>
      </c>
      <c r="N99" s="720"/>
      <c r="O99" s="24">
        <f t="shared" si="30"/>
        <v>1</v>
      </c>
      <c r="P99" s="720">
        <v>-2</v>
      </c>
      <c r="Q99" s="24">
        <f t="shared" si="31"/>
        <v>0.83</v>
      </c>
      <c r="R99" s="716">
        <f t="shared" ca="1" si="32"/>
        <v>19005</v>
      </c>
      <c r="S99" s="361">
        <f t="shared" ca="1" si="23"/>
        <v>129</v>
      </c>
    </row>
    <row r="100" spans="1:19">
      <c r="A100" s="2764" t="str">
        <f>抵押物清单!E176</f>
        <v>北京恒大滨河左岸-商铺-16_03_04地块--89</v>
      </c>
      <c r="B100" s="2764">
        <f>抵押物清单!G176</f>
        <v>58.82</v>
      </c>
      <c r="C100" s="24">
        <f t="shared" si="24"/>
        <v>1</v>
      </c>
      <c r="D100" s="720" t="s">
        <v>4644</v>
      </c>
      <c r="E100" s="24">
        <f t="shared" si="25"/>
        <v>0.95</v>
      </c>
      <c r="F100" s="2994" t="s">
        <v>4670</v>
      </c>
      <c r="G100" s="24">
        <f t="shared" si="26"/>
        <v>1</v>
      </c>
      <c r="H100" s="720"/>
      <c r="I100" s="24">
        <f t="shared" si="27"/>
        <v>1</v>
      </c>
      <c r="J100" s="720"/>
      <c r="K100" s="24">
        <f t="shared" si="28"/>
        <v>1</v>
      </c>
      <c r="L100" s="720"/>
      <c r="M100" s="24">
        <f t="shared" si="29"/>
        <v>1</v>
      </c>
      <c r="N100" s="720"/>
      <c r="O100" s="24">
        <f t="shared" si="30"/>
        <v>1</v>
      </c>
      <c r="P100" s="720">
        <v>-2</v>
      </c>
      <c r="Q100" s="24">
        <f t="shared" si="31"/>
        <v>0.83</v>
      </c>
      <c r="R100" s="716">
        <f t="shared" ca="1" si="32"/>
        <v>19005</v>
      </c>
      <c r="S100" s="361">
        <f t="shared" ca="1" si="23"/>
        <v>112</v>
      </c>
    </row>
    <row r="101" spans="1:19">
      <c r="A101" s="2764" t="str">
        <f>抵押物清单!E177</f>
        <v>北京恒大滨河左岸-商铺-16_03_04地块--90</v>
      </c>
      <c r="B101" s="2764">
        <f>抵押物清单!G177</f>
        <v>73.319999999999993</v>
      </c>
      <c r="C101" s="24">
        <f t="shared" si="24"/>
        <v>1</v>
      </c>
      <c r="D101" s="720" t="s">
        <v>4644</v>
      </c>
      <c r="E101" s="24">
        <f t="shared" si="25"/>
        <v>0.95</v>
      </c>
      <c r="F101" s="2994" t="s">
        <v>4670</v>
      </c>
      <c r="G101" s="24">
        <f t="shared" si="26"/>
        <v>1</v>
      </c>
      <c r="H101" s="720"/>
      <c r="I101" s="24">
        <f t="shared" si="27"/>
        <v>1</v>
      </c>
      <c r="J101" s="720"/>
      <c r="K101" s="24">
        <f t="shared" si="28"/>
        <v>1</v>
      </c>
      <c r="L101" s="720"/>
      <c r="M101" s="24">
        <f t="shared" si="29"/>
        <v>1</v>
      </c>
      <c r="N101" s="720"/>
      <c r="O101" s="24">
        <f t="shared" si="30"/>
        <v>1</v>
      </c>
      <c r="P101" s="720">
        <v>-2</v>
      </c>
      <c r="Q101" s="24">
        <f t="shared" si="31"/>
        <v>0.83</v>
      </c>
      <c r="R101" s="716">
        <f t="shared" ca="1" si="32"/>
        <v>19005</v>
      </c>
      <c r="S101" s="361">
        <f t="shared" ca="1" si="23"/>
        <v>139</v>
      </c>
    </row>
    <row r="102" spans="1:19">
      <c r="A102" s="2764" t="str">
        <f>抵押物清单!E178</f>
        <v>北京恒大滨河左岸-商铺-16_03_04地块--91</v>
      </c>
      <c r="B102" s="2764">
        <f>抵押物清单!G178</f>
        <v>77.59</v>
      </c>
      <c r="C102" s="24">
        <f t="shared" si="24"/>
        <v>1</v>
      </c>
      <c r="D102" s="720" t="s">
        <v>4644</v>
      </c>
      <c r="E102" s="24">
        <f t="shared" si="25"/>
        <v>0.95</v>
      </c>
      <c r="F102" s="2994" t="s">
        <v>4670</v>
      </c>
      <c r="G102" s="24">
        <f t="shared" si="26"/>
        <v>1</v>
      </c>
      <c r="H102" s="720"/>
      <c r="I102" s="24">
        <f t="shared" si="27"/>
        <v>1</v>
      </c>
      <c r="J102" s="720"/>
      <c r="K102" s="24">
        <f t="shared" si="28"/>
        <v>1</v>
      </c>
      <c r="L102" s="720"/>
      <c r="M102" s="24">
        <f t="shared" si="29"/>
        <v>1</v>
      </c>
      <c r="N102" s="720"/>
      <c r="O102" s="24">
        <f t="shared" si="30"/>
        <v>1</v>
      </c>
      <c r="P102" s="720">
        <v>-2</v>
      </c>
      <c r="Q102" s="24">
        <f t="shared" si="31"/>
        <v>0.83</v>
      </c>
      <c r="R102" s="716">
        <f t="shared" ca="1" si="32"/>
        <v>19005</v>
      </c>
      <c r="S102" s="361">
        <f t="shared" ca="1" si="23"/>
        <v>147</v>
      </c>
    </row>
    <row r="103" spans="1:19">
      <c r="A103" s="2764" t="str">
        <f>抵押物清单!E179</f>
        <v>北京恒大滨河左岸-商铺-16_03_04地块--92</v>
      </c>
      <c r="B103" s="2764">
        <f>抵押物清单!G179</f>
        <v>38.799999999999997</v>
      </c>
      <c r="C103" s="24">
        <f t="shared" si="24"/>
        <v>1.01</v>
      </c>
      <c r="D103" s="720" t="s">
        <v>4644</v>
      </c>
      <c r="E103" s="24">
        <f t="shared" si="25"/>
        <v>0.95</v>
      </c>
      <c r="F103" s="2994" t="s">
        <v>4670</v>
      </c>
      <c r="G103" s="24">
        <f t="shared" si="26"/>
        <v>1</v>
      </c>
      <c r="H103" s="720"/>
      <c r="I103" s="24">
        <f t="shared" si="27"/>
        <v>1</v>
      </c>
      <c r="J103" s="720"/>
      <c r="K103" s="24">
        <f t="shared" si="28"/>
        <v>1</v>
      </c>
      <c r="L103" s="720"/>
      <c r="M103" s="24">
        <f t="shared" si="29"/>
        <v>1</v>
      </c>
      <c r="N103" s="720"/>
      <c r="O103" s="24">
        <f t="shared" si="30"/>
        <v>1</v>
      </c>
      <c r="P103" s="720">
        <v>-2</v>
      </c>
      <c r="Q103" s="24">
        <f t="shared" si="31"/>
        <v>0.83</v>
      </c>
      <c r="R103" s="716">
        <f t="shared" ca="1" si="32"/>
        <v>19195</v>
      </c>
      <c r="S103" s="361">
        <f t="shared" ca="1" si="23"/>
        <v>74</v>
      </c>
    </row>
    <row r="104" spans="1:19">
      <c r="A104" s="2764" t="str">
        <f>抵押物清单!E180</f>
        <v>北京恒大滨河左岸-商铺-16_03_04地块--95</v>
      </c>
      <c r="B104" s="2764">
        <f>抵押物清单!G180</f>
        <v>83.17</v>
      </c>
      <c r="C104" s="24">
        <f t="shared" si="24"/>
        <v>1</v>
      </c>
      <c r="D104" s="720" t="s">
        <v>4644</v>
      </c>
      <c r="E104" s="24">
        <f t="shared" si="25"/>
        <v>0.95</v>
      </c>
      <c r="F104" s="2994" t="s">
        <v>4670</v>
      </c>
      <c r="G104" s="24">
        <f t="shared" si="26"/>
        <v>1</v>
      </c>
      <c r="H104" s="720"/>
      <c r="I104" s="24">
        <f t="shared" si="27"/>
        <v>1</v>
      </c>
      <c r="J104" s="720"/>
      <c r="K104" s="24">
        <f t="shared" si="28"/>
        <v>1</v>
      </c>
      <c r="L104" s="720"/>
      <c r="M104" s="24">
        <f t="shared" si="29"/>
        <v>1</v>
      </c>
      <c r="N104" s="720"/>
      <c r="O104" s="24">
        <f t="shared" si="30"/>
        <v>1</v>
      </c>
      <c r="P104" s="720">
        <v>-2</v>
      </c>
      <c r="Q104" s="24">
        <f t="shared" si="31"/>
        <v>0.83</v>
      </c>
      <c r="R104" s="716">
        <f t="shared" ca="1" si="32"/>
        <v>19005</v>
      </c>
      <c r="S104" s="361">
        <f t="shared" ca="1" si="23"/>
        <v>158</v>
      </c>
    </row>
    <row r="105" spans="1:19">
      <c r="A105" s="2764" t="str">
        <f>抵押物清单!E99</f>
        <v>北京恒大滨河左岸-商铺-商业G15-015</v>
      </c>
      <c r="B105" s="2987">
        <f>抵押物清单!G99</f>
        <v>47.63</v>
      </c>
      <c r="C105" s="24">
        <f t="shared" si="24"/>
        <v>1.01</v>
      </c>
      <c r="D105" s="720" t="s">
        <v>4646</v>
      </c>
      <c r="E105" s="24">
        <f t="shared" si="25"/>
        <v>1</v>
      </c>
      <c r="F105" s="2994" t="s">
        <v>4670</v>
      </c>
      <c r="G105" s="24">
        <f t="shared" si="26"/>
        <v>1</v>
      </c>
      <c r="H105" s="720"/>
      <c r="I105" s="24">
        <f t="shared" si="27"/>
        <v>1</v>
      </c>
      <c r="J105" s="720"/>
      <c r="K105" s="24">
        <f t="shared" si="28"/>
        <v>1</v>
      </c>
      <c r="L105" s="720"/>
      <c r="M105" s="24">
        <f t="shared" si="29"/>
        <v>1</v>
      </c>
      <c r="N105" s="720"/>
      <c r="O105" s="24">
        <f t="shared" si="30"/>
        <v>1</v>
      </c>
      <c r="P105" s="720">
        <v>-1</v>
      </c>
      <c r="Q105" s="24">
        <f t="shared" si="31"/>
        <v>1</v>
      </c>
      <c r="R105" s="716">
        <f t="shared" ca="1" si="32"/>
        <v>24344</v>
      </c>
      <c r="S105" s="361">
        <f t="shared" ca="1" si="23"/>
        <v>116</v>
      </c>
    </row>
    <row r="106" spans="1:19">
      <c r="A106" s="718"/>
      <c r="B106" s="59"/>
      <c r="C106" s="24">
        <f t="shared" si="24"/>
        <v>1</v>
      </c>
      <c r="D106" s="720"/>
      <c r="E106" s="24">
        <f t="shared" si="25"/>
        <v>-0.05</v>
      </c>
      <c r="F106" s="720"/>
      <c r="G106" s="24">
        <f t="shared" si="26"/>
        <v>0.03</v>
      </c>
      <c r="H106" s="720"/>
      <c r="I106" s="24">
        <f t="shared" si="27"/>
        <v>1</v>
      </c>
      <c r="J106" s="720"/>
      <c r="K106" s="24">
        <f t="shared" si="28"/>
        <v>1</v>
      </c>
      <c r="L106" s="720"/>
      <c r="M106" s="24">
        <f t="shared" si="29"/>
        <v>1</v>
      </c>
      <c r="N106" s="720"/>
      <c r="O106" s="24">
        <f t="shared" si="30"/>
        <v>1</v>
      </c>
      <c r="P106" s="720"/>
      <c r="Q106" s="24">
        <f t="shared" si="31"/>
        <v>0</v>
      </c>
      <c r="R106" s="716">
        <f t="shared" si="32"/>
        <v>0</v>
      </c>
      <c r="S106" s="361">
        <f t="shared" si="23"/>
        <v>0</v>
      </c>
    </row>
    <row r="107" spans="1:19">
      <c r="A107" s="718"/>
      <c r="B107" s="59"/>
      <c r="C107" s="24">
        <f t="shared" si="24"/>
        <v>1</v>
      </c>
      <c r="D107" s="720"/>
      <c r="E107" s="24">
        <f t="shared" si="25"/>
        <v>-0.05</v>
      </c>
      <c r="F107" s="720"/>
      <c r="G107" s="24">
        <f t="shared" si="26"/>
        <v>0.03</v>
      </c>
      <c r="H107" s="720"/>
      <c r="I107" s="24">
        <f t="shared" si="27"/>
        <v>1</v>
      </c>
      <c r="J107" s="720"/>
      <c r="K107" s="24">
        <f t="shared" si="28"/>
        <v>1</v>
      </c>
      <c r="L107" s="720"/>
      <c r="M107" s="24">
        <f t="shared" si="29"/>
        <v>1</v>
      </c>
      <c r="N107" s="720"/>
      <c r="O107" s="24">
        <f t="shared" si="30"/>
        <v>1</v>
      </c>
      <c r="P107" s="720"/>
      <c r="Q107" s="24">
        <f t="shared" si="31"/>
        <v>0</v>
      </c>
      <c r="R107" s="716">
        <f t="shared" si="32"/>
        <v>0</v>
      </c>
      <c r="S107" s="361">
        <f t="shared" si="23"/>
        <v>0</v>
      </c>
    </row>
    <row r="108" spans="1:19">
      <c r="A108" s="718"/>
      <c r="B108" s="59"/>
      <c r="C108" s="24">
        <f t="shared" si="24"/>
        <v>1</v>
      </c>
      <c r="D108" s="720"/>
      <c r="E108" s="24">
        <f t="shared" si="25"/>
        <v>-0.05</v>
      </c>
      <c r="F108" s="720"/>
      <c r="G108" s="24">
        <f t="shared" si="26"/>
        <v>0.03</v>
      </c>
      <c r="H108" s="720"/>
      <c r="I108" s="24">
        <f t="shared" si="27"/>
        <v>1</v>
      </c>
      <c r="J108" s="720"/>
      <c r="K108" s="24">
        <f t="shared" si="28"/>
        <v>1</v>
      </c>
      <c r="L108" s="720"/>
      <c r="M108" s="24">
        <f t="shared" si="29"/>
        <v>1</v>
      </c>
      <c r="N108" s="720"/>
      <c r="O108" s="24">
        <f t="shared" si="30"/>
        <v>1</v>
      </c>
      <c r="P108" s="720"/>
      <c r="Q108" s="24">
        <f t="shared" si="31"/>
        <v>0</v>
      </c>
      <c r="R108" s="716">
        <f t="shared" si="32"/>
        <v>0</v>
      </c>
      <c r="S108" s="361">
        <f t="shared" si="23"/>
        <v>0</v>
      </c>
    </row>
    <row r="109" spans="1:19">
      <c r="A109" s="718"/>
      <c r="B109" s="59"/>
      <c r="C109" s="24">
        <f t="shared" si="24"/>
        <v>1</v>
      </c>
      <c r="D109" s="720"/>
      <c r="E109" s="24">
        <f t="shared" si="25"/>
        <v>-0.05</v>
      </c>
      <c r="F109" s="720"/>
      <c r="G109" s="24">
        <f t="shared" si="26"/>
        <v>0.03</v>
      </c>
      <c r="H109" s="720"/>
      <c r="I109" s="24">
        <f t="shared" si="27"/>
        <v>1</v>
      </c>
      <c r="J109" s="720"/>
      <c r="K109" s="24">
        <f t="shared" si="28"/>
        <v>1</v>
      </c>
      <c r="L109" s="720"/>
      <c r="M109" s="24">
        <f t="shared" si="29"/>
        <v>1</v>
      </c>
      <c r="N109" s="720"/>
      <c r="O109" s="24">
        <f t="shared" si="30"/>
        <v>1</v>
      </c>
      <c r="P109" s="720"/>
      <c r="Q109" s="24">
        <f t="shared" si="31"/>
        <v>0</v>
      </c>
      <c r="R109" s="716">
        <f t="shared" si="32"/>
        <v>0</v>
      </c>
      <c r="S109" s="361">
        <f t="shared" si="23"/>
        <v>0</v>
      </c>
    </row>
    <row r="110" spans="1:19">
      <c r="A110" s="718"/>
      <c r="B110" s="59"/>
      <c r="C110" s="24">
        <f t="shared" si="24"/>
        <v>1</v>
      </c>
      <c r="D110" s="720"/>
      <c r="E110" s="24">
        <f t="shared" si="25"/>
        <v>-0.05</v>
      </c>
      <c r="F110" s="720"/>
      <c r="G110" s="24">
        <f t="shared" si="26"/>
        <v>0.03</v>
      </c>
      <c r="H110" s="720"/>
      <c r="I110" s="24">
        <f t="shared" si="27"/>
        <v>1</v>
      </c>
      <c r="J110" s="720"/>
      <c r="K110" s="24">
        <f t="shared" si="28"/>
        <v>1</v>
      </c>
      <c r="L110" s="720"/>
      <c r="M110" s="24">
        <f t="shared" si="29"/>
        <v>1</v>
      </c>
      <c r="N110" s="720"/>
      <c r="O110" s="24">
        <f t="shared" si="30"/>
        <v>1</v>
      </c>
      <c r="P110" s="720"/>
      <c r="Q110" s="24">
        <f t="shared" si="31"/>
        <v>0</v>
      </c>
      <c r="R110" s="716">
        <f t="shared" si="32"/>
        <v>0</v>
      </c>
      <c r="S110" s="361">
        <f t="shared" si="23"/>
        <v>0</v>
      </c>
    </row>
    <row r="111" spans="1:19">
      <c r="A111" s="718"/>
      <c r="B111" s="59"/>
      <c r="C111" s="24">
        <f t="shared" si="24"/>
        <v>1</v>
      </c>
      <c r="D111" s="720"/>
      <c r="E111" s="24">
        <f t="shared" si="25"/>
        <v>-0.05</v>
      </c>
      <c r="F111" s="720"/>
      <c r="G111" s="24">
        <f t="shared" si="26"/>
        <v>0.03</v>
      </c>
      <c r="H111" s="720"/>
      <c r="I111" s="24">
        <f t="shared" si="27"/>
        <v>1</v>
      </c>
      <c r="J111" s="720"/>
      <c r="K111" s="24">
        <f t="shared" si="28"/>
        <v>1</v>
      </c>
      <c r="L111" s="720"/>
      <c r="M111" s="24">
        <f t="shared" si="29"/>
        <v>1</v>
      </c>
      <c r="N111" s="720"/>
      <c r="O111" s="24">
        <f t="shared" si="30"/>
        <v>1</v>
      </c>
      <c r="P111" s="720"/>
      <c r="Q111" s="24">
        <f t="shared" si="31"/>
        <v>0</v>
      </c>
      <c r="R111" s="716">
        <f t="shared" si="32"/>
        <v>0</v>
      </c>
      <c r="S111" s="361">
        <f t="shared" si="23"/>
        <v>0</v>
      </c>
    </row>
    <row r="112" spans="1:19">
      <c r="A112" s="718"/>
      <c r="B112" s="59"/>
      <c r="C112" s="24">
        <f t="shared" si="24"/>
        <v>1</v>
      </c>
      <c r="D112" s="720"/>
      <c r="E112" s="24">
        <f t="shared" si="25"/>
        <v>-0.05</v>
      </c>
      <c r="F112" s="720"/>
      <c r="G112" s="24">
        <f t="shared" si="26"/>
        <v>0.03</v>
      </c>
      <c r="H112" s="720"/>
      <c r="I112" s="24">
        <f t="shared" si="27"/>
        <v>1</v>
      </c>
      <c r="J112" s="720"/>
      <c r="K112" s="24">
        <f t="shared" si="28"/>
        <v>1</v>
      </c>
      <c r="L112" s="720"/>
      <c r="M112" s="24">
        <f t="shared" si="29"/>
        <v>1</v>
      </c>
      <c r="N112" s="720"/>
      <c r="O112" s="24">
        <f t="shared" si="30"/>
        <v>1</v>
      </c>
      <c r="P112" s="720"/>
      <c r="Q112" s="24">
        <f t="shared" si="31"/>
        <v>0</v>
      </c>
      <c r="R112" s="716">
        <f t="shared" si="32"/>
        <v>0</v>
      </c>
      <c r="S112" s="361">
        <f t="shared" si="23"/>
        <v>0</v>
      </c>
    </row>
    <row r="113" spans="1:19">
      <c r="A113" s="718"/>
      <c r="B113" s="59"/>
      <c r="C113" s="24">
        <f t="shared" si="24"/>
        <v>1</v>
      </c>
      <c r="D113" s="720"/>
      <c r="E113" s="24">
        <f t="shared" si="25"/>
        <v>-0.05</v>
      </c>
      <c r="F113" s="720"/>
      <c r="G113" s="24">
        <f t="shared" si="26"/>
        <v>0.03</v>
      </c>
      <c r="H113" s="720"/>
      <c r="I113" s="24">
        <f t="shared" si="27"/>
        <v>1</v>
      </c>
      <c r="J113" s="720"/>
      <c r="K113" s="24">
        <f t="shared" si="28"/>
        <v>1</v>
      </c>
      <c r="L113" s="720"/>
      <c r="M113" s="24">
        <f t="shared" si="29"/>
        <v>1</v>
      </c>
      <c r="N113" s="720"/>
      <c r="O113" s="24">
        <f t="shared" si="30"/>
        <v>1</v>
      </c>
      <c r="P113" s="720"/>
      <c r="Q113" s="24">
        <f t="shared" si="31"/>
        <v>0</v>
      </c>
      <c r="R113" s="716">
        <f t="shared" si="32"/>
        <v>0</v>
      </c>
      <c r="S113" s="361">
        <f t="shared" si="23"/>
        <v>0</v>
      </c>
    </row>
    <row r="114" spans="1:19">
      <c r="A114" s="718"/>
      <c r="B114" s="59"/>
      <c r="C114" s="24">
        <f t="shared" si="24"/>
        <v>1</v>
      </c>
      <c r="D114" s="720"/>
      <c r="E114" s="24">
        <f t="shared" si="25"/>
        <v>-0.05</v>
      </c>
      <c r="F114" s="720"/>
      <c r="G114" s="24">
        <f t="shared" si="26"/>
        <v>0.03</v>
      </c>
      <c r="H114" s="720"/>
      <c r="I114" s="24">
        <f t="shared" si="27"/>
        <v>1</v>
      </c>
      <c r="J114" s="720"/>
      <c r="K114" s="24">
        <f t="shared" si="28"/>
        <v>1</v>
      </c>
      <c r="L114" s="720"/>
      <c r="M114" s="24">
        <f t="shared" si="29"/>
        <v>1</v>
      </c>
      <c r="N114" s="720"/>
      <c r="O114" s="24">
        <f t="shared" si="30"/>
        <v>1</v>
      </c>
      <c r="P114" s="720"/>
      <c r="Q114" s="24">
        <f t="shared" si="31"/>
        <v>0</v>
      </c>
      <c r="R114" s="716">
        <f t="shared" si="32"/>
        <v>0</v>
      </c>
      <c r="S114" s="361">
        <f t="shared" si="23"/>
        <v>0</v>
      </c>
    </row>
    <row r="115" spans="1:19">
      <c r="A115" s="718"/>
      <c r="B115" s="59"/>
      <c r="C115" s="24">
        <f t="shared" si="24"/>
        <v>1</v>
      </c>
      <c r="D115" s="720"/>
      <c r="E115" s="24">
        <f t="shared" si="25"/>
        <v>-0.05</v>
      </c>
      <c r="F115" s="720"/>
      <c r="G115" s="24">
        <f t="shared" si="26"/>
        <v>0.03</v>
      </c>
      <c r="H115" s="720"/>
      <c r="I115" s="24">
        <f t="shared" si="27"/>
        <v>1</v>
      </c>
      <c r="J115" s="720"/>
      <c r="K115" s="24">
        <f t="shared" si="28"/>
        <v>1</v>
      </c>
      <c r="L115" s="720"/>
      <c r="M115" s="24">
        <f t="shared" si="29"/>
        <v>1</v>
      </c>
      <c r="N115" s="720"/>
      <c r="O115" s="24">
        <f t="shared" si="30"/>
        <v>1</v>
      </c>
      <c r="P115" s="720"/>
      <c r="Q115" s="24">
        <f t="shared" si="31"/>
        <v>0</v>
      </c>
      <c r="R115" s="716">
        <f t="shared" si="32"/>
        <v>0</v>
      </c>
      <c r="S115" s="361">
        <f t="shared" si="23"/>
        <v>0</v>
      </c>
    </row>
    <row r="116" spans="1:19">
      <c r="A116" s="718"/>
      <c r="B116" s="59"/>
      <c r="C116" s="24">
        <f t="shared" si="24"/>
        <v>1</v>
      </c>
      <c r="D116" s="720"/>
      <c r="E116" s="24">
        <f t="shared" si="25"/>
        <v>-0.05</v>
      </c>
      <c r="F116" s="720"/>
      <c r="G116" s="24">
        <f t="shared" si="26"/>
        <v>0.03</v>
      </c>
      <c r="H116" s="720"/>
      <c r="I116" s="24">
        <f t="shared" si="27"/>
        <v>1</v>
      </c>
      <c r="J116" s="720"/>
      <c r="K116" s="24">
        <f t="shared" si="28"/>
        <v>1</v>
      </c>
      <c r="L116" s="720"/>
      <c r="M116" s="24">
        <f t="shared" si="29"/>
        <v>1</v>
      </c>
      <c r="N116" s="720"/>
      <c r="O116" s="24">
        <f t="shared" si="30"/>
        <v>1</v>
      </c>
      <c r="P116" s="720"/>
      <c r="Q116" s="24">
        <f t="shared" si="31"/>
        <v>0</v>
      </c>
      <c r="R116" s="716">
        <f t="shared" si="32"/>
        <v>0</v>
      </c>
      <c r="S116" s="361">
        <f t="shared" si="23"/>
        <v>0</v>
      </c>
    </row>
    <row r="117" spans="1:19">
      <c r="A117" s="718"/>
      <c r="B117" s="59"/>
      <c r="C117" s="24">
        <f t="shared" si="24"/>
        <v>1</v>
      </c>
      <c r="D117" s="720"/>
      <c r="E117" s="24">
        <f t="shared" si="25"/>
        <v>-0.05</v>
      </c>
      <c r="F117" s="720"/>
      <c r="G117" s="24">
        <f t="shared" si="26"/>
        <v>0.03</v>
      </c>
      <c r="H117" s="720"/>
      <c r="I117" s="24">
        <f t="shared" si="27"/>
        <v>1</v>
      </c>
      <c r="J117" s="720"/>
      <c r="K117" s="24">
        <f t="shared" si="28"/>
        <v>1</v>
      </c>
      <c r="L117" s="720"/>
      <c r="M117" s="24">
        <f t="shared" si="29"/>
        <v>1</v>
      </c>
      <c r="N117" s="720"/>
      <c r="O117" s="24">
        <f t="shared" si="30"/>
        <v>1</v>
      </c>
      <c r="P117" s="720"/>
      <c r="Q117" s="24">
        <f t="shared" si="31"/>
        <v>0</v>
      </c>
      <c r="R117" s="716">
        <f t="shared" si="32"/>
        <v>0</v>
      </c>
      <c r="S117" s="361">
        <f t="shared" si="23"/>
        <v>0</v>
      </c>
    </row>
    <row r="118" spans="1:19">
      <c r="A118" s="718"/>
      <c r="B118" s="59"/>
      <c r="C118" s="24">
        <f t="shared" si="24"/>
        <v>1</v>
      </c>
      <c r="D118" s="720"/>
      <c r="E118" s="24">
        <f t="shared" si="25"/>
        <v>-0.05</v>
      </c>
      <c r="F118" s="720"/>
      <c r="G118" s="24">
        <f t="shared" si="26"/>
        <v>0.03</v>
      </c>
      <c r="H118" s="720"/>
      <c r="I118" s="24">
        <f t="shared" si="27"/>
        <v>1</v>
      </c>
      <c r="J118" s="720"/>
      <c r="K118" s="24">
        <f t="shared" si="28"/>
        <v>1</v>
      </c>
      <c r="L118" s="720"/>
      <c r="M118" s="24">
        <f t="shared" si="29"/>
        <v>1</v>
      </c>
      <c r="N118" s="720"/>
      <c r="O118" s="24">
        <f t="shared" si="30"/>
        <v>1</v>
      </c>
      <c r="P118" s="720"/>
      <c r="Q118" s="24">
        <f t="shared" si="31"/>
        <v>0</v>
      </c>
      <c r="R118" s="716">
        <f t="shared" si="32"/>
        <v>0</v>
      </c>
      <c r="S118" s="361">
        <f t="shared" si="23"/>
        <v>0</v>
      </c>
    </row>
    <row r="119" spans="1:19">
      <c r="A119" s="718"/>
      <c r="B119" s="59"/>
      <c r="C119" s="24">
        <f t="shared" si="24"/>
        <v>1</v>
      </c>
      <c r="D119" s="720"/>
      <c r="E119" s="24">
        <f t="shared" si="25"/>
        <v>-0.05</v>
      </c>
      <c r="F119" s="720"/>
      <c r="G119" s="24">
        <f t="shared" si="26"/>
        <v>0.03</v>
      </c>
      <c r="H119" s="720"/>
      <c r="I119" s="24">
        <f t="shared" si="27"/>
        <v>1</v>
      </c>
      <c r="J119" s="720"/>
      <c r="K119" s="24">
        <f t="shared" si="28"/>
        <v>1</v>
      </c>
      <c r="L119" s="720"/>
      <c r="M119" s="24">
        <f t="shared" si="29"/>
        <v>1</v>
      </c>
      <c r="N119" s="720"/>
      <c r="O119" s="24">
        <f t="shared" si="30"/>
        <v>1</v>
      </c>
      <c r="P119" s="720"/>
      <c r="Q119" s="24">
        <f t="shared" si="31"/>
        <v>0</v>
      </c>
      <c r="R119" s="716">
        <f t="shared" si="32"/>
        <v>0</v>
      </c>
      <c r="S119" s="361">
        <f t="shared" si="23"/>
        <v>0</v>
      </c>
    </row>
    <row r="120" spans="1:19">
      <c r="A120" s="718"/>
      <c r="B120" s="59"/>
      <c r="C120" s="24">
        <f t="shared" si="24"/>
        <v>1</v>
      </c>
      <c r="D120" s="720"/>
      <c r="E120" s="24">
        <f t="shared" si="25"/>
        <v>-0.05</v>
      </c>
      <c r="F120" s="720"/>
      <c r="G120" s="24">
        <f t="shared" si="26"/>
        <v>0.03</v>
      </c>
      <c r="H120" s="720"/>
      <c r="I120" s="24">
        <f t="shared" si="27"/>
        <v>1</v>
      </c>
      <c r="J120" s="720"/>
      <c r="K120" s="24">
        <f t="shared" si="28"/>
        <v>1</v>
      </c>
      <c r="L120" s="720"/>
      <c r="M120" s="24">
        <f t="shared" si="29"/>
        <v>1</v>
      </c>
      <c r="N120" s="720"/>
      <c r="O120" s="24">
        <f t="shared" si="30"/>
        <v>1</v>
      </c>
      <c r="P120" s="720"/>
      <c r="Q120" s="24">
        <f t="shared" si="31"/>
        <v>0</v>
      </c>
      <c r="R120" s="716">
        <f t="shared" si="32"/>
        <v>0</v>
      </c>
      <c r="S120" s="361">
        <f t="shared" si="23"/>
        <v>0</v>
      </c>
    </row>
    <row r="121" spans="1:19">
      <c r="A121" s="718"/>
      <c r="B121" s="59"/>
      <c r="C121" s="24">
        <f t="shared" si="24"/>
        <v>1</v>
      </c>
      <c r="D121" s="720"/>
      <c r="E121" s="24">
        <f t="shared" si="25"/>
        <v>-0.05</v>
      </c>
      <c r="F121" s="720"/>
      <c r="G121" s="24">
        <f t="shared" si="26"/>
        <v>0.03</v>
      </c>
      <c r="H121" s="720"/>
      <c r="I121" s="24">
        <f t="shared" si="27"/>
        <v>1</v>
      </c>
      <c r="J121" s="720"/>
      <c r="K121" s="24">
        <f t="shared" si="28"/>
        <v>1</v>
      </c>
      <c r="L121" s="720"/>
      <c r="M121" s="24">
        <f t="shared" si="29"/>
        <v>1</v>
      </c>
      <c r="N121" s="720"/>
      <c r="O121" s="24">
        <f t="shared" si="30"/>
        <v>1</v>
      </c>
      <c r="P121" s="720"/>
      <c r="Q121" s="24">
        <f t="shared" si="31"/>
        <v>0</v>
      </c>
      <c r="R121" s="716">
        <f t="shared" si="32"/>
        <v>0</v>
      </c>
      <c r="S121" s="361">
        <f t="shared" si="23"/>
        <v>0</v>
      </c>
    </row>
    <row r="122" spans="1:19">
      <c r="A122" s="718"/>
      <c r="B122" s="59"/>
      <c r="C122" s="24">
        <f t="shared" si="24"/>
        <v>1</v>
      </c>
      <c r="D122" s="720"/>
      <c r="E122" s="24">
        <f t="shared" si="25"/>
        <v>-0.05</v>
      </c>
      <c r="F122" s="720"/>
      <c r="G122" s="24">
        <f t="shared" si="26"/>
        <v>0.03</v>
      </c>
      <c r="H122" s="720"/>
      <c r="I122" s="24">
        <f t="shared" si="27"/>
        <v>1</v>
      </c>
      <c r="J122" s="720"/>
      <c r="K122" s="24">
        <f t="shared" si="28"/>
        <v>1</v>
      </c>
      <c r="L122" s="720"/>
      <c r="M122" s="24">
        <f t="shared" si="29"/>
        <v>1</v>
      </c>
      <c r="N122" s="720"/>
      <c r="O122" s="24">
        <f t="shared" si="30"/>
        <v>1</v>
      </c>
      <c r="P122" s="720"/>
      <c r="Q122" s="24">
        <f t="shared" si="31"/>
        <v>0</v>
      </c>
      <c r="R122" s="716">
        <f t="shared" si="32"/>
        <v>0</v>
      </c>
      <c r="S122" s="361">
        <f t="shared" si="23"/>
        <v>0</v>
      </c>
    </row>
    <row r="123" spans="1:19">
      <c r="A123" s="159"/>
      <c r="B123" s="59"/>
      <c r="C123" s="24">
        <f t="shared" si="24"/>
        <v>1</v>
      </c>
      <c r="D123" s="720"/>
      <c r="E123" s="24">
        <f t="shared" si="25"/>
        <v>-0.05</v>
      </c>
      <c r="F123" s="720"/>
      <c r="G123" s="24">
        <f t="shared" si="26"/>
        <v>0.03</v>
      </c>
      <c r="H123" s="720"/>
      <c r="I123" s="24">
        <f t="shared" si="27"/>
        <v>1</v>
      </c>
      <c r="J123" s="720"/>
      <c r="K123" s="24">
        <f t="shared" si="28"/>
        <v>1</v>
      </c>
      <c r="L123" s="720"/>
      <c r="M123" s="24">
        <f t="shared" si="29"/>
        <v>1</v>
      </c>
      <c r="N123" s="720"/>
      <c r="O123" s="24">
        <f t="shared" si="30"/>
        <v>1</v>
      </c>
      <c r="P123" s="720"/>
      <c r="Q123" s="24">
        <f t="shared" si="31"/>
        <v>0</v>
      </c>
      <c r="R123" s="716">
        <f t="shared" si="32"/>
        <v>0</v>
      </c>
      <c r="S123" s="361">
        <f t="shared" ref="S123:S186" si="33">ROUND(R123*B123/10000,0)</f>
        <v>0</v>
      </c>
    </row>
    <row r="124" spans="1:19">
      <c r="A124" s="159"/>
      <c r="B124" s="59"/>
      <c r="C124" s="24">
        <f t="shared" si="24"/>
        <v>1</v>
      </c>
      <c r="D124" s="720"/>
      <c r="E124" s="24">
        <f t="shared" si="25"/>
        <v>-0.05</v>
      </c>
      <c r="F124" s="720"/>
      <c r="G124" s="24">
        <f t="shared" si="26"/>
        <v>0.03</v>
      </c>
      <c r="H124" s="720"/>
      <c r="I124" s="24">
        <f t="shared" si="27"/>
        <v>1</v>
      </c>
      <c r="J124" s="720"/>
      <c r="K124" s="24">
        <f t="shared" si="28"/>
        <v>1</v>
      </c>
      <c r="L124" s="720"/>
      <c r="M124" s="24">
        <f t="shared" si="29"/>
        <v>1</v>
      </c>
      <c r="N124" s="720"/>
      <c r="O124" s="24">
        <f t="shared" si="30"/>
        <v>1</v>
      </c>
      <c r="P124" s="720"/>
      <c r="Q124" s="24">
        <f t="shared" si="31"/>
        <v>0</v>
      </c>
      <c r="R124" s="716">
        <f t="shared" si="32"/>
        <v>0</v>
      </c>
      <c r="S124" s="361">
        <f t="shared" si="33"/>
        <v>0</v>
      </c>
    </row>
    <row r="125" spans="1:19">
      <c r="A125" s="159"/>
      <c r="B125" s="59"/>
      <c r="C125" s="24">
        <f t="shared" si="24"/>
        <v>1</v>
      </c>
      <c r="D125" s="720"/>
      <c r="E125" s="24">
        <f t="shared" si="25"/>
        <v>-0.05</v>
      </c>
      <c r="F125" s="720"/>
      <c r="G125" s="24">
        <f t="shared" si="26"/>
        <v>0.03</v>
      </c>
      <c r="H125" s="720"/>
      <c r="I125" s="24">
        <f t="shared" si="27"/>
        <v>1</v>
      </c>
      <c r="J125" s="720"/>
      <c r="K125" s="24">
        <f t="shared" si="28"/>
        <v>1</v>
      </c>
      <c r="L125" s="720"/>
      <c r="M125" s="24">
        <f t="shared" si="29"/>
        <v>1</v>
      </c>
      <c r="N125" s="720"/>
      <c r="O125" s="24">
        <f t="shared" si="30"/>
        <v>1</v>
      </c>
      <c r="P125" s="720"/>
      <c r="Q125" s="24">
        <f t="shared" si="31"/>
        <v>0</v>
      </c>
      <c r="R125" s="716">
        <f t="shared" si="32"/>
        <v>0</v>
      </c>
      <c r="S125" s="361">
        <f t="shared" si="33"/>
        <v>0</v>
      </c>
    </row>
    <row r="126" spans="1:19">
      <c r="A126" s="159"/>
      <c r="B126" s="59"/>
      <c r="C126" s="24">
        <f t="shared" si="24"/>
        <v>1</v>
      </c>
      <c r="D126" s="720"/>
      <c r="E126" s="24">
        <f t="shared" si="25"/>
        <v>-0.05</v>
      </c>
      <c r="F126" s="720"/>
      <c r="G126" s="24">
        <f t="shared" si="26"/>
        <v>0.03</v>
      </c>
      <c r="H126" s="720"/>
      <c r="I126" s="24">
        <f t="shared" si="27"/>
        <v>1</v>
      </c>
      <c r="J126" s="720"/>
      <c r="K126" s="24">
        <f t="shared" si="28"/>
        <v>1</v>
      </c>
      <c r="L126" s="720"/>
      <c r="M126" s="24">
        <f t="shared" si="29"/>
        <v>1</v>
      </c>
      <c r="N126" s="720"/>
      <c r="O126" s="24">
        <f t="shared" si="30"/>
        <v>1</v>
      </c>
      <c r="P126" s="720"/>
      <c r="Q126" s="24">
        <f t="shared" si="31"/>
        <v>0</v>
      </c>
      <c r="R126" s="716">
        <f t="shared" si="32"/>
        <v>0</v>
      </c>
      <c r="S126" s="361">
        <f t="shared" si="33"/>
        <v>0</v>
      </c>
    </row>
    <row r="127" spans="1:19">
      <c r="A127" s="159"/>
      <c r="B127" s="59"/>
      <c r="C127" s="24">
        <f t="shared" si="24"/>
        <v>1</v>
      </c>
      <c r="D127" s="720"/>
      <c r="E127" s="24">
        <f t="shared" si="25"/>
        <v>-0.05</v>
      </c>
      <c r="F127" s="720"/>
      <c r="G127" s="24">
        <f t="shared" si="26"/>
        <v>0.03</v>
      </c>
      <c r="H127" s="720"/>
      <c r="I127" s="24">
        <f t="shared" si="27"/>
        <v>1</v>
      </c>
      <c r="J127" s="720"/>
      <c r="K127" s="24">
        <f t="shared" si="28"/>
        <v>1</v>
      </c>
      <c r="L127" s="720"/>
      <c r="M127" s="24">
        <f t="shared" si="29"/>
        <v>1</v>
      </c>
      <c r="N127" s="720"/>
      <c r="O127" s="24">
        <f t="shared" si="30"/>
        <v>1</v>
      </c>
      <c r="P127" s="720"/>
      <c r="Q127" s="24">
        <f t="shared" si="31"/>
        <v>0</v>
      </c>
      <c r="R127" s="716">
        <f t="shared" si="32"/>
        <v>0</v>
      </c>
      <c r="S127" s="361">
        <f t="shared" si="33"/>
        <v>0</v>
      </c>
    </row>
    <row r="128" spans="1:19">
      <c r="A128" s="159"/>
      <c r="B128" s="59"/>
      <c r="C128" s="24">
        <f t="shared" si="24"/>
        <v>1</v>
      </c>
      <c r="D128" s="720"/>
      <c r="E128" s="24">
        <f t="shared" si="25"/>
        <v>-0.05</v>
      </c>
      <c r="F128" s="720"/>
      <c r="G128" s="24">
        <f t="shared" si="26"/>
        <v>0.03</v>
      </c>
      <c r="H128" s="720"/>
      <c r="I128" s="24">
        <f t="shared" si="27"/>
        <v>1</v>
      </c>
      <c r="J128" s="720"/>
      <c r="K128" s="24">
        <f t="shared" si="28"/>
        <v>1</v>
      </c>
      <c r="L128" s="720"/>
      <c r="M128" s="24">
        <f t="shared" si="29"/>
        <v>1</v>
      </c>
      <c r="N128" s="720"/>
      <c r="O128" s="24">
        <f t="shared" si="30"/>
        <v>1</v>
      </c>
      <c r="P128" s="720"/>
      <c r="Q128" s="24">
        <f t="shared" si="31"/>
        <v>0</v>
      </c>
      <c r="R128" s="716">
        <f t="shared" si="32"/>
        <v>0</v>
      </c>
      <c r="S128" s="361">
        <f t="shared" si="33"/>
        <v>0</v>
      </c>
    </row>
    <row r="129" spans="1:19">
      <c r="A129" s="159"/>
      <c r="B129" s="59"/>
      <c r="C129" s="24">
        <f t="shared" si="24"/>
        <v>1</v>
      </c>
      <c r="D129" s="720"/>
      <c r="E129" s="24">
        <f t="shared" si="25"/>
        <v>-0.05</v>
      </c>
      <c r="F129" s="720"/>
      <c r="G129" s="24">
        <f t="shared" si="26"/>
        <v>0.03</v>
      </c>
      <c r="H129" s="720"/>
      <c r="I129" s="24">
        <f t="shared" si="27"/>
        <v>1</v>
      </c>
      <c r="J129" s="720"/>
      <c r="K129" s="24">
        <f t="shared" si="28"/>
        <v>1</v>
      </c>
      <c r="L129" s="720"/>
      <c r="M129" s="24">
        <f t="shared" si="29"/>
        <v>1</v>
      </c>
      <c r="N129" s="720"/>
      <c r="O129" s="24">
        <f t="shared" si="30"/>
        <v>1</v>
      </c>
      <c r="P129" s="720"/>
      <c r="Q129" s="24">
        <f t="shared" si="31"/>
        <v>0</v>
      </c>
      <c r="R129" s="716">
        <f t="shared" si="32"/>
        <v>0</v>
      </c>
      <c r="S129" s="361">
        <f t="shared" si="33"/>
        <v>0</v>
      </c>
    </row>
    <row r="130" spans="1:19">
      <c r="A130" s="159"/>
      <c r="B130" s="59"/>
      <c r="C130" s="24">
        <f t="shared" si="24"/>
        <v>1</v>
      </c>
      <c r="D130" s="720"/>
      <c r="E130" s="24">
        <f t="shared" si="25"/>
        <v>-0.05</v>
      </c>
      <c r="F130" s="720"/>
      <c r="G130" s="24">
        <f t="shared" si="26"/>
        <v>0.03</v>
      </c>
      <c r="H130" s="720"/>
      <c r="I130" s="24">
        <f t="shared" si="27"/>
        <v>1</v>
      </c>
      <c r="J130" s="720"/>
      <c r="K130" s="24">
        <f t="shared" si="28"/>
        <v>1</v>
      </c>
      <c r="L130" s="720"/>
      <c r="M130" s="24">
        <f t="shared" si="29"/>
        <v>1</v>
      </c>
      <c r="N130" s="720"/>
      <c r="O130" s="24">
        <f t="shared" si="30"/>
        <v>1</v>
      </c>
      <c r="P130" s="720"/>
      <c r="Q130" s="24">
        <f t="shared" si="31"/>
        <v>0</v>
      </c>
      <c r="R130" s="716">
        <f t="shared" si="32"/>
        <v>0</v>
      </c>
      <c r="S130" s="361">
        <f t="shared" si="33"/>
        <v>0</v>
      </c>
    </row>
    <row r="131" spans="1:19">
      <c r="A131" s="159"/>
      <c r="B131" s="59"/>
      <c r="C131" s="24">
        <f t="shared" si="24"/>
        <v>1</v>
      </c>
      <c r="D131" s="720"/>
      <c r="E131" s="24">
        <f t="shared" si="25"/>
        <v>-0.05</v>
      </c>
      <c r="F131" s="720"/>
      <c r="G131" s="24">
        <f t="shared" si="26"/>
        <v>0.03</v>
      </c>
      <c r="H131" s="720"/>
      <c r="I131" s="24">
        <f t="shared" si="27"/>
        <v>1</v>
      </c>
      <c r="J131" s="720"/>
      <c r="K131" s="24">
        <f t="shared" si="28"/>
        <v>1</v>
      </c>
      <c r="L131" s="720"/>
      <c r="M131" s="24">
        <f t="shared" si="29"/>
        <v>1</v>
      </c>
      <c r="N131" s="720"/>
      <c r="O131" s="24">
        <f t="shared" si="30"/>
        <v>1</v>
      </c>
      <c r="P131" s="720"/>
      <c r="Q131" s="24">
        <f t="shared" si="31"/>
        <v>0</v>
      </c>
      <c r="R131" s="716">
        <f t="shared" si="32"/>
        <v>0</v>
      </c>
      <c r="S131" s="361">
        <f t="shared" si="33"/>
        <v>0</v>
      </c>
    </row>
    <row r="132" spans="1:19">
      <c r="A132" s="159"/>
      <c r="B132" s="59"/>
      <c r="C132" s="24">
        <f t="shared" si="24"/>
        <v>1</v>
      </c>
      <c r="D132" s="720"/>
      <c r="E132" s="24">
        <f t="shared" si="25"/>
        <v>-0.05</v>
      </c>
      <c r="F132" s="720"/>
      <c r="G132" s="24">
        <f t="shared" si="26"/>
        <v>0.03</v>
      </c>
      <c r="H132" s="720"/>
      <c r="I132" s="24">
        <f t="shared" si="27"/>
        <v>1</v>
      </c>
      <c r="J132" s="720"/>
      <c r="K132" s="24">
        <f t="shared" si="28"/>
        <v>1</v>
      </c>
      <c r="L132" s="720"/>
      <c r="M132" s="24">
        <f t="shared" si="29"/>
        <v>1</v>
      </c>
      <c r="N132" s="720"/>
      <c r="O132" s="24">
        <f t="shared" si="30"/>
        <v>1</v>
      </c>
      <c r="P132" s="720"/>
      <c r="Q132" s="24">
        <f t="shared" si="31"/>
        <v>0</v>
      </c>
      <c r="R132" s="716">
        <f t="shared" si="32"/>
        <v>0</v>
      </c>
      <c r="S132" s="361">
        <f t="shared" si="33"/>
        <v>0</v>
      </c>
    </row>
    <row r="133" spans="1:19">
      <c r="A133" s="159"/>
      <c r="B133" s="59"/>
      <c r="C133" s="24">
        <f t="shared" si="24"/>
        <v>1</v>
      </c>
      <c r="D133" s="720"/>
      <c r="E133" s="24">
        <f t="shared" si="25"/>
        <v>-0.05</v>
      </c>
      <c r="F133" s="720"/>
      <c r="G133" s="24">
        <f t="shared" si="26"/>
        <v>0.03</v>
      </c>
      <c r="H133" s="720"/>
      <c r="I133" s="24">
        <f t="shared" si="27"/>
        <v>1</v>
      </c>
      <c r="J133" s="720"/>
      <c r="K133" s="24">
        <f t="shared" si="28"/>
        <v>1</v>
      </c>
      <c r="L133" s="720"/>
      <c r="M133" s="24">
        <f t="shared" si="29"/>
        <v>1</v>
      </c>
      <c r="N133" s="720"/>
      <c r="O133" s="24">
        <f t="shared" si="30"/>
        <v>1</v>
      </c>
      <c r="P133" s="720"/>
      <c r="Q133" s="24">
        <f t="shared" si="31"/>
        <v>0</v>
      </c>
      <c r="R133" s="716">
        <f t="shared" si="32"/>
        <v>0</v>
      </c>
      <c r="S133" s="361">
        <f t="shared" si="33"/>
        <v>0</v>
      </c>
    </row>
    <row r="134" spans="1:19">
      <c r="A134" s="159"/>
      <c r="B134" s="59"/>
      <c r="C134" s="24">
        <f t="shared" si="24"/>
        <v>1</v>
      </c>
      <c r="D134" s="720"/>
      <c r="E134" s="24">
        <f t="shared" si="25"/>
        <v>-0.05</v>
      </c>
      <c r="F134" s="720"/>
      <c r="G134" s="24">
        <f t="shared" si="26"/>
        <v>0.03</v>
      </c>
      <c r="H134" s="720"/>
      <c r="I134" s="24">
        <f t="shared" si="27"/>
        <v>1</v>
      </c>
      <c r="J134" s="720"/>
      <c r="K134" s="24">
        <f t="shared" si="28"/>
        <v>1</v>
      </c>
      <c r="L134" s="720"/>
      <c r="M134" s="24">
        <f t="shared" si="29"/>
        <v>1</v>
      </c>
      <c r="N134" s="720"/>
      <c r="O134" s="24">
        <f t="shared" si="30"/>
        <v>1</v>
      </c>
      <c r="P134" s="720"/>
      <c r="Q134" s="24">
        <f t="shared" si="31"/>
        <v>0</v>
      </c>
      <c r="R134" s="716">
        <f t="shared" si="32"/>
        <v>0</v>
      </c>
      <c r="S134" s="361">
        <f t="shared" si="33"/>
        <v>0</v>
      </c>
    </row>
    <row r="135" spans="1:19">
      <c r="A135" s="159"/>
      <c r="B135" s="59"/>
      <c r="C135" s="24">
        <f t="shared" si="24"/>
        <v>1</v>
      </c>
      <c r="D135" s="720"/>
      <c r="E135" s="24">
        <f t="shared" si="25"/>
        <v>-0.05</v>
      </c>
      <c r="F135" s="720"/>
      <c r="G135" s="24">
        <f t="shared" si="26"/>
        <v>0.03</v>
      </c>
      <c r="H135" s="720"/>
      <c r="I135" s="24">
        <f t="shared" si="27"/>
        <v>1</v>
      </c>
      <c r="J135" s="720"/>
      <c r="K135" s="24">
        <f t="shared" si="28"/>
        <v>1</v>
      </c>
      <c r="L135" s="720"/>
      <c r="M135" s="24">
        <f t="shared" si="29"/>
        <v>1</v>
      </c>
      <c r="N135" s="720"/>
      <c r="O135" s="24">
        <f t="shared" si="30"/>
        <v>1</v>
      </c>
      <c r="P135" s="720"/>
      <c r="Q135" s="24">
        <f t="shared" si="31"/>
        <v>0</v>
      </c>
      <c r="R135" s="716">
        <f t="shared" si="32"/>
        <v>0</v>
      </c>
      <c r="S135" s="361">
        <f t="shared" si="33"/>
        <v>0</v>
      </c>
    </row>
    <row r="136" spans="1:19">
      <c r="A136" s="159"/>
      <c r="B136" s="59"/>
      <c r="C136" s="24">
        <f t="shared" si="24"/>
        <v>1</v>
      </c>
      <c r="D136" s="720"/>
      <c r="E136" s="24">
        <f t="shared" si="25"/>
        <v>-0.05</v>
      </c>
      <c r="F136" s="720"/>
      <c r="G136" s="24">
        <f t="shared" si="26"/>
        <v>0.03</v>
      </c>
      <c r="H136" s="720"/>
      <c r="I136" s="24">
        <f t="shared" si="27"/>
        <v>1</v>
      </c>
      <c r="J136" s="720"/>
      <c r="K136" s="24">
        <f t="shared" si="28"/>
        <v>1</v>
      </c>
      <c r="L136" s="720"/>
      <c r="M136" s="24">
        <f t="shared" si="29"/>
        <v>1</v>
      </c>
      <c r="N136" s="720"/>
      <c r="O136" s="24">
        <f t="shared" si="30"/>
        <v>1</v>
      </c>
      <c r="P136" s="720"/>
      <c r="Q136" s="24">
        <f t="shared" si="31"/>
        <v>0</v>
      </c>
      <c r="R136" s="716">
        <f t="shared" si="32"/>
        <v>0</v>
      </c>
      <c r="S136" s="361">
        <f t="shared" si="33"/>
        <v>0</v>
      </c>
    </row>
    <row r="137" spans="1:19">
      <c r="A137" s="159"/>
      <c r="B137" s="59"/>
      <c r="C137" s="24">
        <f t="shared" si="24"/>
        <v>1</v>
      </c>
      <c r="D137" s="720"/>
      <c r="E137" s="24">
        <f t="shared" si="25"/>
        <v>-0.05</v>
      </c>
      <c r="F137" s="720"/>
      <c r="G137" s="24">
        <f t="shared" si="26"/>
        <v>0.03</v>
      </c>
      <c r="H137" s="720"/>
      <c r="I137" s="24">
        <f t="shared" si="27"/>
        <v>1</v>
      </c>
      <c r="J137" s="720"/>
      <c r="K137" s="24">
        <f t="shared" si="28"/>
        <v>1</v>
      </c>
      <c r="L137" s="720"/>
      <c r="M137" s="24">
        <f t="shared" si="29"/>
        <v>1</v>
      </c>
      <c r="N137" s="720"/>
      <c r="O137" s="24">
        <f t="shared" si="30"/>
        <v>1</v>
      </c>
      <c r="P137" s="720"/>
      <c r="Q137" s="24">
        <f t="shared" si="31"/>
        <v>0</v>
      </c>
      <c r="R137" s="716">
        <f t="shared" si="32"/>
        <v>0</v>
      </c>
      <c r="S137" s="361">
        <f t="shared" si="33"/>
        <v>0</v>
      </c>
    </row>
    <row r="138" spans="1:19">
      <c r="A138" s="159"/>
      <c r="B138" s="59"/>
      <c r="C138" s="24">
        <f t="shared" si="24"/>
        <v>1</v>
      </c>
      <c r="D138" s="720"/>
      <c r="E138" s="24">
        <f t="shared" si="25"/>
        <v>-0.05</v>
      </c>
      <c r="F138" s="720"/>
      <c r="G138" s="24">
        <f t="shared" si="26"/>
        <v>0.03</v>
      </c>
      <c r="H138" s="720"/>
      <c r="I138" s="24">
        <f t="shared" si="27"/>
        <v>1</v>
      </c>
      <c r="J138" s="720"/>
      <c r="K138" s="24">
        <f t="shared" si="28"/>
        <v>1</v>
      </c>
      <c r="L138" s="720"/>
      <c r="M138" s="24">
        <f t="shared" si="29"/>
        <v>1</v>
      </c>
      <c r="N138" s="720"/>
      <c r="O138" s="24">
        <f t="shared" si="30"/>
        <v>1</v>
      </c>
      <c r="P138" s="720"/>
      <c r="Q138" s="24">
        <f t="shared" si="31"/>
        <v>0</v>
      </c>
      <c r="R138" s="716">
        <f t="shared" si="32"/>
        <v>0</v>
      </c>
      <c r="S138" s="361">
        <f t="shared" si="33"/>
        <v>0</v>
      </c>
    </row>
    <row r="139" spans="1:19">
      <c r="A139" s="159"/>
      <c r="B139" s="59"/>
      <c r="C139" s="24">
        <f t="shared" si="24"/>
        <v>1</v>
      </c>
      <c r="D139" s="720"/>
      <c r="E139" s="24">
        <f t="shared" si="25"/>
        <v>-0.05</v>
      </c>
      <c r="F139" s="720"/>
      <c r="G139" s="24">
        <f t="shared" si="26"/>
        <v>0.03</v>
      </c>
      <c r="H139" s="720"/>
      <c r="I139" s="24">
        <f t="shared" si="27"/>
        <v>1</v>
      </c>
      <c r="J139" s="720"/>
      <c r="K139" s="24">
        <f t="shared" si="28"/>
        <v>1</v>
      </c>
      <c r="L139" s="720"/>
      <c r="M139" s="24">
        <f t="shared" si="29"/>
        <v>1</v>
      </c>
      <c r="N139" s="720"/>
      <c r="O139" s="24">
        <f t="shared" si="30"/>
        <v>1</v>
      </c>
      <c r="P139" s="720"/>
      <c r="Q139" s="24">
        <f t="shared" si="31"/>
        <v>0</v>
      </c>
      <c r="R139" s="716">
        <f t="shared" si="32"/>
        <v>0</v>
      </c>
      <c r="S139" s="361">
        <f t="shared" si="33"/>
        <v>0</v>
      </c>
    </row>
    <row r="140" spans="1:19">
      <c r="A140" s="159"/>
      <c r="B140" s="59"/>
      <c r="C140" s="24">
        <f t="shared" si="24"/>
        <v>1</v>
      </c>
      <c r="D140" s="720"/>
      <c r="E140" s="24">
        <f t="shared" si="25"/>
        <v>-0.05</v>
      </c>
      <c r="F140" s="720"/>
      <c r="G140" s="24">
        <f t="shared" si="26"/>
        <v>0.03</v>
      </c>
      <c r="H140" s="720"/>
      <c r="I140" s="24">
        <f t="shared" si="27"/>
        <v>1</v>
      </c>
      <c r="J140" s="720"/>
      <c r="K140" s="24">
        <f t="shared" si="28"/>
        <v>1</v>
      </c>
      <c r="L140" s="720"/>
      <c r="M140" s="24">
        <f t="shared" si="29"/>
        <v>1</v>
      </c>
      <c r="N140" s="720"/>
      <c r="O140" s="24">
        <f t="shared" si="30"/>
        <v>1</v>
      </c>
      <c r="P140" s="720"/>
      <c r="Q140" s="24">
        <f t="shared" si="31"/>
        <v>0</v>
      </c>
      <c r="R140" s="716">
        <f t="shared" si="32"/>
        <v>0</v>
      </c>
      <c r="S140" s="361">
        <f t="shared" si="33"/>
        <v>0</v>
      </c>
    </row>
    <row r="141" spans="1:19">
      <c r="A141" s="159"/>
      <c r="B141" s="59"/>
      <c r="C141" s="24">
        <f t="shared" si="24"/>
        <v>1</v>
      </c>
      <c r="D141" s="720"/>
      <c r="E141" s="24">
        <f t="shared" si="25"/>
        <v>-0.05</v>
      </c>
      <c r="F141" s="720"/>
      <c r="G141" s="24">
        <f t="shared" si="26"/>
        <v>0.03</v>
      </c>
      <c r="H141" s="720"/>
      <c r="I141" s="24">
        <f t="shared" si="27"/>
        <v>1</v>
      </c>
      <c r="J141" s="720"/>
      <c r="K141" s="24">
        <f t="shared" si="28"/>
        <v>1</v>
      </c>
      <c r="L141" s="720"/>
      <c r="M141" s="24">
        <f t="shared" si="29"/>
        <v>1</v>
      </c>
      <c r="N141" s="720"/>
      <c r="O141" s="24">
        <f t="shared" si="30"/>
        <v>1</v>
      </c>
      <c r="P141" s="720"/>
      <c r="Q141" s="24">
        <f t="shared" si="31"/>
        <v>0</v>
      </c>
      <c r="R141" s="716">
        <f t="shared" si="32"/>
        <v>0</v>
      </c>
      <c r="S141" s="361">
        <f t="shared" si="33"/>
        <v>0</v>
      </c>
    </row>
    <row r="142" spans="1:19">
      <c r="A142" s="159"/>
      <c r="B142" s="59"/>
      <c r="C142" s="24">
        <f t="shared" si="24"/>
        <v>1</v>
      </c>
      <c r="D142" s="720"/>
      <c r="E142" s="24">
        <f t="shared" si="25"/>
        <v>-0.05</v>
      </c>
      <c r="F142" s="720"/>
      <c r="G142" s="24">
        <f t="shared" si="26"/>
        <v>0.03</v>
      </c>
      <c r="H142" s="720"/>
      <c r="I142" s="24">
        <f t="shared" si="27"/>
        <v>1</v>
      </c>
      <c r="J142" s="720"/>
      <c r="K142" s="24">
        <f t="shared" si="28"/>
        <v>1</v>
      </c>
      <c r="L142" s="720"/>
      <c r="M142" s="24">
        <f t="shared" si="29"/>
        <v>1</v>
      </c>
      <c r="N142" s="720"/>
      <c r="O142" s="24">
        <f t="shared" si="30"/>
        <v>1</v>
      </c>
      <c r="P142" s="720"/>
      <c r="Q142" s="24">
        <f t="shared" si="31"/>
        <v>0</v>
      </c>
      <c r="R142" s="716">
        <f t="shared" si="32"/>
        <v>0</v>
      </c>
      <c r="S142" s="361">
        <f t="shared" si="33"/>
        <v>0</v>
      </c>
    </row>
    <row r="143" spans="1:19">
      <c r="A143" s="159"/>
      <c r="B143" s="59"/>
      <c r="C143" s="24">
        <f t="shared" si="24"/>
        <v>1</v>
      </c>
      <c r="D143" s="720"/>
      <c r="E143" s="24">
        <f t="shared" si="25"/>
        <v>-0.05</v>
      </c>
      <c r="F143" s="720"/>
      <c r="G143" s="24">
        <f t="shared" si="26"/>
        <v>0.03</v>
      </c>
      <c r="H143" s="720"/>
      <c r="I143" s="24">
        <f t="shared" si="27"/>
        <v>1</v>
      </c>
      <c r="J143" s="720"/>
      <c r="K143" s="24">
        <f t="shared" si="28"/>
        <v>1</v>
      </c>
      <c r="L143" s="720"/>
      <c r="M143" s="24">
        <f t="shared" si="29"/>
        <v>1</v>
      </c>
      <c r="N143" s="720"/>
      <c r="O143" s="24">
        <f t="shared" si="30"/>
        <v>1</v>
      </c>
      <c r="P143" s="720"/>
      <c r="Q143" s="24">
        <f t="shared" si="31"/>
        <v>0</v>
      </c>
      <c r="R143" s="716">
        <f t="shared" si="32"/>
        <v>0</v>
      </c>
      <c r="S143" s="361">
        <f t="shared" si="33"/>
        <v>0</v>
      </c>
    </row>
    <row r="144" spans="1:19">
      <c r="A144" s="159"/>
      <c r="B144" s="59"/>
      <c r="C144" s="24">
        <f t="shared" si="24"/>
        <v>1</v>
      </c>
      <c r="D144" s="720"/>
      <c r="E144" s="24">
        <f t="shared" si="25"/>
        <v>-0.05</v>
      </c>
      <c r="F144" s="720"/>
      <c r="G144" s="24">
        <f t="shared" si="26"/>
        <v>0.03</v>
      </c>
      <c r="H144" s="720"/>
      <c r="I144" s="24">
        <f t="shared" si="27"/>
        <v>1</v>
      </c>
      <c r="J144" s="720"/>
      <c r="K144" s="24">
        <f t="shared" si="28"/>
        <v>1</v>
      </c>
      <c r="L144" s="720"/>
      <c r="M144" s="24">
        <f t="shared" si="29"/>
        <v>1</v>
      </c>
      <c r="N144" s="720"/>
      <c r="O144" s="24">
        <f t="shared" si="30"/>
        <v>1</v>
      </c>
      <c r="P144" s="720"/>
      <c r="Q144" s="24">
        <f t="shared" si="31"/>
        <v>0</v>
      </c>
      <c r="R144" s="716">
        <f t="shared" si="32"/>
        <v>0</v>
      </c>
      <c r="S144" s="361">
        <f t="shared" si="33"/>
        <v>0</v>
      </c>
    </row>
    <row r="145" spans="1:19">
      <c r="A145" s="159"/>
      <c r="B145" s="59"/>
      <c r="C145" s="24">
        <f t="shared" si="24"/>
        <v>1</v>
      </c>
      <c r="D145" s="720"/>
      <c r="E145" s="24">
        <f t="shared" si="25"/>
        <v>-0.05</v>
      </c>
      <c r="F145" s="720"/>
      <c r="G145" s="24">
        <f t="shared" si="26"/>
        <v>0.03</v>
      </c>
      <c r="H145" s="720"/>
      <c r="I145" s="24">
        <f t="shared" si="27"/>
        <v>1</v>
      </c>
      <c r="J145" s="720"/>
      <c r="K145" s="24">
        <f t="shared" si="28"/>
        <v>1</v>
      </c>
      <c r="L145" s="720"/>
      <c r="M145" s="24">
        <f t="shared" si="29"/>
        <v>1</v>
      </c>
      <c r="N145" s="720"/>
      <c r="O145" s="24">
        <f t="shared" si="30"/>
        <v>1</v>
      </c>
      <c r="P145" s="720"/>
      <c r="Q145" s="24">
        <f t="shared" si="31"/>
        <v>0</v>
      </c>
      <c r="R145" s="716">
        <f t="shared" si="32"/>
        <v>0</v>
      </c>
      <c r="S145" s="361">
        <f t="shared" si="33"/>
        <v>0</v>
      </c>
    </row>
    <row r="146" spans="1:19">
      <c r="A146" s="159"/>
      <c r="B146" s="59"/>
      <c r="C146" s="24">
        <f t="shared" si="24"/>
        <v>1</v>
      </c>
      <c r="D146" s="720"/>
      <c r="E146" s="24">
        <f t="shared" si="25"/>
        <v>-0.05</v>
      </c>
      <c r="F146" s="720"/>
      <c r="G146" s="24">
        <f t="shared" si="26"/>
        <v>0.03</v>
      </c>
      <c r="H146" s="720"/>
      <c r="I146" s="24">
        <f t="shared" si="27"/>
        <v>1</v>
      </c>
      <c r="J146" s="720"/>
      <c r="K146" s="24">
        <f t="shared" si="28"/>
        <v>1</v>
      </c>
      <c r="L146" s="720"/>
      <c r="M146" s="24">
        <f t="shared" si="29"/>
        <v>1</v>
      </c>
      <c r="N146" s="720"/>
      <c r="O146" s="24">
        <f t="shared" si="30"/>
        <v>1</v>
      </c>
      <c r="P146" s="720"/>
      <c r="Q146" s="24">
        <f t="shared" si="31"/>
        <v>0</v>
      </c>
      <c r="R146" s="716">
        <f t="shared" si="32"/>
        <v>0</v>
      </c>
      <c r="S146" s="361">
        <f t="shared" si="33"/>
        <v>0</v>
      </c>
    </row>
    <row r="147" spans="1:19">
      <c r="A147" s="159"/>
      <c r="B147" s="59"/>
      <c r="C147" s="24">
        <f t="shared" si="24"/>
        <v>1</v>
      </c>
      <c r="D147" s="720"/>
      <c r="E147" s="24">
        <f t="shared" si="25"/>
        <v>-0.05</v>
      </c>
      <c r="F147" s="720"/>
      <c r="G147" s="24">
        <f t="shared" si="26"/>
        <v>0.03</v>
      </c>
      <c r="H147" s="720"/>
      <c r="I147" s="24">
        <f t="shared" si="27"/>
        <v>1</v>
      </c>
      <c r="J147" s="720"/>
      <c r="K147" s="24">
        <f t="shared" si="28"/>
        <v>1</v>
      </c>
      <c r="L147" s="720"/>
      <c r="M147" s="24">
        <f t="shared" si="29"/>
        <v>1</v>
      </c>
      <c r="N147" s="720"/>
      <c r="O147" s="24">
        <f t="shared" si="30"/>
        <v>1</v>
      </c>
      <c r="P147" s="720"/>
      <c r="Q147" s="24">
        <f t="shared" si="31"/>
        <v>0</v>
      </c>
      <c r="R147" s="716">
        <f t="shared" si="32"/>
        <v>0</v>
      </c>
      <c r="S147" s="361">
        <f t="shared" si="33"/>
        <v>0</v>
      </c>
    </row>
    <row r="148" spans="1:19">
      <c r="A148" s="159"/>
      <c r="B148" s="59"/>
      <c r="C148" s="24">
        <f t="shared" si="24"/>
        <v>1</v>
      </c>
      <c r="D148" s="720"/>
      <c r="E148" s="24">
        <f t="shared" si="25"/>
        <v>-0.05</v>
      </c>
      <c r="F148" s="720"/>
      <c r="G148" s="24">
        <f t="shared" si="26"/>
        <v>0.03</v>
      </c>
      <c r="H148" s="720"/>
      <c r="I148" s="24">
        <f t="shared" si="27"/>
        <v>1</v>
      </c>
      <c r="J148" s="720"/>
      <c r="K148" s="24">
        <f t="shared" si="28"/>
        <v>1</v>
      </c>
      <c r="L148" s="720"/>
      <c r="M148" s="24">
        <f t="shared" si="29"/>
        <v>1</v>
      </c>
      <c r="N148" s="720"/>
      <c r="O148" s="24">
        <f t="shared" si="30"/>
        <v>1</v>
      </c>
      <c r="P148" s="720"/>
      <c r="Q148" s="24">
        <f t="shared" si="31"/>
        <v>0</v>
      </c>
      <c r="R148" s="716">
        <f t="shared" si="32"/>
        <v>0</v>
      </c>
      <c r="S148" s="361">
        <f t="shared" si="33"/>
        <v>0</v>
      </c>
    </row>
    <row r="149" spans="1:19">
      <c r="A149" s="159"/>
      <c r="B149" s="59"/>
      <c r="C149" s="24">
        <f t="shared" si="24"/>
        <v>1</v>
      </c>
      <c r="D149" s="720"/>
      <c r="E149" s="24">
        <f t="shared" si="25"/>
        <v>-0.05</v>
      </c>
      <c r="F149" s="720"/>
      <c r="G149" s="24">
        <f t="shared" si="26"/>
        <v>0.03</v>
      </c>
      <c r="H149" s="720"/>
      <c r="I149" s="24">
        <f t="shared" si="27"/>
        <v>1</v>
      </c>
      <c r="J149" s="720"/>
      <c r="K149" s="24">
        <f t="shared" si="28"/>
        <v>1</v>
      </c>
      <c r="L149" s="720"/>
      <c r="M149" s="24">
        <f t="shared" si="29"/>
        <v>1</v>
      </c>
      <c r="N149" s="720"/>
      <c r="O149" s="24">
        <f t="shared" si="30"/>
        <v>1</v>
      </c>
      <c r="P149" s="720"/>
      <c r="Q149" s="24">
        <f t="shared" si="31"/>
        <v>0</v>
      </c>
      <c r="R149" s="716">
        <f t="shared" si="32"/>
        <v>0</v>
      </c>
      <c r="S149" s="361">
        <f t="shared" si="33"/>
        <v>0</v>
      </c>
    </row>
    <row r="150" spans="1:19">
      <c r="A150" s="159"/>
      <c r="B150" s="59"/>
      <c r="C150" s="24">
        <f t="shared" si="24"/>
        <v>1</v>
      </c>
      <c r="D150" s="720"/>
      <c r="E150" s="24">
        <f t="shared" si="25"/>
        <v>-0.05</v>
      </c>
      <c r="F150" s="720"/>
      <c r="G150" s="24">
        <f t="shared" si="26"/>
        <v>0.03</v>
      </c>
      <c r="H150" s="720"/>
      <c r="I150" s="24">
        <f t="shared" si="27"/>
        <v>1</v>
      </c>
      <c r="J150" s="720"/>
      <c r="K150" s="24">
        <f t="shared" si="28"/>
        <v>1</v>
      </c>
      <c r="L150" s="720"/>
      <c r="M150" s="24">
        <f t="shared" si="29"/>
        <v>1</v>
      </c>
      <c r="N150" s="720"/>
      <c r="O150" s="24">
        <f t="shared" si="30"/>
        <v>1</v>
      </c>
      <c r="P150" s="720"/>
      <c r="Q150" s="24">
        <f t="shared" si="31"/>
        <v>0</v>
      </c>
      <c r="R150" s="716">
        <f t="shared" si="32"/>
        <v>0</v>
      </c>
      <c r="S150" s="361">
        <f t="shared" si="33"/>
        <v>0</v>
      </c>
    </row>
    <row r="151" spans="1:19">
      <c r="A151" s="159"/>
      <c r="B151" s="59"/>
      <c r="C151" s="24">
        <f t="shared" si="24"/>
        <v>1</v>
      </c>
      <c r="D151" s="720"/>
      <c r="E151" s="24">
        <f t="shared" si="25"/>
        <v>-0.05</v>
      </c>
      <c r="F151" s="720"/>
      <c r="G151" s="24">
        <f t="shared" si="26"/>
        <v>0.03</v>
      </c>
      <c r="H151" s="720"/>
      <c r="I151" s="24">
        <f t="shared" si="27"/>
        <v>1</v>
      </c>
      <c r="J151" s="720"/>
      <c r="K151" s="24">
        <f t="shared" si="28"/>
        <v>1</v>
      </c>
      <c r="L151" s="720"/>
      <c r="M151" s="24">
        <f t="shared" si="29"/>
        <v>1</v>
      </c>
      <c r="N151" s="720"/>
      <c r="O151" s="24">
        <f t="shared" si="30"/>
        <v>1</v>
      </c>
      <c r="P151" s="720"/>
      <c r="Q151" s="24">
        <f t="shared" si="31"/>
        <v>0</v>
      </c>
      <c r="R151" s="716">
        <f t="shared" si="32"/>
        <v>0</v>
      </c>
      <c r="S151" s="361">
        <f t="shared" si="33"/>
        <v>0</v>
      </c>
    </row>
    <row r="152" spans="1:19">
      <c r="A152" s="159"/>
      <c r="B152" s="59"/>
      <c r="C152" s="24">
        <f t="shared" si="24"/>
        <v>1</v>
      </c>
      <c r="D152" s="720"/>
      <c r="E152" s="24">
        <f t="shared" si="25"/>
        <v>-0.05</v>
      </c>
      <c r="F152" s="720"/>
      <c r="G152" s="24">
        <f t="shared" si="26"/>
        <v>0.03</v>
      </c>
      <c r="H152" s="720"/>
      <c r="I152" s="24">
        <f t="shared" si="27"/>
        <v>1</v>
      </c>
      <c r="J152" s="720"/>
      <c r="K152" s="24">
        <f t="shared" si="28"/>
        <v>1</v>
      </c>
      <c r="L152" s="720"/>
      <c r="M152" s="24">
        <f t="shared" si="29"/>
        <v>1</v>
      </c>
      <c r="N152" s="720"/>
      <c r="O152" s="24">
        <f t="shared" si="30"/>
        <v>1</v>
      </c>
      <c r="P152" s="720"/>
      <c r="Q152" s="24">
        <f t="shared" si="31"/>
        <v>0</v>
      </c>
      <c r="R152" s="716">
        <f t="shared" si="32"/>
        <v>0</v>
      </c>
      <c r="S152" s="361">
        <f t="shared" si="33"/>
        <v>0</v>
      </c>
    </row>
    <row r="153" spans="1:19">
      <c r="A153" s="159"/>
      <c r="B153" s="59"/>
      <c r="C153" s="24">
        <f t="shared" si="24"/>
        <v>1</v>
      </c>
      <c r="D153" s="720"/>
      <c r="E153" s="24">
        <f t="shared" si="25"/>
        <v>-0.05</v>
      </c>
      <c r="F153" s="720"/>
      <c r="G153" s="24">
        <f t="shared" si="26"/>
        <v>0.03</v>
      </c>
      <c r="H153" s="720"/>
      <c r="I153" s="24">
        <f t="shared" si="27"/>
        <v>1</v>
      </c>
      <c r="J153" s="720"/>
      <c r="K153" s="24">
        <f t="shared" si="28"/>
        <v>1</v>
      </c>
      <c r="L153" s="720"/>
      <c r="M153" s="24">
        <f t="shared" si="29"/>
        <v>1</v>
      </c>
      <c r="N153" s="720"/>
      <c r="O153" s="24">
        <f t="shared" si="30"/>
        <v>1</v>
      </c>
      <c r="P153" s="720"/>
      <c r="Q153" s="24">
        <f t="shared" si="31"/>
        <v>0</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-0.05</v>
      </c>
      <c r="F154" s="720"/>
      <c r="G154" s="24">
        <f t="shared" ref="G154:G217" si="36">(SUMIF($7:$7,F154,$8:$8)-SUMIF($7:$7,$F$24,$8:$8)+100)/100</f>
        <v>0.03</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0</v>
      </c>
      <c r="R154" s="716">
        <f t="shared" ref="R154:R217" si="42">IF(B154="",0,ROUND($R$24*C154*E154*G154*I154*K154*M154*O154*Q154,0))</f>
        <v>0</v>
      </c>
      <c r="S154" s="361">
        <f t="shared" si="33"/>
        <v>0</v>
      </c>
    </row>
    <row r="155" spans="1:19">
      <c r="A155" s="159"/>
      <c r="B155" s="59"/>
      <c r="C155" s="24">
        <f t="shared" si="34"/>
        <v>1</v>
      </c>
      <c r="D155" s="720"/>
      <c r="E155" s="24">
        <f t="shared" si="35"/>
        <v>-0.05</v>
      </c>
      <c r="F155" s="720"/>
      <c r="G155" s="24">
        <f t="shared" si="36"/>
        <v>0.03</v>
      </c>
      <c r="H155" s="720"/>
      <c r="I155" s="24">
        <f t="shared" si="37"/>
        <v>1</v>
      </c>
      <c r="J155" s="720"/>
      <c r="K155" s="24">
        <f t="shared" si="38"/>
        <v>1</v>
      </c>
      <c r="L155" s="720"/>
      <c r="M155" s="24">
        <f t="shared" si="39"/>
        <v>1</v>
      </c>
      <c r="N155" s="720"/>
      <c r="O155" s="24">
        <f t="shared" si="40"/>
        <v>1</v>
      </c>
      <c r="P155" s="720"/>
      <c r="Q155" s="24">
        <f t="shared" si="41"/>
        <v>0</v>
      </c>
      <c r="R155" s="716">
        <f t="shared" si="42"/>
        <v>0</v>
      </c>
      <c r="S155" s="361">
        <f t="shared" si="33"/>
        <v>0</v>
      </c>
    </row>
    <row r="156" spans="1:19">
      <c r="A156" s="159"/>
      <c r="B156" s="59"/>
      <c r="C156" s="24">
        <f t="shared" si="34"/>
        <v>1</v>
      </c>
      <c r="D156" s="720"/>
      <c r="E156" s="24">
        <f t="shared" si="35"/>
        <v>-0.05</v>
      </c>
      <c r="F156" s="720"/>
      <c r="G156" s="24">
        <f t="shared" si="36"/>
        <v>0.03</v>
      </c>
      <c r="H156" s="720"/>
      <c r="I156" s="24">
        <f t="shared" si="37"/>
        <v>1</v>
      </c>
      <c r="J156" s="720"/>
      <c r="K156" s="24">
        <f t="shared" si="38"/>
        <v>1</v>
      </c>
      <c r="L156" s="720"/>
      <c r="M156" s="24">
        <f t="shared" si="39"/>
        <v>1</v>
      </c>
      <c r="N156" s="720"/>
      <c r="O156" s="24">
        <f t="shared" si="40"/>
        <v>1</v>
      </c>
      <c r="P156" s="720"/>
      <c r="Q156" s="24">
        <f t="shared" si="41"/>
        <v>0</v>
      </c>
      <c r="R156" s="716">
        <f t="shared" si="42"/>
        <v>0</v>
      </c>
      <c r="S156" s="361">
        <f t="shared" si="33"/>
        <v>0</v>
      </c>
    </row>
    <row r="157" spans="1:19">
      <c r="A157" s="159"/>
      <c r="B157" s="59"/>
      <c r="C157" s="24">
        <f t="shared" si="34"/>
        <v>1</v>
      </c>
      <c r="D157" s="720"/>
      <c r="E157" s="24">
        <f t="shared" si="35"/>
        <v>-0.05</v>
      </c>
      <c r="F157" s="720"/>
      <c r="G157" s="24">
        <f t="shared" si="36"/>
        <v>0.03</v>
      </c>
      <c r="H157" s="720"/>
      <c r="I157" s="24">
        <f t="shared" si="37"/>
        <v>1</v>
      </c>
      <c r="J157" s="720"/>
      <c r="K157" s="24">
        <f t="shared" si="38"/>
        <v>1</v>
      </c>
      <c r="L157" s="720"/>
      <c r="M157" s="24">
        <f t="shared" si="39"/>
        <v>1</v>
      </c>
      <c r="N157" s="720"/>
      <c r="O157" s="24">
        <f t="shared" si="40"/>
        <v>1</v>
      </c>
      <c r="P157" s="720"/>
      <c r="Q157" s="24">
        <f t="shared" si="41"/>
        <v>0</v>
      </c>
      <c r="R157" s="716">
        <f t="shared" si="42"/>
        <v>0</v>
      </c>
      <c r="S157" s="361">
        <f t="shared" si="33"/>
        <v>0</v>
      </c>
    </row>
    <row r="158" spans="1:19">
      <c r="A158" s="159"/>
      <c r="B158" s="59"/>
      <c r="C158" s="24">
        <f t="shared" si="34"/>
        <v>1</v>
      </c>
      <c r="D158" s="720"/>
      <c r="E158" s="24">
        <f t="shared" si="35"/>
        <v>-0.05</v>
      </c>
      <c r="F158" s="720"/>
      <c r="G158" s="24">
        <f t="shared" si="36"/>
        <v>0.03</v>
      </c>
      <c r="H158" s="720"/>
      <c r="I158" s="24">
        <f t="shared" si="37"/>
        <v>1</v>
      </c>
      <c r="J158" s="720"/>
      <c r="K158" s="24">
        <f t="shared" si="38"/>
        <v>1</v>
      </c>
      <c r="L158" s="720"/>
      <c r="M158" s="24">
        <f t="shared" si="39"/>
        <v>1</v>
      </c>
      <c r="N158" s="720"/>
      <c r="O158" s="24">
        <f t="shared" si="40"/>
        <v>1</v>
      </c>
      <c r="P158" s="720"/>
      <c r="Q158" s="24">
        <f t="shared" si="41"/>
        <v>0</v>
      </c>
      <c r="R158" s="716">
        <f t="shared" si="42"/>
        <v>0</v>
      </c>
      <c r="S158" s="361">
        <f t="shared" si="33"/>
        <v>0</v>
      </c>
    </row>
    <row r="159" spans="1:19">
      <c r="A159" s="159"/>
      <c r="B159" s="59"/>
      <c r="C159" s="24">
        <f t="shared" si="34"/>
        <v>1</v>
      </c>
      <c r="D159" s="720"/>
      <c r="E159" s="24">
        <f t="shared" si="35"/>
        <v>-0.05</v>
      </c>
      <c r="F159" s="720"/>
      <c r="G159" s="24">
        <f t="shared" si="36"/>
        <v>0.03</v>
      </c>
      <c r="H159" s="720"/>
      <c r="I159" s="24">
        <f t="shared" si="37"/>
        <v>1</v>
      </c>
      <c r="J159" s="720"/>
      <c r="K159" s="24">
        <f t="shared" si="38"/>
        <v>1</v>
      </c>
      <c r="L159" s="720"/>
      <c r="M159" s="24">
        <f t="shared" si="39"/>
        <v>1</v>
      </c>
      <c r="N159" s="720"/>
      <c r="O159" s="24">
        <f t="shared" si="40"/>
        <v>1</v>
      </c>
      <c r="P159" s="720"/>
      <c r="Q159" s="24">
        <f t="shared" si="41"/>
        <v>0</v>
      </c>
      <c r="R159" s="716">
        <f t="shared" si="42"/>
        <v>0</v>
      </c>
      <c r="S159" s="361">
        <f t="shared" si="33"/>
        <v>0</v>
      </c>
    </row>
    <row r="160" spans="1:19">
      <c r="A160" s="159"/>
      <c r="B160" s="59"/>
      <c r="C160" s="24">
        <f t="shared" si="34"/>
        <v>1</v>
      </c>
      <c r="D160" s="720"/>
      <c r="E160" s="24">
        <f t="shared" si="35"/>
        <v>-0.05</v>
      </c>
      <c r="F160" s="720"/>
      <c r="G160" s="24">
        <f t="shared" si="36"/>
        <v>0.03</v>
      </c>
      <c r="H160" s="720"/>
      <c r="I160" s="24">
        <f t="shared" si="37"/>
        <v>1</v>
      </c>
      <c r="J160" s="720"/>
      <c r="K160" s="24">
        <f t="shared" si="38"/>
        <v>1</v>
      </c>
      <c r="L160" s="720"/>
      <c r="M160" s="24">
        <f t="shared" si="39"/>
        <v>1</v>
      </c>
      <c r="N160" s="720"/>
      <c r="O160" s="24">
        <f t="shared" si="40"/>
        <v>1</v>
      </c>
      <c r="P160" s="720"/>
      <c r="Q160" s="24">
        <f t="shared" si="41"/>
        <v>0</v>
      </c>
      <c r="R160" s="716">
        <f t="shared" si="42"/>
        <v>0</v>
      </c>
      <c r="S160" s="361">
        <f t="shared" si="33"/>
        <v>0</v>
      </c>
    </row>
    <row r="161" spans="1:19">
      <c r="A161" s="159"/>
      <c r="B161" s="59"/>
      <c r="C161" s="24">
        <f t="shared" si="34"/>
        <v>1</v>
      </c>
      <c r="D161" s="720"/>
      <c r="E161" s="24">
        <f t="shared" si="35"/>
        <v>-0.05</v>
      </c>
      <c r="F161" s="720"/>
      <c r="G161" s="24">
        <f t="shared" si="36"/>
        <v>0.03</v>
      </c>
      <c r="H161" s="720"/>
      <c r="I161" s="24">
        <f t="shared" si="37"/>
        <v>1</v>
      </c>
      <c r="J161" s="720"/>
      <c r="K161" s="24">
        <f t="shared" si="38"/>
        <v>1</v>
      </c>
      <c r="L161" s="720"/>
      <c r="M161" s="24">
        <f t="shared" si="39"/>
        <v>1</v>
      </c>
      <c r="N161" s="720"/>
      <c r="O161" s="24">
        <f t="shared" si="40"/>
        <v>1</v>
      </c>
      <c r="P161" s="720"/>
      <c r="Q161" s="24">
        <f t="shared" si="41"/>
        <v>0</v>
      </c>
      <c r="R161" s="716">
        <f t="shared" si="42"/>
        <v>0</v>
      </c>
      <c r="S161" s="361">
        <f t="shared" si="33"/>
        <v>0</v>
      </c>
    </row>
    <row r="162" spans="1:19">
      <c r="A162" s="159"/>
      <c r="B162" s="59"/>
      <c r="C162" s="24">
        <f t="shared" si="34"/>
        <v>1</v>
      </c>
      <c r="D162" s="720"/>
      <c r="E162" s="24">
        <f t="shared" si="35"/>
        <v>-0.05</v>
      </c>
      <c r="F162" s="720"/>
      <c r="G162" s="24">
        <f t="shared" si="36"/>
        <v>0.03</v>
      </c>
      <c r="H162" s="720"/>
      <c r="I162" s="24">
        <f t="shared" si="37"/>
        <v>1</v>
      </c>
      <c r="J162" s="720"/>
      <c r="K162" s="24">
        <f t="shared" si="38"/>
        <v>1</v>
      </c>
      <c r="L162" s="720"/>
      <c r="M162" s="24">
        <f t="shared" si="39"/>
        <v>1</v>
      </c>
      <c r="N162" s="720"/>
      <c r="O162" s="24">
        <f t="shared" si="40"/>
        <v>1</v>
      </c>
      <c r="P162" s="720"/>
      <c r="Q162" s="24">
        <f t="shared" si="41"/>
        <v>0</v>
      </c>
      <c r="R162" s="716">
        <f t="shared" si="42"/>
        <v>0</v>
      </c>
      <c r="S162" s="361">
        <f t="shared" si="33"/>
        <v>0</v>
      </c>
    </row>
    <row r="163" spans="1:19">
      <c r="A163" s="159"/>
      <c r="B163" s="59"/>
      <c r="C163" s="24">
        <f t="shared" si="34"/>
        <v>1</v>
      </c>
      <c r="D163" s="720"/>
      <c r="E163" s="24">
        <f t="shared" si="35"/>
        <v>-0.05</v>
      </c>
      <c r="F163" s="720"/>
      <c r="G163" s="24">
        <f t="shared" si="36"/>
        <v>0.03</v>
      </c>
      <c r="H163" s="720"/>
      <c r="I163" s="24">
        <f t="shared" si="37"/>
        <v>1</v>
      </c>
      <c r="J163" s="720"/>
      <c r="K163" s="24">
        <f t="shared" si="38"/>
        <v>1</v>
      </c>
      <c r="L163" s="720"/>
      <c r="M163" s="24">
        <f t="shared" si="39"/>
        <v>1</v>
      </c>
      <c r="N163" s="720"/>
      <c r="O163" s="24">
        <f t="shared" si="40"/>
        <v>1</v>
      </c>
      <c r="P163" s="720"/>
      <c r="Q163" s="24">
        <f t="shared" si="41"/>
        <v>0</v>
      </c>
      <c r="R163" s="716">
        <f t="shared" si="42"/>
        <v>0</v>
      </c>
      <c r="S163" s="361">
        <f t="shared" si="33"/>
        <v>0</v>
      </c>
    </row>
    <row r="164" spans="1:19">
      <c r="A164" s="159"/>
      <c r="B164" s="59"/>
      <c r="C164" s="24">
        <f t="shared" si="34"/>
        <v>1</v>
      </c>
      <c r="D164" s="720"/>
      <c r="E164" s="24">
        <f t="shared" si="35"/>
        <v>-0.05</v>
      </c>
      <c r="F164" s="720"/>
      <c r="G164" s="24">
        <f t="shared" si="36"/>
        <v>0.03</v>
      </c>
      <c r="H164" s="720"/>
      <c r="I164" s="24">
        <f t="shared" si="37"/>
        <v>1</v>
      </c>
      <c r="J164" s="720"/>
      <c r="K164" s="24">
        <f t="shared" si="38"/>
        <v>1</v>
      </c>
      <c r="L164" s="720"/>
      <c r="M164" s="24">
        <f t="shared" si="39"/>
        <v>1</v>
      </c>
      <c r="N164" s="720"/>
      <c r="O164" s="24">
        <f t="shared" si="40"/>
        <v>1</v>
      </c>
      <c r="P164" s="720"/>
      <c r="Q164" s="24">
        <f t="shared" si="41"/>
        <v>0</v>
      </c>
      <c r="R164" s="716">
        <f t="shared" si="42"/>
        <v>0</v>
      </c>
      <c r="S164" s="361">
        <f t="shared" si="33"/>
        <v>0</v>
      </c>
    </row>
    <row r="165" spans="1:19">
      <c r="A165" s="159"/>
      <c r="B165" s="59"/>
      <c r="C165" s="24">
        <f t="shared" si="34"/>
        <v>1</v>
      </c>
      <c r="D165" s="720"/>
      <c r="E165" s="24">
        <f t="shared" si="35"/>
        <v>-0.05</v>
      </c>
      <c r="F165" s="720"/>
      <c r="G165" s="24">
        <f t="shared" si="36"/>
        <v>0.03</v>
      </c>
      <c r="H165" s="720"/>
      <c r="I165" s="24">
        <f t="shared" si="37"/>
        <v>1</v>
      </c>
      <c r="J165" s="720"/>
      <c r="K165" s="24">
        <f t="shared" si="38"/>
        <v>1</v>
      </c>
      <c r="L165" s="720"/>
      <c r="M165" s="24">
        <f t="shared" si="39"/>
        <v>1</v>
      </c>
      <c r="N165" s="720"/>
      <c r="O165" s="24">
        <f t="shared" si="40"/>
        <v>1</v>
      </c>
      <c r="P165" s="720"/>
      <c r="Q165" s="24">
        <f t="shared" si="41"/>
        <v>0</v>
      </c>
      <c r="R165" s="716">
        <f t="shared" si="42"/>
        <v>0</v>
      </c>
      <c r="S165" s="361">
        <f t="shared" si="33"/>
        <v>0</v>
      </c>
    </row>
    <row r="166" spans="1:19">
      <c r="A166" s="159"/>
      <c r="B166" s="59"/>
      <c r="C166" s="24">
        <f t="shared" si="34"/>
        <v>1</v>
      </c>
      <c r="D166" s="720"/>
      <c r="E166" s="24">
        <f t="shared" si="35"/>
        <v>-0.05</v>
      </c>
      <c r="F166" s="720"/>
      <c r="G166" s="24">
        <f t="shared" si="36"/>
        <v>0.03</v>
      </c>
      <c r="H166" s="720"/>
      <c r="I166" s="24">
        <f t="shared" si="37"/>
        <v>1</v>
      </c>
      <c r="J166" s="720"/>
      <c r="K166" s="24">
        <f t="shared" si="38"/>
        <v>1</v>
      </c>
      <c r="L166" s="720"/>
      <c r="M166" s="24">
        <f t="shared" si="39"/>
        <v>1</v>
      </c>
      <c r="N166" s="720"/>
      <c r="O166" s="24">
        <f t="shared" si="40"/>
        <v>1</v>
      </c>
      <c r="P166" s="720"/>
      <c r="Q166" s="24">
        <f t="shared" si="41"/>
        <v>0</v>
      </c>
      <c r="R166" s="716">
        <f t="shared" si="42"/>
        <v>0</v>
      </c>
      <c r="S166" s="361">
        <f t="shared" si="33"/>
        <v>0</v>
      </c>
    </row>
    <row r="167" spans="1:19">
      <c r="A167" s="159"/>
      <c r="B167" s="59"/>
      <c r="C167" s="24">
        <f t="shared" si="34"/>
        <v>1</v>
      </c>
      <c r="D167" s="720"/>
      <c r="E167" s="24">
        <f t="shared" si="35"/>
        <v>-0.05</v>
      </c>
      <c r="F167" s="720"/>
      <c r="G167" s="24">
        <f t="shared" si="36"/>
        <v>0.03</v>
      </c>
      <c r="H167" s="720"/>
      <c r="I167" s="24">
        <f t="shared" si="37"/>
        <v>1</v>
      </c>
      <c r="J167" s="720"/>
      <c r="K167" s="24">
        <f t="shared" si="38"/>
        <v>1</v>
      </c>
      <c r="L167" s="720"/>
      <c r="M167" s="24">
        <f t="shared" si="39"/>
        <v>1</v>
      </c>
      <c r="N167" s="720"/>
      <c r="O167" s="24">
        <f t="shared" si="40"/>
        <v>1</v>
      </c>
      <c r="P167" s="720"/>
      <c r="Q167" s="24">
        <f t="shared" si="41"/>
        <v>0</v>
      </c>
      <c r="R167" s="716">
        <f t="shared" si="42"/>
        <v>0</v>
      </c>
      <c r="S167" s="361">
        <f t="shared" si="33"/>
        <v>0</v>
      </c>
    </row>
    <row r="168" spans="1:19">
      <c r="A168" s="159"/>
      <c r="B168" s="59"/>
      <c r="C168" s="24">
        <f t="shared" si="34"/>
        <v>1</v>
      </c>
      <c r="D168" s="720"/>
      <c r="E168" s="24">
        <f t="shared" si="35"/>
        <v>-0.05</v>
      </c>
      <c r="F168" s="720"/>
      <c r="G168" s="24">
        <f t="shared" si="36"/>
        <v>0.03</v>
      </c>
      <c r="H168" s="720"/>
      <c r="I168" s="24">
        <f t="shared" si="37"/>
        <v>1</v>
      </c>
      <c r="J168" s="720"/>
      <c r="K168" s="24">
        <f t="shared" si="38"/>
        <v>1</v>
      </c>
      <c r="L168" s="720"/>
      <c r="M168" s="24">
        <f t="shared" si="39"/>
        <v>1</v>
      </c>
      <c r="N168" s="720"/>
      <c r="O168" s="24">
        <f t="shared" si="40"/>
        <v>1</v>
      </c>
      <c r="P168" s="720"/>
      <c r="Q168" s="24">
        <f t="shared" si="41"/>
        <v>0</v>
      </c>
      <c r="R168" s="716">
        <f t="shared" si="42"/>
        <v>0</v>
      </c>
      <c r="S168" s="361">
        <f t="shared" si="33"/>
        <v>0</v>
      </c>
    </row>
    <row r="169" spans="1:19">
      <c r="A169" s="159"/>
      <c r="B169" s="59"/>
      <c r="C169" s="24">
        <f t="shared" si="34"/>
        <v>1</v>
      </c>
      <c r="D169" s="720"/>
      <c r="E169" s="24">
        <f t="shared" si="35"/>
        <v>-0.05</v>
      </c>
      <c r="F169" s="720"/>
      <c r="G169" s="24">
        <f t="shared" si="36"/>
        <v>0.03</v>
      </c>
      <c r="H169" s="720"/>
      <c r="I169" s="24">
        <f t="shared" si="37"/>
        <v>1</v>
      </c>
      <c r="J169" s="720"/>
      <c r="K169" s="24">
        <f t="shared" si="38"/>
        <v>1</v>
      </c>
      <c r="L169" s="720"/>
      <c r="M169" s="24">
        <f t="shared" si="39"/>
        <v>1</v>
      </c>
      <c r="N169" s="720"/>
      <c r="O169" s="24">
        <f t="shared" si="40"/>
        <v>1</v>
      </c>
      <c r="P169" s="720"/>
      <c r="Q169" s="24">
        <f t="shared" si="41"/>
        <v>0</v>
      </c>
      <c r="R169" s="716">
        <f t="shared" si="42"/>
        <v>0</v>
      </c>
      <c r="S169" s="361">
        <f t="shared" si="33"/>
        <v>0</v>
      </c>
    </row>
    <row r="170" spans="1:19">
      <c r="A170" s="159"/>
      <c r="B170" s="59"/>
      <c r="C170" s="24">
        <f t="shared" si="34"/>
        <v>1</v>
      </c>
      <c r="D170" s="720"/>
      <c r="E170" s="24">
        <f t="shared" si="35"/>
        <v>-0.05</v>
      </c>
      <c r="F170" s="720"/>
      <c r="G170" s="24">
        <f t="shared" si="36"/>
        <v>0.03</v>
      </c>
      <c r="H170" s="720"/>
      <c r="I170" s="24">
        <f t="shared" si="37"/>
        <v>1</v>
      </c>
      <c r="J170" s="720"/>
      <c r="K170" s="24">
        <f t="shared" si="38"/>
        <v>1</v>
      </c>
      <c r="L170" s="720"/>
      <c r="M170" s="24">
        <f t="shared" si="39"/>
        <v>1</v>
      </c>
      <c r="N170" s="720"/>
      <c r="O170" s="24">
        <f t="shared" si="40"/>
        <v>1</v>
      </c>
      <c r="P170" s="720"/>
      <c r="Q170" s="24">
        <f t="shared" si="41"/>
        <v>0</v>
      </c>
      <c r="R170" s="716">
        <f t="shared" si="42"/>
        <v>0</v>
      </c>
      <c r="S170" s="361">
        <f t="shared" si="33"/>
        <v>0</v>
      </c>
    </row>
    <row r="171" spans="1:19">
      <c r="A171" s="159"/>
      <c r="B171" s="59"/>
      <c r="C171" s="24">
        <f t="shared" si="34"/>
        <v>1</v>
      </c>
      <c r="D171" s="720"/>
      <c r="E171" s="24">
        <f t="shared" si="35"/>
        <v>-0.05</v>
      </c>
      <c r="F171" s="720"/>
      <c r="G171" s="24">
        <f t="shared" si="36"/>
        <v>0.03</v>
      </c>
      <c r="H171" s="720"/>
      <c r="I171" s="24">
        <f t="shared" si="37"/>
        <v>1</v>
      </c>
      <c r="J171" s="720"/>
      <c r="K171" s="24">
        <f t="shared" si="38"/>
        <v>1</v>
      </c>
      <c r="L171" s="720"/>
      <c r="M171" s="24">
        <f t="shared" si="39"/>
        <v>1</v>
      </c>
      <c r="N171" s="720"/>
      <c r="O171" s="24">
        <f t="shared" si="40"/>
        <v>1</v>
      </c>
      <c r="P171" s="720"/>
      <c r="Q171" s="24">
        <f t="shared" si="41"/>
        <v>0</v>
      </c>
      <c r="R171" s="716">
        <f t="shared" si="42"/>
        <v>0</v>
      </c>
      <c r="S171" s="361">
        <f t="shared" si="33"/>
        <v>0</v>
      </c>
    </row>
    <row r="172" spans="1:19">
      <c r="A172" s="159"/>
      <c r="B172" s="59"/>
      <c r="C172" s="24">
        <f t="shared" si="34"/>
        <v>1</v>
      </c>
      <c r="D172" s="720"/>
      <c r="E172" s="24">
        <f t="shared" si="35"/>
        <v>-0.05</v>
      </c>
      <c r="F172" s="720"/>
      <c r="G172" s="24">
        <f t="shared" si="36"/>
        <v>0.03</v>
      </c>
      <c r="H172" s="720"/>
      <c r="I172" s="24">
        <f t="shared" si="37"/>
        <v>1</v>
      </c>
      <c r="J172" s="720"/>
      <c r="K172" s="24">
        <f t="shared" si="38"/>
        <v>1</v>
      </c>
      <c r="L172" s="720"/>
      <c r="M172" s="24">
        <f t="shared" si="39"/>
        <v>1</v>
      </c>
      <c r="N172" s="720"/>
      <c r="O172" s="24">
        <f t="shared" si="40"/>
        <v>1</v>
      </c>
      <c r="P172" s="720"/>
      <c r="Q172" s="24">
        <f t="shared" si="41"/>
        <v>0</v>
      </c>
      <c r="R172" s="716">
        <f t="shared" si="42"/>
        <v>0</v>
      </c>
      <c r="S172" s="361">
        <f t="shared" si="33"/>
        <v>0</v>
      </c>
    </row>
    <row r="173" spans="1:19">
      <c r="A173" s="159"/>
      <c r="B173" s="59"/>
      <c r="C173" s="24">
        <f t="shared" si="34"/>
        <v>1</v>
      </c>
      <c r="D173" s="720"/>
      <c r="E173" s="24">
        <f t="shared" si="35"/>
        <v>-0.05</v>
      </c>
      <c r="F173" s="720"/>
      <c r="G173" s="24">
        <f t="shared" si="36"/>
        <v>0.03</v>
      </c>
      <c r="H173" s="720"/>
      <c r="I173" s="24">
        <f t="shared" si="37"/>
        <v>1</v>
      </c>
      <c r="J173" s="720"/>
      <c r="K173" s="24">
        <f t="shared" si="38"/>
        <v>1</v>
      </c>
      <c r="L173" s="720"/>
      <c r="M173" s="24">
        <f t="shared" si="39"/>
        <v>1</v>
      </c>
      <c r="N173" s="720"/>
      <c r="O173" s="24">
        <f t="shared" si="40"/>
        <v>1</v>
      </c>
      <c r="P173" s="720"/>
      <c r="Q173" s="24">
        <f t="shared" si="41"/>
        <v>0</v>
      </c>
      <c r="R173" s="716">
        <f t="shared" si="42"/>
        <v>0</v>
      </c>
      <c r="S173" s="361">
        <f t="shared" si="33"/>
        <v>0</v>
      </c>
    </row>
    <row r="174" spans="1:19">
      <c r="A174" s="159"/>
      <c r="B174" s="59"/>
      <c r="C174" s="24">
        <f t="shared" si="34"/>
        <v>1</v>
      </c>
      <c r="D174" s="720"/>
      <c r="E174" s="24">
        <f t="shared" si="35"/>
        <v>-0.05</v>
      </c>
      <c r="F174" s="720"/>
      <c r="G174" s="24">
        <f t="shared" si="36"/>
        <v>0.03</v>
      </c>
      <c r="H174" s="720"/>
      <c r="I174" s="24">
        <f t="shared" si="37"/>
        <v>1</v>
      </c>
      <c r="J174" s="720"/>
      <c r="K174" s="24">
        <f t="shared" si="38"/>
        <v>1</v>
      </c>
      <c r="L174" s="720"/>
      <c r="M174" s="24">
        <f t="shared" si="39"/>
        <v>1</v>
      </c>
      <c r="N174" s="720"/>
      <c r="O174" s="24">
        <f t="shared" si="40"/>
        <v>1</v>
      </c>
      <c r="P174" s="720"/>
      <c r="Q174" s="24">
        <f t="shared" si="41"/>
        <v>0</v>
      </c>
      <c r="R174" s="716">
        <f t="shared" si="42"/>
        <v>0</v>
      </c>
      <c r="S174" s="361">
        <f t="shared" si="33"/>
        <v>0</v>
      </c>
    </row>
    <row r="175" spans="1:19">
      <c r="A175" s="159"/>
      <c r="B175" s="59"/>
      <c r="C175" s="24">
        <f t="shared" si="34"/>
        <v>1</v>
      </c>
      <c r="D175" s="720"/>
      <c r="E175" s="24">
        <f t="shared" si="35"/>
        <v>-0.05</v>
      </c>
      <c r="F175" s="720"/>
      <c r="G175" s="24">
        <f t="shared" si="36"/>
        <v>0.03</v>
      </c>
      <c r="H175" s="720"/>
      <c r="I175" s="24">
        <f t="shared" si="37"/>
        <v>1</v>
      </c>
      <c r="J175" s="720"/>
      <c r="K175" s="24">
        <f t="shared" si="38"/>
        <v>1</v>
      </c>
      <c r="L175" s="720"/>
      <c r="M175" s="24">
        <f t="shared" si="39"/>
        <v>1</v>
      </c>
      <c r="N175" s="720"/>
      <c r="O175" s="24">
        <f t="shared" si="40"/>
        <v>1</v>
      </c>
      <c r="P175" s="720"/>
      <c r="Q175" s="24">
        <f t="shared" si="41"/>
        <v>0</v>
      </c>
      <c r="R175" s="716">
        <f t="shared" si="42"/>
        <v>0</v>
      </c>
      <c r="S175" s="361">
        <f t="shared" si="33"/>
        <v>0</v>
      </c>
    </row>
    <row r="176" spans="1:19">
      <c r="A176" s="159"/>
      <c r="B176" s="59"/>
      <c r="C176" s="24">
        <f t="shared" si="34"/>
        <v>1</v>
      </c>
      <c r="D176" s="720"/>
      <c r="E176" s="24">
        <f t="shared" si="35"/>
        <v>-0.05</v>
      </c>
      <c r="F176" s="720"/>
      <c r="G176" s="24">
        <f t="shared" si="36"/>
        <v>0.03</v>
      </c>
      <c r="H176" s="720"/>
      <c r="I176" s="24">
        <f t="shared" si="37"/>
        <v>1</v>
      </c>
      <c r="J176" s="720"/>
      <c r="K176" s="24">
        <f t="shared" si="38"/>
        <v>1</v>
      </c>
      <c r="L176" s="720"/>
      <c r="M176" s="24">
        <f t="shared" si="39"/>
        <v>1</v>
      </c>
      <c r="N176" s="720"/>
      <c r="O176" s="24">
        <f t="shared" si="40"/>
        <v>1</v>
      </c>
      <c r="P176" s="720"/>
      <c r="Q176" s="24">
        <f t="shared" si="41"/>
        <v>0</v>
      </c>
      <c r="R176" s="716">
        <f t="shared" si="42"/>
        <v>0</v>
      </c>
      <c r="S176" s="361">
        <f t="shared" si="33"/>
        <v>0</v>
      </c>
    </row>
    <row r="177" spans="1:19">
      <c r="A177" s="159"/>
      <c r="B177" s="59"/>
      <c r="C177" s="24">
        <f t="shared" si="34"/>
        <v>1</v>
      </c>
      <c r="D177" s="720"/>
      <c r="E177" s="24">
        <f t="shared" si="35"/>
        <v>-0.05</v>
      </c>
      <c r="F177" s="720"/>
      <c r="G177" s="24">
        <f t="shared" si="36"/>
        <v>0.03</v>
      </c>
      <c r="H177" s="720"/>
      <c r="I177" s="24">
        <f t="shared" si="37"/>
        <v>1</v>
      </c>
      <c r="J177" s="720"/>
      <c r="K177" s="24">
        <f t="shared" si="38"/>
        <v>1</v>
      </c>
      <c r="L177" s="720"/>
      <c r="M177" s="24">
        <f t="shared" si="39"/>
        <v>1</v>
      </c>
      <c r="N177" s="720"/>
      <c r="O177" s="24">
        <f t="shared" si="40"/>
        <v>1</v>
      </c>
      <c r="P177" s="720"/>
      <c r="Q177" s="24">
        <f t="shared" si="41"/>
        <v>0</v>
      </c>
      <c r="R177" s="716">
        <f t="shared" si="42"/>
        <v>0</v>
      </c>
      <c r="S177" s="361">
        <f t="shared" si="33"/>
        <v>0</v>
      </c>
    </row>
    <row r="178" spans="1:19">
      <c r="A178" s="159"/>
      <c r="B178" s="59"/>
      <c r="C178" s="24">
        <f t="shared" si="34"/>
        <v>1</v>
      </c>
      <c r="D178" s="720"/>
      <c r="E178" s="24">
        <f t="shared" si="35"/>
        <v>-0.05</v>
      </c>
      <c r="F178" s="720"/>
      <c r="G178" s="24">
        <f t="shared" si="36"/>
        <v>0.03</v>
      </c>
      <c r="H178" s="720"/>
      <c r="I178" s="24">
        <f t="shared" si="37"/>
        <v>1</v>
      </c>
      <c r="J178" s="720"/>
      <c r="K178" s="24">
        <f t="shared" si="38"/>
        <v>1</v>
      </c>
      <c r="L178" s="720"/>
      <c r="M178" s="24">
        <f t="shared" si="39"/>
        <v>1</v>
      </c>
      <c r="N178" s="720"/>
      <c r="O178" s="24">
        <f t="shared" si="40"/>
        <v>1</v>
      </c>
      <c r="P178" s="720"/>
      <c r="Q178" s="24">
        <f t="shared" si="41"/>
        <v>0</v>
      </c>
      <c r="R178" s="716">
        <f t="shared" si="42"/>
        <v>0</v>
      </c>
      <c r="S178" s="361">
        <f t="shared" si="33"/>
        <v>0</v>
      </c>
    </row>
    <row r="179" spans="1:19">
      <c r="A179" s="159"/>
      <c r="B179" s="59"/>
      <c r="C179" s="24">
        <f t="shared" si="34"/>
        <v>1</v>
      </c>
      <c r="D179" s="720"/>
      <c r="E179" s="24">
        <f t="shared" si="35"/>
        <v>-0.05</v>
      </c>
      <c r="F179" s="720"/>
      <c r="G179" s="24">
        <f t="shared" si="36"/>
        <v>0.03</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19">
      <c r="A180" s="159"/>
      <c r="B180" s="59"/>
      <c r="C180" s="24">
        <f t="shared" si="34"/>
        <v>1</v>
      </c>
      <c r="D180" s="720"/>
      <c r="E180" s="24">
        <f t="shared" si="35"/>
        <v>-0.05</v>
      </c>
      <c r="F180" s="720"/>
      <c r="G180" s="24">
        <f t="shared" si="36"/>
        <v>0.03</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19">
      <c r="A181" s="159"/>
      <c r="B181" s="59"/>
      <c r="C181" s="24">
        <f t="shared" si="34"/>
        <v>1</v>
      </c>
      <c r="D181" s="720"/>
      <c r="E181" s="24">
        <f t="shared" si="35"/>
        <v>-0.05</v>
      </c>
      <c r="F181" s="720"/>
      <c r="G181" s="24">
        <f t="shared" si="36"/>
        <v>0.03</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19">
      <c r="A182" s="159"/>
      <c r="B182" s="59"/>
      <c r="C182" s="24">
        <f t="shared" si="34"/>
        <v>1</v>
      </c>
      <c r="D182" s="720"/>
      <c r="E182" s="24">
        <f t="shared" si="35"/>
        <v>-0.05</v>
      </c>
      <c r="F182" s="720"/>
      <c r="G182" s="24">
        <f t="shared" si="36"/>
        <v>0.03</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19">
      <c r="A183" s="159"/>
      <c r="B183" s="59"/>
      <c r="C183" s="24">
        <f t="shared" si="34"/>
        <v>1</v>
      </c>
      <c r="D183" s="720"/>
      <c r="E183" s="24">
        <f t="shared" si="35"/>
        <v>-0.05</v>
      </c>
      <c r="F183" s="720"/>
      <c r="G183" s="24">
        <f t="shared" si="36"/>
        <v>0.03</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19">
      <c r="A184" s="159"/>
      <c r="B184" s="59"/>
      <c r="C184" s="24">
        <f t="shared" si="34"/>
        <v>1</v>
      </c>
      <c r="D184" s="720"/>
      <c r="E184" s="24">
        <f t="shared" si="35"/>
        <v>-0.05</v>
      </c>
      <c r="F184" s="720"/>
      <c r="G184" s="24">
        <f t="shared" si="36"/>
        <v>0.03</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19">
      <c r="A185" s="159"/>
      <c r="B185" s="59"/>
      <c r="C185" s="24">
        <f t="shared" si="34"/>
        <v>1</v>
      </c>
      <c r="D185" s="720"/>
      <c r="E185" s="24">
        <f t="shared" si="35"/>
        <v>-0.05</v>
      </c>
      <c r="F185" s="720"/>
      <c r="G185" s="24">
        <f t="shared" si="36"/>
        <v>0.03</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19">
      <c r="A186" s="159"/>
      <c r="B186" s="59"/>
      <c r="C186" s="24">
        <f t="shared" si="34"/>
        <v>1</v>
      </c>
      <c r="D186" s="720"/>
      <c r="E186" s="24">
        <f t="shared" si="35"/>
        <v>-0.05</v>
      </c>
      <c r="F186" s="720"/>
      <c r="G186" s="24">
        <f t="shared" si="36"/>
        <v>0.03</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19">
      <c r="A187" s="159"/>
      <c r="B187" s="59"/>
      <c r="C187" s="24">
        <f t="shared" si="34"/>
        <v>1</v>
      </c>
      <c r="D187" s="720"/>
      <c r="E187" s="24">
        <f t="shared" si="35"/>
        <v>-0.05</v>
      </c>
      <c r="F187" s="720"/>
      <c r="G187" s="24">
        <f t="shared" si="36"/>
        <v>0.03</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19">
      <c r="A188" s="159"/>
      <c r="B188" s="59"/>
      <c r="C188" s="24">
        <f t="shared" si="34"/>
        <v>1</v>
      </c>
      <c r="D188" s="720"/>
      <c r="E188" s="24">
        <f t="shared" si="35"/>
        <v>-0.05</v>
      </c>
      <c r="F188" s="720"/>
      <c r="G188" s="24">
        <f t="shared" si="36"/>
        <v>0.03</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19">
      <c r="A189" s="159"/>
      <c r="B189" s="59"/>
      <c r="C189" s="24">
        <f t="shared" si="34"/>
        <v>1</v>
      </c>
      <c r="D189" s="720"/>
      <c r="E189" s="24">
        <f t="shared" si="35"/>
        <v>-0.05</v>
      </c>
      <c r="F189" s="720"/>
      <c r="G189" s="24">
        <f t="shared" si="36"/>
        <v>0.03</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19">
      <c r="A190" s="159"/>
      <c r="B190" s="59"/>
      <c r="C190" s="24">
        <f t="shared" si="34"/>
        <v>1</v>
      </c>
      <c r="D190" s="720"/>
      <c r="E190" s="24">
        <f t="shared" si="35"/>
        <v>-0.05</v>
      </c>
      <c r="F190" s="720"/>
      <c r="G190" s="24">
        <f t="shared" si="36"/>
        <v>0.03</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19">
      <c r="A191" s="159"/>
      <c r="B191" s="59"/>
      <c r="C191" s="24">
        <f t="shared" si="34"/>
        <v>1</v>
      </c>
      <c r="D191" s="720"/>
      <c r="E191" s="24">
        <f t="shared" si="35"/>
        <v>-0.05</v>
      </c>
      <c r="F191" s="720"/>
      <c r="G191" s="24">
        <f t="shared" si="36"/>
        <v>0.03</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19">
      <c r="A192" s="159"/>
      <c r="B192" s="59"/>
      <c r="C192" s="24">
        <f t="shared" si="34"/>
        <v>1</v>
      </c>
      <c r="D192" s="720"/>
      <c r="E192" s="24">
        <f t="shared" si="35"/>
        <v>-0.05</v>
      </c>
      <c r="F192" s="720"/>
      <c r="G192" s="24">
        <f t="shared" si="36"/>
        <v>0.03</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159"/>
      <c r="B193" s="59"/>
      <c r="C193" s="24">
        <f t="shared" si="34"/>
        <v>1</v>
      </c>
      <c r="D193" s="720"/>
      <c r="E193" s="24">
        <f t="shared" si="35"/>
        <v>-0.05</v>
      </c>
      <c r="F193" s="720"/>
      <c r="G193" s="24">
        <f t="shared" si="36"/>
        <v>0.03</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159"/>
      <c r="B194" s="59"/>
      <c r="C194" s="24">
        <f t="shared" si="34"/>
        <v>1</v>
      </c>
      <c r="D194" s="720"/>
      <c r="E194" s="24">
        <f t="shared" si="35"/>
        <v>-0.05</v>
      </c>
      <c r="F194" s="720"/>
      <c r="G194" s="24">
        <f t="shared" si="36"/>
        <v>0.03</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159"/>
      <c r="B195" s="59"/>
      <c r="C195" s="24">
        <f t="shared" si="34"/>
        <v>1</v>
      </c>
      <c r="D195" s="720"/>
      <c r="E195" s="24">
        <f t="shared" si="35"/>
        <v>-0.05</v>
      </c>
      <c r="F195" s="720"/>
      <c r="G195" s="24">
        <f t="shared" si="36"/>
        <v>0.03</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159"/>
      <c r="B196" s="59"/>
      <c r="C196" s="24">
        <f t="shared" si="34"/>
        <v>1</v>
      </c>
      <c r="D196" s="720"/>
      <c r="E196" s="24">
        <f t="shared" si="35"/>
        <v>-0.05</v>
      </c>
      <c r="F196" s="720"/>
      <c r="G196" s="24">
        <f t="shared" si="36"/>
        <v>0.03</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159"/>
      <c r="B197" s="59"/>
      <c r="C197" s="24">
        <f t="shared" si="34"/>
        <v>1</v>
      </c>
      <c r="D197" s="720"/>
      <c r="E197" s="24">
        <f t="shared" si="35"/>
        <v>-0.05</v>
      </c>
      <c r="F197" s="720"/>
      <c r="G197" s="24">
        <f t="shared" si="36"/>
        <v>0.03</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159"/>
      <c r="B198" s="59"/>
      <c r="C198" s="24">
        <f t="shared" si="34"/>
        <v>1</v>
      </c>
      <c r="D198" s="720"/>
      <c r="E198" s="24">
        <f t="shared" si="35"/>
        <v>-0.05</v>
      </c>
      <c r="F198" s="720"/>
      <c r="G198" s="24">
        <f t="shared" si="36"/>
        <v>0.03</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159"/>
      <c r="B199" s="59"/>
      <c r="C199" s="24">
        <f t="shared" si="34"/>
        <v>1</v>
      </c>
      <c r="D199" s="720"/>
      <c r="E199" s="24">
        <f t="shared" si="35"/>
        <v>-0.05</v>
      </c>
      <c r="F199" s="720"/>
      <c r="G199" s="24">
        <f t="shared" si="36"/>
        <v>0.03</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159"/>
      <c r="B200" s="59"/>
      <c r="C200" s="24">
        <f t="shared" si="34"/>
        <v>1</v>
      </c>
      <c r="D200" s="720"/>
      <c r="E200" s="24">
        <f t="shared" si="35"/>
        <v>-0.05</v>
      </c>
      <c r="F200" s="720"/>
      <c r="G200" s="24">
        <f t="shared" si="36"/>
        <v>0.03</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159"/>
      <c r="B201" s="59"/>
      <c r="C201" s="24">
        <f t="shared" si="34"/>
        <v>1</v>
      </c>
      <c r="D201" s="720"/>
      <c r="E201" s="24">
        <f t="shared" si="35"/>
        <v>-0.05</v>
      </c>
      <c r="F201" s="720"/>
      <c r="G201" s="24">
        <f t="shared" si="36"/>
        <v>0.03</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159"/>
      <c r="B202" s="59"/>
      <c r="C202" s="24">
        <f t="shared" si="34"/>
        <v>1</v>
      </c>
      <c r="D202" s="720"/>
      <c r="E202" s="24">
        <f t="shared" si="35"/>
        <v>-0.05</v>
      </c>
      <c r="F202" s="720"/>
      <c r="G202" s="24">
        <f t="shared" si="36"/>
        <v>0.03</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159"/>
      <c r="B203" s="59"/>
      <c r="C203" s="24">
        <f t="shared" si="34"/>
        <v>1</v>
      </c>
      <c r="D203" s="720"/>
      <c r="E203" s="24">
        <f t="shared" si="35"/>
        <v>-0.05</v>
      </c>
      <c r="F203" s="720"/>
      <c r="G203" s="24">
        <f t="shared" si="36"/>
        <v>0.03</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159"/>
      <c r="B204" s="59"/>
      <c r="C204" s="24">
        <f t="shared" si="34"/>
        <v>1</v>
      </c>
      <c r="D204" s="720"/>
      <c r="E204" s="24">
        <f t="shared" si="35"/>
        <v>-0.05</v>
      </c>
      <c r="F204" s="720"/>
      <c r="G204" s="24">
        <f t="shared" si="36"/>
        <v>0.03</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159"/>
      <c r="B205" s="59"/>
      <c r="C205" s="24">
        <f t="shared" si="34"/>
        <v>1</v>
      </c>
      <c r="D205" s="720"/>
      <c r="E205" s="24">
        <f t="shared" si="35"/>
        <v>-0.05</v>
      </c>
      <c r="F205" s="720"/>
      <c r="G205" s="24">
        <f t="shared" si="36"/>
        <v>0.03</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159"/>
      <c r="B206" s="59"/>
      <c r="C206" s="24">
        <f t="shared" si="34"/>
        <v>1</v>
      </c>
      <c r="D206" s="720"/>
      <c r="E206" s="24">
        <f t="shared" si="35"/>
        <v>-0.05</v>
      </c>
      <c r="F206" s="720"/>
      <c r="G206" s="24">
        <f t="shared" si="36"/>
        <v>0.03</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159"/>
      <c r="B207" s="59"/>
      <c r="C207" s="24">
        <f t="shared" si="34"/>
        <v>1</v>
      </c>
      <c r="D207" s="720"/>
      <c r="E207" s="24">
        <f t="shared" si="35"/>
        <v>-0.05</v>
      </c>
      <c r="F207" s="720"/>
      <c r="G207" s="24">
        <f t="shared" si="36"/>
        <v>0.03</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159"/>
      <c r="B208" s="59"/>
      <c r="C208" s="24">
        <f t="shared" si="34"/>
        <v>1</v>
      </c>
      <c r="D208" s="720"/>
      <c r="E208" s="24">
        <f t="shared" si="35"/>
        <v>-0.05</v>
      </c>
      <c r="F208" s="720"/>
      <c r="G208" s="24">
        <f t="shared" si="36"/>
        <v>0.03</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159"/>
      <c r="B209" s="59"/>
      <c r="C209" s="24">
        <f t="shared" si="34"/>
        <v>1</v>
      </c>
      <c r="D209" s="720"/>
      <c r="E209" s="24">
        <f t="shared" si="35"/>
        <v>-0.05</v>
      </c>
      <c r="F209" s="720"/>
      <c r="G209" s="24">
        <f t="shared" si="36"/>
        <v>0.03</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159"/>
      <c r="B210" s="59"/>
      <c r="C210" s="24">
        <f t="shared" si="34"/>
        <v>1</v>
      </c>
      <c r="D210" s="720"/>
      <c r="E210" s="24">
        <f t="shared" si="35"/>
        <v>-0.05</v>
      </c>
      <c r="F210" s="720"/>
      <c r="G210" s="24">
        <f t="shared" si="36"/>
        <v>0.03</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159"/>
      <c r="B211" s="59"/>
      <c r="C211" s="24">
        <f t="shared" si="34"/>
        <v>1</v>
      </c>
      <c r="D211" s="720"/>
      <c r="E211" s="24">
        <f t="shared" si="35"/>
        <v>-0.05</v>
      </c>
      <c r="F211" s="720"/>
      <c r="G211" s="24">
        <f t="shared" si="36"/>
        <v>0.03</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159"/>
      <c r="B212" s="59"/>
      <c r="C212" s="24">
        <f t="shared" si="34"/>
        <v>1</v>
      </c>
      <c r="D212" s="720"/>
      <c r="E212" s="24">
        <f t="shared" si="35"/>
        <v>-0.05</v>
      </c>
      <c r="F212" s="720"/>
      <c r="G212" s="24">
        <f t="shared" si="36"/>
        <v>0.03</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159"/>
      <c r="B213" s="59"/>
      <c r="C213" s="24">
        <f t="shared" si="34"/>
        <v>1</v>
      </c>
      <c r="D213" s="720"/>
      <c r="E213" s="24">
        <f t="shared" si="35"/>
        <v>-0.05</v>
      </c>
      <c r="F213" s="720"/>
      <c r="G213" s="24">
        <f t="shared" si="36"/>
        <v>0.03</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159"/>
      <c r="B214" s="59"/>
      <c r="C214" s="24">
        <f t="shared" si="34"/>
        <v>1</v>
      </c>
      <c r="D214" s="720"/>
      <c r="E214" s="24">
        <f t="shared" si="35"/>
        <v>-0.05</v>
      </c>
      <c r="F214" s="720"/>
      <c r="G214" s="24">
        <f t="shared" si="36"/>
        <v>0.03</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159"/>
      <c r="B215" s="59"/>
      <c r="C215" s="24">
        <f t="shared" si="34"/>
        <v>1</v>
      </c>
      <c r="D215" s="720"/>
      <c r="E215" s="24">
        <f t="shared" si="35"/>
        <v>-0.05</v>
      </c>
      <c r="F215" s="720"/>
      <c r="G215" s="24">
        <f t="shared" si="36"/>
        <v>0.03</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159"/>
      <c r="B216" s="59"/>
      <c r="C216" s="24">
        <f t="shared" si="34"/>
        <v>1</v>
      </c>
      <c r="D216" s="720"/>
      <c r="E216" s="24">
        <f t="shared" si="35"/>
        <v>-0.05</v>
      </c>
      <c r="F216" s="720"/>
      <c r="G216" s="24">
        <f t="shared" si="36"/>
        <v>0.03</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159"/>
      <c r="B217" s="59"/>
      <c r="C217" s="24">
        <f t="shared" si="34"/>
        <v>1</v>
      </c>
      <c r="D217" s="720"/>
      <c r="E217" s="24">
        <f t="shared" si="35"/>
        <v>-0.05</v>
      </c>
      <c r="F217" s="720"/>
      <c r="G217" s="24">
        <f t="shared" si="36"/>
        <v>0.03</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-0.05</v>
      </c>
      <c r="F218" s="720"/>
      <c r="G218" s="24">
        <f t="shared" ref="G218:G281" si="46">(SUMIF($7:$7,F218,$8:$8)-SUMIF($7:$7,$F$24,$8:$8)+100)/100</f>
        <v>0.03</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159"/>
      <c r="B219" s="59"/>
      <c r="C219" s="24">
        <f t="shared" si="44"/>
        <v>1</v>
      </c>
      <c r="D219" s="720"/>
      <c r="E219" s="24">
        <f t="shared" si="45"/>
        <v>-0.05</v>
      </c>
      <c r="F219" s="720"/>
      <c r="G219" s="24">
        <f t="shared" si="46"/>
        <v>0.03</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159"/>
      <c r="B220" s="59"/>
      <c r="C220" s="24">
        <f t="shared" si="44"/>
        <v>1</v>
      </c>
      <c r="D220" s="720"/>
      <c r="E220" s="24">
        <f t="shared" si="45"/>
        <v>-0.05</v>
      </c>
      <c r="F220" s="720"/>
      <c r="G220" s="24">
        <f t="shared" si="46"/>
        <v>0.03</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159"/>
      <c r="B221" s="59"/>
      <c r="C221" s="24">
        <f t="shared" si="44"/>
        <v>1</v>
      </c>
      <c r="D221" s="720"/>
      <c r="E221" s="24">
        <f t="shared" si="45"/>
        <v>-0.05</v>
      </c>
      <c r="F221" s="720"/>
      <c r="G221" s="24">
        <f t="shared" si="46"/>
        <v>0.03</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159"/>
      <c r="B222" s="59"/>
      <c r="C222" s="24">
        <f t="shared" si="44"/>
        <v>1</v>
      </c>
      <c r="D222" s="720"/>
      <c r="E222" s="24">
        <f t="shared" si="45"/>
        <v>-0.05</v>
      </c>
      <c r="F222" s="720"/>
      <c r="G222" s="24">
        <f t="shared" si="46"/>
        <v>0.03</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159"/>
      <c r="B223" s="59"/>
      <c r="C223" s="24">
        <f t="shared" si="44"/>
        <v>1</v>
      </c>
      <c r="D223" s="720"/>
      <c r="E223" s="24">
        <f t="shared" si="45"/>
        <v>-0.05</v>
      </c>
      <c r="F223" s="720"/>
      <c r="G223" s="24">
        <f t="shared" si="46"/>
        <v>0.03</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159"/>
      <c r="B224" s="59"/>
      <c r="C224" s="24">
        <f t="shared" si="44"/>
        <v>1</v>
      </c>
      <c r="D224" s="720"/>
      <c r="E224" s="24">
        <f t="shared" si="45"/>
        <v>-0.05</v>
      </c>
      <c r="F224" s="720"/>
      <c r="G224" s="24">
        <f t="shared" si="46"/>
        <v>0.03</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159"/>
      <c r="B225" s="59"/>
      <c r="C225" s="24">
        <f t="shared" si="44"/>
        <v>1</v>
      </c>
      <c r="D225" s="720"/>
      <c r="E225" s="24">
        <f t="shared" si="45"/>
        <v>-0.05</v>
      </c>
      <c r="F225" s="720"/>
      <c r="G225" s="24">
        <f t="shared" si="46"/>
        <v>0.03</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159"/>
      <c r="B226" s="59"/>
      <c r="C226" s="24">
        <f t="shared" si="44"/>
        <v>1</v>
      </c>
      <c r="D226" s="720"/>
      <c r="E226" s="24">
        <f t="shared" si="45"/>
        <v>-0.05</v>
      </c>
      <c r="F226" s="720"/>
      <c r="G226" s="24">
        <f t="shared" si="46"/>
        <v>0.03</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159"/>
      <c r="B227" s="59"/>
      <c r="C227" s="24">
        <f t="shared" si="44"/>
        <v>1</v>
      </c>
      <c r="D227" s="720"/>
      <c r="E227" s="24">
        <f t="shared" si="45"/>
        <v>-0.05</v>
      </c>
      <c r="F227" s="720"/>
      <c r="G227" s="24">
        <f t="shared" si="46"/>
        <v>0.03</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159"/>
      <c r="B228" s="59"/>
      <c r="C228" s="24">
        <f t="shared" si="44"/>
        <v>1</v>
      </c>
      <c r="D228" s="720"/>
      <c r="E228" s="24">
        <f t="shared" si="45"/>
        <v>-0.05</v>
      </c>
      <c r="F228" s="720"/>
      <c r="G228" s="24">
        <f t="shared" si="46"/>
        <v>0.03</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159"/>
      <c r="B229" s="59"/>
      <c r="C229" s="24">
        <f t="shared" si="44"/>
        <v>1</v>
      </c>
      <c r="D229" s="720"/>
      <c r="E229" s="24">
        <f t="shared" si="45"/>
        <v>-0.05</v>
      </c>
      <c r="F229" s="720"/>
      <c r="G229" s="24">
        <f t="shared" si="46"/>
        <v>0.03</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159"/>
      <c r="B230" s="59"/>
      <c r="C230" s="24">
        <f t="shared" si="44"/>
        <v>1</v>
      </c>
      <c r="D230" s="720"/>
      <c r="E230" s="24">
        <f t="shared" si="45"/>
        <v>-0.05</v>
      </c>
      <c r="F230" s="720"/>
      <c r="G230" s="24">
        <f t="shared" si="46"/>
        <v>0.03</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159"/>
      <c r="B231" s="59"/>
      <c r="C231" s="24">
        <f t="shared" si="44"/>
        <v>1</v>
      </c>
      <c r="D231" s="720"/>
      <c r="E231" s="24">
        <f t="shared" si="45"/>
        <v>-0.05</v>
      </c>
      <c r="F231" s="720"/>
      <c r="G231" s="24">
        <f t="shared" si="46"/>
        <v>0.03</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159"/>
      <c r="B232" s="59"/>
      <c r="C232" s="24">
        <f t="shared" si="44"/>
        <v>1</v>
      </c>
      <c r="D232" s="720"/>
      <c r="E232" s="24">
        <f t="shared" si="45"/>
        <v>-0.05</v>
      </c>
      <c r="F232" s="720"/>
      <c r="G232" s="24">
        <f t="shared" si="46"/>
        <v>0.03</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159"/>
      <c r="B233" s="59"/>
      <c r="C233" s="24">
        <f t="shared" si="44"/>
        <v>1</v>
      </c>
      <c r="D233" s="720"/>
      <c r="E233" s="24">
        <f t="shared" si="45"/>
        <v>-0.05</v>
      </c>
      <c r="F233" s="720"/>
      <c r="G233" s="24">
        <f t="shared" si="46"/>
        <v>0.03</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159"/>
      <c r="B234" s="59"/>
      <c r="C234" s="24">
        <f t="shared" si="44"/>
        <v>1</v>
      </c>
      <c r="D234" s="720"/>
      <c r="E234" s="24">
        <f t="shared" si="45"/>
        <v>-0.05</v>
      </c>
      <c r="F234" s="720"/>
      <c r="G234" s="24">
        <f t="shared" si="46"/>
        <v>0.03</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159"/>
      <c r="B235" s="59"/>
      <c r="C235" s="24">
        <f t="shared" si="44"/>
        <v>1</v>
      </c>
      <c r="D235" s="720"/>
      <c r="E235" s="24">
        <f t="shared" si="45"/>
        <v>-0.05</v>
      </c>
      <c r="F235" s="720"/>
      <c r="G235" s="24">
        <f t="shared" si="46"/>
        <v>0.03</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159"/>
      <c r="B236" s="59"/>
      <c r="C236" s="24">
        <f t="shared" si="44"/>
        <v>1</v>
      </c>
      <c r="D236" s="720"/>
      <c r="E236" s="24">
        <f t="shared" si="45"/>
        <v>-0.05</v>
      </c>
      <c r="F236" s="720"/>
      <c r="G236" s="24">
        <f t="shared" si="46"/>
        <v>0.03</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159"/>
      <c r="B237" s="59"/>
      <c r="C237" s="24">
        <f t="shared" si="44"/>
        <v>1</v>
      </c>
      <c r="D237" s="720"/>
      <c r="E237" s="24">
        <f t="shared" si="45"/>
        <v>-0.05</v>
      </c>
      <c r="F237" s="720"/>
      <c r="G237" s="24">
        <f t="shared" si="46"/>
        <v>0.03</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159"/>
      <c r="B238" s="59"/>
      <c r="C238" s="24">
        <f t="shared" si="44"/>
        <v>1</v>
      </c>
      <c r="D238" s="720"/>
      <c r="E238" s="24">
        <f t="shared" si="45"/>
        <v>-0.05</v>
      </c>
      <c r="F238" s="720"/>
      <c r="G238" s="24">
        <f t="shared" si="46"/>
        <v>0.03</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159"/>
      <c r="B239" s="59"/>
      <c r="C239" s="24">
        <f t="shared" si="44"/>
        <v>1</v>
      </c>
      <c r="D239" s="720"/>
      <c r="E239" s="24">
        <f t="shared" si="45"/>
        <v>-0.05</v>
      </c>
      <c r="F239" s="720"/>
      <c r="G239" s="24">
        <f t="shared" si="46"/>
        <v>0.03</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159"/>
      <c r="B240" s="59"/>
      <c r="C240" s="24">
        <f t="shared" si="44"/>
        <v>1</v>
      </c>
      <c r="D240" s="720"/>
      <c r="E240" s="24">
        <f t="shared" si="45"/>
        <v>-0.05</v>
      </c>
      <c r="F240" s="720"/>
      <c r="G240" s="24">
        <f t="shared" si="46"/>
        <v>0.03</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159"/>
      <c r="B241" s="59"/>
      <c r="C241" s="24">
        <f t="shared" si="44"/>
        <v>1</v>
      </c>
      <c r="D241" s="720"/>
      <c r="E241" s="24">
        <f t="shared" si="45"/>
        <v>-0.05</v>
      </c>
      <c r="F241" s="720"/>
      <c r="G241" s="24">
        <f t="shared" si="46"/>
        <v>0.03</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159"/>
      <c r="B242" s="59"/>
      <c r="C242" s="24">
        <f t="shared" si="44"/>
        <v>1</v>
      </c>
      <c r="D242" s="720"/>
      <c r="E242" s="24">
        <f t="shared" si="45"/>
        <v>-0.05</v>
      </c>
      <c r="F242" s="720"/>
      <c r="G242" s="24">
        <f t="shared" si="46"/>
        <v>0.03</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159"/>
      <c r="B243" s="59"/>
      <c r="C243" s="24">
        <f t="shared" si="44"/>
        <v>1</v>
      </c>
      <c r="D243" s="720"/>
      <c r="E243" s="24">
        <f t="shared" si="45"/>
        <v>-0.05</v>
      </c>
      <c r="F243" s="720"/>
      <c r="G243" s="24">
        <f t="shared" si="46"/>
        <v>0.03</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159"/>
      <c r="B244" s="59"/>
      <c r="C244" s="24">
        <f t="shared" si="44"/>
        <v>1</v>
      </c>
      <c r="D244" s="720"/>
      <c r="E244" s="24">
        <f t="shared" si="45"/>
        <v>-0.05</v>
      </c>
      <c r="F244" s="720"/>
      <c r="G244" s="24">
        <f t="shared" si="46"/>
        <v>0.03</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159"/>
      <c r="B245" s="59"/>
      <c r="C245" s="24">
        <f t="shared" si="44"/>
        <v>1</v>
      </c>
      <c r="D245" s="720"/>
      <c r="E245" s="24">
        <f t="shared" si="45"/>
        <v>-0.05</v>
      </c>
      <c r="F245" s="720"/>
      <c r="G245" s="24">
        <f t="shared" si="46"/>
        <v>0.03</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159"/>
      <c r="B246" s="59"/>
      <c r="C246" s="24">
        <f t="shared" si="44"/>
        <v>1</v>
      </c>
      <c r="D246" s="720"/>
      <c r="E246" s="24">
        <f t="shared" si="45"/>
        <v>-0.05</v>
      </c>
      <c r="F246" s="720"/>
      <c r="G246" s="24">
        <f t="shared" si="46"/>
        <v>0.03</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159"/>
      <c r="B247" s="59"/>
      <c r="C247" s="24">
        <f t="shared" si="44"/>
        <v>1</v>
      </c>
      <c r="D247" s="720"/>
      <c r="E247" s="24">
        <f t="shared" si="45"/>
        <v>-0.05</v>
      </c>
      <c r="F247" s="720"/>
      <c r="G247" s="24">
        <f t="shared" si="46"/>
        <v>0.03</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159"/>
      <c r="B248" s="59"/>
      <c r="C248" s="24">
        <f t="shared" si="44"/>
        <v>1</v>
      </c>
      <c r="D248" s="720"/>
      <c r="E248" s="24">
        <f t="shared" si="45"/>
        <v>-0.05</v>
      </c>
      <c r="F248" s="720"/>
      <c r="G248" s="24">
        <f t="shared" si="46"/>
        <v>0.03</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159"/>
      <c r="B249" s="59"/>
      <c r="C249" s="24">
        <f t="shared" si="44"/>
        <v>1</v>
      </c>
      <c r="D249" s="720"/>
      <c r="E249" s="24">
        <f t="shared" si="45"/>
        <v>-0.05</v>
      </c>
      <c r="F249" s="720"/>
      <c r="G249" s="24">
        <f t="shared" si="46"/>
        <v>0.03</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159"/>
      <c r="B250" s="59"/>
      <c r="C250" s="24">
        <f t="shared" si="44"/>
        <v>1</v>
      </c>
      <c r="D250" s="720"/>
      <c r="E250" s="24">
        <f t="shared" si="45"/>
        <v>-0.05</v>
      </c>
      <c r="F250" s="720"/>
      <c r="G250" s="24">
        <f t="shared" si="46"/>
        <v>0.03</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159"/>
      <c r="B251" s="59"/>
      <c r="C251" s="24">
        <f t="shared" si="44"/>
        <v>1</v>
      </c>
      <c r="D251" s="720"/>
      <c r="E251" s="24">
        <f t="shared" si="45"/>
        <v>-0.05</v>
      </c>
      <c r="F251" s="720"/>
      <c r="G251" s="24">
        <f t="shared" si="46"/>
        <v>0.03</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159"/>
      <c r="B252" s="59"/>
      <c r="C252" s="24">
        <f t="shared" si="44"/>
        <v>1</v>
      </c>
      <c r="D252" s="720"/>
      <c r="E252" s="24">
        <f t="shared" si="45"/>
        <v>-0.05</v>
      </c>
      <c r="F252" s="720"/>
      <c r="G252" s="24">
        <f t="shared" si="46"/>
        <v>0.03</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159"/>
      <c r="B253" s="59"/>
      <c r="C253" s="24">
        <f t="shared" si="44"/>
        <v>1</v>
      </c>
      <c r="D253" s="720"/>
      <c r="E253" s="24">
        <f t="shared" si="45"/>
        <v>-0.05</v>
      </c>
      <c r="F253" s="720"/>
      <c r="G253" s="24">
        <f t="shared" si="46"/>
        <v>0.03</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159"/>
      <c r="B254" s="59"/>
      <c r="C254" s="24">
        <f t="shared" si="44"/>
        <v>1</v>
      </c>
      <c r="D254" s="720"/>
      <c r="E254" s="24">
        <f t="shared" si="45"/>
        <v>-0.05</v>
      </c>
      <c r="F254" s="720"/>
      <c r="G254" s="24">
        <f t="shared" si="46"/>
        <v>0.03</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159"/>
      <c r="B255" s="59"/>
      <c r="C255" s="24">
        <f t="shared" si="44"/>
        <v>1</v>
      </c>
      <c r="D255" s="720"/>
      <c r="E255" s="24">
        <f t="shared" si="45"/>
        <v>-0.05</v>
      </c>
      <c r="F255" s="720"/>
      <c r="G255" s="24">
        <f t="shared" si="46"/>
        <v>0.03</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159"/>
      <c r="B256" s="59"/>
      <c r="C256" s="24">
        <f t="shared" si="44"/>
        <v>1</v>
      </c>
      <c r="D256" s="720"/>
      <c r="E256" s="24">
        <f t="shared" si="45"/>
        <v>-0.05</v>
      </c>
      <c r="F256" s="720"/>
      <c r="G256" s="24">
        <f t="shared" si="46"/>
        <v>0.03</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159"/>
      <c r="B257" s="59"/>
      <c r="C257" s="24">
        <f t="shared" si="44"/>
        <v>1</v>
      </c>
      <c r="D257" s="720"/>
      <c r="E257" s="24">
        <f t="shared" si="45"/>
        <v>-0.05</v>
      </c>
      <c r="F257" s="720"/>
      <c r="G257" s="24">
        <f t="shared" si="46"/>
        <v>0.03</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159"/>
      <c r="B258" s="59"/>
      <c r="C258" s="24">
        <f t="shared" si="44"/>
        <v>1</v>
      </c>
      <c r="D258" s="720"/>
      <c r="E258" s="24">
        <f t="shared" si="45"/>
        <v>-0.05</v>
      </c>
      <c r="F258" s="720"/>
      <c r="G258" s="24">
        <f t="shared" si="46"/>
        <v>0.03</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159"/>
      <c r="B259" s="59"/>
      <c r="C259" s="24">
        <f t="shared" si="44"/>
        <v>1</v>
      </c>
      <c r="D259" s="720"/>
      <c r="E259" s="24">
        <f t="shared" si="45"/>
        <v>-0.05</v>
      </c>
      <c r="F259" s="720"/>
      <c r="G259" s="24">
        <f t="shared" si="46"/>
        <v>0.03</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159"/>
      <c r="B260" s="59"/>
      <c r="C260" s="24">
        <f t="shared" si="44"/>
        <v>1</v>
      </c>
      <c r="D260" s="720"/>
      <c r="E260" s="24">
        <f t="shared" si="45"/>
        <v>-0.05</v>
      </c>
      <c r="F260" s="720"/>
      <c r="G260" s="24">
        <f t="shared" si="46"/>
        <v>0.03</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159"/>
      <c r="B261" s="59"/>
      <c r="C261" s="24">
        <f t="shared" si="44"/>
        <v>1</v>
      </c>
      <c r="D261" s="720"/>
      <c r="E261" s="24">
        <f t="shared" si="45"/>
        <v>-0.05</v>
      </c>
      <c r="F261" s="720"/>
      <c r="G261" s="24">
        <f t="shared" si="46"/>
        <v>0.03</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159"/>
      <c r="B262" s="59"/>
      <c r="C262" s="24">
        <f t="shared" si="44"/>
        <v>1</v>
      </c>
      <c r="D262" s="720"/>
      <c r="E262" s="24">
        <f t="shared" si="45"/>
        <v>-0.05</v>
      </c>
      <c r="F262" s="720"/>
      <c r="G262" s="24">
        <f t="shared" si="46"/>
        <v>0.03</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159"/>
      <c r="B263" s="59"/>
      <c r="C263" s="24">
        <f t="shared" si="44"/>
        <v>1</v>
      </c>
      <c r="D263" s="720"/>
      <c r="E263" s="24">
        <f t="shared" si="45"/>
        <v>-0.05</v>
      </c>
      <c r="F263" s="720"/>
      <c r="G263" s="24">
        <f t="shared" si="46"/>
        <v>0.03</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159"/>
      <c r="B264" s="59"/>
      <c r="C264" s="24">
        <f t="shared" si="44"/>
        <v>1</v>
      </c>
      <c r="D264" s="720"/>
      <c r="E264" s="24">
        <f t="shared" si="45"/>
        <v>-0.05</v>
      </c>
      <c r="F264" s="720"/>
      <c r="G264" s="24">
        <f t="shared" si="46"/>
        <v>0.03</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159"/>
      <c r="B265" s="59"/>
      <c r="C265" s="24">
        <f t="shared" si="44"/>
        <v>1</v>
      </c>
      <c r="D265" s="720"/>
      <c r="E265" s="24">
        <f t="shared" si="45"/>
        <v>-0.05</v>
      </c>
      <c r="F265" s="720"/>
      <c r="G265" s="24">
        <f t="shared" si="46"/>
        <v>0.03</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159"/>
      <c r="B266" s="59"/>
      <c r="C266" s="24">
        <f t="shared" si="44"/>
        <v>1</v>
      </c>
      <c r="D266" s="720"/>
      <c r="E266" s="24">
        <f t="shared" si="45"/>
        <v>-0.05</v>
      </c>
      <c r="F266" s="720"/>
      <c r="G266" s="24">
        <f t="shared" si="46"/>
        <v>0.03</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159"/>
      <c r="B267" s="59"/>
      <c r="C267" s="24">
        <f t="shared" si="44"/>
        <v>1</v>
      </c>
      <c r="D267" s="720"/>
      <c r="E267" s="24">
        <f t="shared" si="45"/>
        <v>-0.05</v>
      </c>
      <c r="F267" s="720"/>
      <c r="G267" s="24">
        <f t="shared" si="46"/>
        <v>0.03</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159"/>
      <c r="B268" s="59"/>
      <c r="C268" s="24">
        <f t="shared" si="44"/>
        <v>1</v>
      </c>
      <c r="D268" s="720"/>
      <c r="E268" s="24">
        <f t="shared" si="45"/>
        <v>-0.05</v>
      </c>
      <c r="F268" s="720"/>
      <c r="G268" s="24">
        <f t="shared" si="46"/>
        <v>0.03</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159"/>
      <c r="B269" s="59"/>
      <c r="C269" s="24">
        <f t="shared" si="44"/>
        <v>1</v>
      </c>
      <c r="D269" s="720"/>
      <c r="E269" s="24">
        <f t="shared" si="45"/>
        <v>-0.05</v>
      </c>
      <c r="F269" s="720"/>
      <c r="G269" s="24">
        <f t="shared" si="46"/>
        <v>0.03</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159"/>
      <c r="B270" s="59"/>
      <c r="C270" s="24">
        <f t="shared" si="44"/>
        <v>1</v>
      </c>
      <c r="D270" s="720"/>
      <c r="E270" s="24">
        <f t="shared" si="45"/>
        <v>-0.05</v>
      </c>
      <c r="F270" s="720"/>
      <c r="G270" s="24">
        <f t="shared" si="46"/>
        <v>0.03</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159"/>
      <c r="B271" s="59"/>
      <c r="C271" s="24">
        <f t="shared" si="44"/>
        <v>1</v>
      </c>
      <c r="D271" s="720"/>
      <c r="E271" s="24">
        <f t="shared" si="45"/>
        <v>-0.05</v>
      </c>
      <c r="F271" s="720"/>
      <c r="G271" s="24">
        <f t="shared" si="46"/>
        <v>0.03</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159"/>
      <c r="B272" s="59"/>
      <c r="C272" s="24">
        <f t="shared" si="44"/>
        <v>1</v>
      </c>
      <c r="D272" s="720"/>
      <c r="E272" s="24">
        <f t="shared" si="45"/>
        <v>-0.05</v>
      </c>
      <c r="F272" s="720"/>
      <c r="G272" s="24">
        <f t="shared" si="46"/>
        <v>0.03</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159"/>
      <c r="B273" s="59"/>
      <c r="C273" s="24">
        <f t="shared" si="44"/>
        <v>1</v>
      </c>
      <c r="D273" s="720"/>
      <c r="E273" s="24">
        <f t="shared" si="45"/>
        <v>-0.05</v>
      </c>
      <c r="F273" s="720"/>
      <c r="G273" s="24">
        <f t="shared" si="46"/>
        <v>0.03</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159"/>
      <c r="B274" s="59"/>
      <c r="C274" s="24">
        <f t="shared" si="44"/>
        <v>1</v>
      </c>
      <c r="D274" s="720"/>
      <c r="E274" s="24">
        <f t="shared" si="45"/>
        <v>-0.05</v>
      </c>
      <c r="F274" s="720"/>
      <c r="G274" s="24">
        <f t="shared" si="46"/>
        <v>0.03</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159"/>
      <c r="B275" s="59"/>
      <c r="C275" s="24">
        <f t="shared" si="44"/>
        <v>1</v>
      </c>
      <c r="D275" s="720"/>
      <c r="E275" s="24">
        <f t="shared" si="45"/>
        <v>-0.05</v>
      </c>
      <c r="F275" s="720"/>
      <c r="G275" s="24">
        <f t="shared" si="46"/>
        <v>0.03</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159"/>
      <c r="B276" s="59"/>
      <c r="C276" s="24">
        <f t="shared" si="44"/>
        <v>1</v>
      </c>
      <c r="D276" s="720"/>
      <c r="E276" s="24">
        <f t="shared" si="45"/>
        <v>-0.05</v>
      </c>
      <c r="F276" s="720"/>
      <c r="G276" s="24">
        <f t="shared" si="46"/>
        <v>0.03</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159"/>
      <c r="B277" s="59"/>
      <c r="C277" s="24">
        <f t="shared" si="44"/>
        <v>1</v>
      </c>
      <c r="D277" s="720"/>
      <c r="E277" s="24">
        <f t="shared" si="45"/>
        <v>-0.05</v>
      </c>
      <c r="F277" s="720"/>
      <c r="G277" s="24">
        <f t="shared" si="46"/>
        <v>0.03</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159"/>
      <c r="B278" s="59"/>
      <c r="C278" s="24">
        <f t="shared" si="44"/>
        <v>1</v>
      </c>
      <c r="D278" s="720"/>
      <c r="E278" s="24">
        <f t="shared" si="45"/>
        <v>-0.05</v>
      </c>
      <c r="F278" s="720"/>
      <c r="G278" s="24">
        <f t="shared" si="46"/>
        <v>0.03</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159"/>
      <c r="B279" s="59"/>
      <c r="C279" s="24">
        <f t="shared" si="44"/>
        <v>1</v>
      </c>
      <c r="D279" s="720"/>
      <c r="E279" s="24">
        <f t="shared" si="45"/>
        <v>-0.05</v>
      </c>
      <c r="F279" s="720"/>
      <c r="G279" s="24">
        <f t="shared" si="46"/>
        <v>0.03</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159"/>
      <c r="B280" s="59"/>
      <c r="C280" s="24">
        <f t="shared" si="44"/>
        <v>1</v>
      </c>
      <c r="D280" s="720"/>
      <c r="E280" s="24">
        <f t="shared" si="45"/>
        <v>-0.05</v>
      </c>
      <c r="F280" s="720"/>
      <c r="G280" s="24">
        <f t="shared" si="46"/>
        <v>0.03</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159"/>
      <c r="B281" s="59"/>
      <c r="C281" s="24">
        <f t="shared" si="44"/>
        <v>1</v>
      </c>
      <c r="D281" s="720"/>
      <c r="E281" s="24">
        <f t="shared" si="45"/>
        <v>-0.05</v>
      </c>
      <c r="F281" s="720"/>
      <c r="G281" s="24">
        <f t="shared" si="46"/>
        <v>0.03</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-0.05</v>
      </c>
      <c r="F282" s="720"/>
      <c r="G282" s="24">
        <f t="shared" ref="G282:G345" si="56">(SUMIF($7:$7,F282,$8:$8)-SUMIF($7:$7,$F$24,$8:$8)+100)/100</f>
        <v>0.03</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159"/>
      <c r="B283" s="59"/>
      <c r="C283" s="24">
        <f t="shared" si="54"/>
        <v>1</v>
      </c>
      <c r="D283" s="720"/>
      <c r="E283" s="24">
        <f t="shared" si="55"/>
        <v>-0.05</v>
      </c>
      <c r="F283" s="720"/>
      <c r="G283" s="24">
        <f t="shared" si="56"/>
        <v>0.03</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159"/>
      <c r="B284" s="59"/>
      <c r="C284" s="24">
        <f t="shared" si="54"/>
        <v>1</v>
      </c>
      <c r="D284" s="720"/>
      <c r="E284" s="24">
        <f t="shared" si="55"/>
        <v>-0.05</v>
      </c>
      <c r="F284" s="720"/>
      <c r="G284" s="24">
        <f t="shared" si="56"/>
        <v>0.03</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159"/>
      <c r="B285" s="59"/>
      <c r="C285" s="24">
        <f t="shared" si="54"/>
        <v>1</v>
      </c>
      <c r="D285" s="720"/>
      <c r="E285" s="24">
        <f t="shared" si="55"/>
        <v>-0.05</v>
      </c>
      <c r="F285" s="720"/>
      <c r="G285" s="24">
        <f t="shared" si="56"/>
        <v>0.03</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159"/>
      <c r="B286" s="59"/>
      <c r="C286" s="24">
        <f t="shared" si="54"/>
        <v>1</v>
      </c>
      <c r="D286" s="720"/>
      <c r="E286" s="24">
        <f t="shared" si="55"/>
        <v>-0.05</v>
      </c>
      <c r="F286" s="720"/>
      <c r="G286" s="24">
        <f t="shared" si="56"/>
        <v>0.03</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159"/>
      <c r="B287" s="59"/>
      <c r="C287" s="24">
        <f t="shared" si="54"/>
        <v>1</v>
      </c>
      <c r="D287" s="720"/>
      <c r="E287" s="24">
        <f t="shared" si="55"/>
        <v>-0.05</v>
      </c>
      <c r="F287" s="720"/>
      <c r="G287" s="24">
        <f t="shared" si="56"/>
        <v>0.03</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159"/>
      <c r="B288" s="59"/>
      <c r="C288" s="24">
        <f t="shared" si="54"/>
        <v>1</v>
      </c>
      <c r="D288" s="720"/>
      <c r="E288" s="24">
        <f t="shared" si="55"/>
        <v>-0.05</v>
      </c>
      <c r="F288" s="720"/>
      <c r="G288" s="24">
        <f t="shared" si="56"/>
        <v>0.03</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159"/>
      <c r="B289" s="59"/>
      <c r="C289" s="24">
        <f t="shared" si="54"/>
        <v>1</v>
      </c>
      <c r="D289" s="720"/>
      <c r="E289" s="24">
        <f t="shared" si="55"/>
        <v>-0.05</v>
      </c>
      <c r="F289" s="720"/>
      <c r="G289" s="24">
        <f t="shared" si="56"/>
        <v>0.03</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159"/>
      <c r="B290" s="59"/>
      <c r="C290" s="24">
        <f t="shared" si="54"/>
        <v>1</v>
      </c>
      <c r="D290" s="720"/>
      <c r="E290" s="24">
        <f t="shared" si="55"/>
        <v>-0.05</v>
      </c>
      <c r="F290" s="720"/>
      <c r="G290" s="24">
        <f t="shared" si="56"/>
        <v>0.03</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159"/>
      <c r="B291" s="59"/>
      <c r="C291" s="24">
        <f t="shared" si="54"/>
        <v>1</v>
      </c>
      <c r="D291" s="720"/>
      <c r="E291" s="24">
        <f t="shared" si="55"/>
        <v>-0.05</v>
      </c>
      <c r="F291" s="720"/>
      <c r="G291" s="24">
        <f t="shared" si="56"/>
        <v>0.03</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159"/>
      <c r="B292" s="59"/>
      <c r="C292" s="24">
        <f t="shared" si="54"/>
        <v>1</v>
      </c>
      <c r="D292" s="720"/>
      <c r="E292" s="24">
        <f t="shared" si="55"/>
        <v>-0.05</v>
      </c>
      <c r="F292" s="720"/>
      <c r="G292" s="24">
        <f t="shared" si="56"/>
        <v>0.03</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159"/>
      <c r="B293" s="59"/>
      <c r="C293" s="24">
        <f t="shared" si="54"/>
        <v>1</v>
      </c>
      <c r="D293" s="720"/>
      <c r="E293" s="24">
        <f t="shared" si="55"/>
        <v>-0.05</v>
      </c>
      <c r="F293" s="720"/>
      <c r="G293" s="24">
        <f t="shared" si="56"/>
        <v>0.03</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159"/>
      <c r="B294" s="59"/>
      <c r="C294" s="24">
        <f t="shared" si="54"/>
        <v>1</v>
      </c>
      <c r="D294" s="720"/>
      <c r="E294" s="24">
        <f t="shared" si="55"/>
        <v>-0.05</v>
      </c>
      <c r="F294" s="720"/>
      <c r="G294" s="24">
        <f t="shared" si="56"/>
        <v>0.03</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159"/>
      <c r="B295" s="59"/>
      <c r="C295" s="24">
        <f t="shared" si="54"/>
        <v>1</v>
      </c>
      <c r="D295" s="720"/>
      <c r="E295" s="24">
        <f t="shared" si="55"/>
        <v>-0.05</v>
      </c>
      <c r="F295" s="720"/>
      <c r="G295" s="24">
        <f t="shared" si="56"/>
        <v>0.03</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159"/>
      <c r="B296" s="59"/>
      <c r="C296" s="24">
        <f t="shared" si="54"/>
        <v>1</v>
      </c>
      <c r="D296" s="720"/>
      <c r="E296" s="24">
        <f t="shared" si="55"/>
        <v>-0.05</v>
      </c>
      <c r="F296" s="720"/>
      <c r="G296" s="24">
        <f t="shared" si="56"/>
        <v>0.03</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159"/>
      <c r="B297" s="59"/>
      <c r="C297" s="24">
        <f t="shared" si="54"/>
        <v>1</v>
      </c>
      <c r="D297" s="720"/>
      <c r="E297" s="24">
        <f t="shared" si="55"/>
        <v>-0.05</v>
      </c>
      <c r="F297" s="720"/>
      <c r="G297" s="24">
        <f t="shared" si="56"/>
        <v>0.03</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159"/>
      <c r="B298" s="59"/>
      <c r="C298" s="24">
        <f t="shared" si="54"/>
        <v>1</v>
      </c>
      <c r="D298" s="720"/>
      <c r="E298" s="24">
        <f t="shared" si="55"/>
        <v>-0.05</v>
      </c>
      <c r="F298" s="720"/>
      <c r="G298" s="24">
        <f t="shared" si="56"/>
        <v>0.03</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159"/>
      <c r="B299" s="59"/>
      <c r="C299" s="24">
        <f t="shared" si="54"/>
        <v>1</v>
      </c>
      <c r="D299" s="720"/>
      <c r="E299" s="24">
        <f t="shared" si="55"/>
        <v>-0.05</v>
      </c>
      <c r="F299" s="720"/>
      <c r="G299" s="24">
        <f t="shared" si="56"/>
        <v>0.03</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159"/>
      <c r="B300" s="59"/>
      <c r="C300" s="24">
        <f t="shared" si="54"/>
        <v>1</v>
      </c>
      <c r="D300" s="720"/>
      <c r="E300" s="24">
        <f t="shared" si="55"/>
        <v>-0.05</v>
      </c>
      <c r="F300" s="720"/>
      <c r="G300" s="24">
        <f t="shared" si="56"/>
        <v>0.03</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159"/>
      <c r="B301" s="59"/>
      <c r="C301" s="24">
        <f t="shared" si="54"/>
        <v>1</v>
      </c>
      <c r="D301" s="720"/>
      <c r="E301" s="24">
        <f t="shared" si="55"/>
        <v>-0.05</v>
      </c>
      <c r="F301" s="720"/>
      <c r="G301" s="24">
        <f t="shared" si="56"/>
        <v>0.03</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159"/>
      <c r="B302" s="59"/>
      <c r="C302" s="24">
        <f t="shared" si="54"/>
        <v>1</v>
      </c>
      <c r="D302" s="720"/>
      <c r="E302" s="24">
        <f t="shared" si="55"/>
        <v>-0.05</v>
      </c>
      <c r="F302" s="720"/>
      <c r="G302" s="24">
        <f t="shared" si="56"/>
        <v>0.03</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159"/>
      <c r="B303" s="59"/>
      <c r="C303" s="24">
        <f t="shared" si="54"/>
        <v>1</v>
      </c>
      <c r="D303" s="720"/>
      <c r="E303" s="24">
        <f t="shared" si="55"/>
        <v>-0.05</v>
      </c>
      <c r="F303" s="720"/>
      <c r="G303" s="24">
        <f t="shared" si="56"/>
        <v>0.03</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159"/>
      <c r="B304" s="59"/>
      <c r="C304" s="24">
        <f t="shared" si="54"/>
        <v>1</v>
      </c>
      <c r="D304" s="720"/>
      <c r="E304" s="24">
        <f t="shared" si="55"/>
        <v>-0.05</v>
      </c>
      <c r="F304" s="720"/>
      <c r="G304" s="24">
        <f t="shared" si="56"/>
        <v>0.03</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159"/>
      <c r="B305" s="59"/>
      <c r="C305" s="24">
        <f t="shared" si="54"/>
        <v>1</v>
      </c>
      <c r="D305" s="720"/>
      <c r="E305" s="24">
        <f t="shared" si="55"/>
        <v>-0.05</v>
      </c>
      <c r="F305" s="720"/>
      <c r="G305" s="24">
        <f t="shared" si="56"/>
        <v>0.03</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159"/>
      <c r="B306" s="59"/>
      <c r="C306" s="24">
        <f t="shared" si="54"/>
        <v>1</v>
      </c>
      <c r="D306" s="720"/>
      <c r="E306" s="24">
        <f t="shared" si="55"/>
        <v>-0.05</v>
      </c>
      <c r="F306" s="720"/>
      <c r="G306" s="24">
        <f t="shared" si="56"/>
        <v>0.03</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159"/>
      <c r="B307" s="59"/>
      <c r="C307" s="24">
        <f t="shared" si="54"/>
        <v>1</v>
      </c>
      <c r="D307" s="720"/>
      <c r="E307" s="24">
        <f t="shared" si="55"/>
        <v>-0.05</v>
      </c>
      <c r="F307" s="720"/>
      <c r="G307" s="24">
        <f t="shared" si="56"/>
        <v>0.03</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159"/>
      <c r="B308" s="59"/>
      <c r="C308" s="24">
        <f t="shared" si="54"/>
        <v>1</v>
      </c>
      <c r="D308" s="720"/>
      <c r="E308" s="24">
        <f t="shared" si="55"/>
        <v>-0.05</v>
      </c>
      <c r="F308" s="720"/>
      <c r="G308" s="24">
        <f t="shared" si="56"/>
        <v>0.03</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159"/>
      <c r="B309" s="59"/>
      <c r="C309" s="24">
        <f t="shared" si="54"/>
        <v>1</v>
      </c>
      <c r="D309" s="720"/>
      <c r="E309" s="24">
        <f t="shared" si="55"/>
        <v>-0.05</v>
      </c>
      <c r="F309" s="720"/>
      <c r="G309" s="24">
        <f t="shared" si="56"/>
        <v>0.03</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159"/>
      <c r="B310" s="59"/>
      <c r="C310" s="24">
        <f t="shared" si="54"/>
        <v>1</v>
      </c>
      <c r="D310" s="720"/>
      <c r="E310" s="24">
        <f t="shared" si="55"/>
        <v>-0.05</v>
      </c>
      <c r="F310" s="720"/>
      <c r="G310" s="24">
        <f t="shared" si="56"/>
        <v>0.03</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159"/>
      <c r="B311" s="59"/>
      <c r="C311" s="24">
        <f t="shared" si="54"/>
        <v>1</v>
      </c>
      <c r="D311" s="720"/>
      <c r="E311" s="24">
        <f t="shared" si="55"/>
        <v>-0.05</v>
      </c>
      <c r="F311" s="720"/>
      <c r="G311" s="24">
        <f t="shared" si="56"/>
        <v>0.03</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159"/>
      <c r="B312" s="59"/>
      <c r="C312" s="24">
        <f t="shared" si="54"/>
        <v>1</v>
      </c>
      <c r="D312" s="720"/>
      <c r="E312" s="24">
        <f t="shared" si="55"/>
        <v>-0.05</v>
      </c>
      <c r="F312" s="720"/>
      <c r="G312" s="24">
        <f t="shared" si="56"/>
        <v>0.03</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159"/>
      <c r="B313" s="59"/>
      <c r="C313" s="24">
        <f t="shared" si="54"/>
        <v>1</v>
      </c>
      <c r="D313" s="720"/>
      <c r="E313" s="24">
        <f t="shared" si="55"/>
        <v>-0.05</v>
      </c>
      <c r="F313" s="720"/>
      <c r="G313" s="24">
        <f t="shared" si="56"/>
        <v>0.03</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159"/>
      <c r="B314" s="59"/>
      <c r="C314" s="24">
        <f t="shared" si="54"/>
        <v>1</v>
      </c>
      <c r="D314" s="720"/>
      <c r="E314" s="24">
        <f t="shared" si="55"/>
        <v>-0.05</v>
      </c>
      <c r="F314" s="720"/>
      <c r="G314" s="24">
        <f t="shared" si="56"/>
        <v>0.03</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159"/>
      <c r="B315" s="59"/>
      <c r="C315" s="24">
        <f t="shared" si="54"/>
        <v>1</v>
      </c>
      <c r="D315" s="720"/>
      <c r="E315" s="24">
        <f t="shared" si="55"/>
        <v>-0.05</v>
      </c>
      <c r="F315" s="720"/>
      <c r="G315" s="24">
        <f t="shared" si="56"/>
        <v>0.03</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159"/>
      <c r="B316" s="59"/>
      <c r="C316" s="24">
        <f t="shared" si="54"/>
        <v>1</v>
      </c>
      <c r="D316" s="720"/>
      <c r="E316" s="24">
        <f t="shared" si="55"/>
        <v>-0.05</v>
      </c>
      <c r="F316" s="720"/>
      <c r="G316" s="24">
        <f t="shared" si="56"/>
        <v>0.03</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159"/>
      <c r="B317" s="59"/>
      <c r="C317" s="24">
        <f t="shared" si="54"/>
        <v>1</v>
      </c>
      <c r="D317" s="720"/>
      <c r="E317" s="24">
        <f t="shared" si="55"/>
        <v>-0.05</v>
      </c>
      <c r="F317" s="720"/>
      <c r="G317" s="24">
        <f t="shared" si="56"/>
        <v>0.03</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159"/>
      <c r="B318" s="59"/>
      <c r="C318" s="24">
        <f t="shared" si="54"/>
        <v>1</v>
      </c>
      <c r="D318" s="720"/>
      <c r="E318" s="24">
        <f t="shared" si="55"/>
        <v>-0.05</v>
      </c>
      <c r="F318" s="720"/>
      <c r="G318" s="24">
        <f t="shared" si="56"/>
        <v>0.03</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-0.05</v>
      </c>
      <c r="F319" s="720"/>
      <c r="G319" s="24">
        <f t="shared" si="56"/>
        <v>0.03</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-0.05</v>
      </c>
      <c r="F320" s="720"/>
      <c r="G320" s="24">
        <f t="shared" si="56"/>
        <v>0.03</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-0.05</v>
      </c>
      <c r="F321" s="720"/>
      <c r="G321" s="24">
        <f t="shared" si="56"/>
        <v>0.03</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-0.05</v>
      </c>
      <c r="F322" s="720"/>
      <c r="G322" s="24">
        <f t="shared" si="56"/>
        <v>0.03</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-0.05</v>
      </c>
      <c r="F323" s="720"/>
      <c r="G323" s="24">
        <f t="shared" si="56"/>
        <v>0.03</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-0.05</v>
      </c>
      <c r="F324" s="720"/>
      <c r="G324" s="24">
        <f t="shared" si="56"/>
        <v>0.03</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-0.05</v>
      </c>
      <c r="F325" s="720"/>
      <c r="G325" s="24">
        <f t="shared" si="56"/>
        <v>0.03</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-0.05</v>
      </c>
      <c r="F326" s="720"/>
      <c r="G326" s="24">
        <f t="shared" si="56"/>
        <v>0.03</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-0.05</v>
      </c>
      <c r="F327" s="720"/>
      <c r="G327" s="24">
        <f t="shared" si="56"/>
        <v>0.03</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-0.05</v>
      </c>
      <c r="F328" s="720"/>
      <c r="G328" s="24">
        <f t="shared" si="56"/>
        <v>0.03</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-0.05</v>
      </c>
      <c r="F329" s="720"/>
      <c r="G329" s="24">
        <f t="shared" si="56"/>
        <v>0.03</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-0.05</v>
      </c>
      <c r="F330" s="720"/>
      <c r="G330" s="24">
        <f t="shared" si="56"/>
        <v>0.03</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-0.05</v>
      </c>
      <c r="F331" s="720"/>
      <c r="G331" s="24">
        <f t="shared" si="56"/>
        <v>0.03</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-0.05</v>
      </c>
      <c r="F332" s="720"/>
      <c r="G332" s="24">
        <f t="shared" si="56"/>
        <v>0.03</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-0.05</v>
      </c>
      <c r="F333" s="720"/>
      <c r="G333" s="24">
        <f t="shared" si="56"/>
        <v>0.03</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-0.05</v>
      </c>
      <c r="F334" s="720"/>
      <c r="G334" s="24">
        <f t="shared" si="56"/>
        <v>0.03</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-0.05</v>
      </c>
      <c r="F335" s="720"/>
      <c r="G335" s="24">
        <f t="shared" si="56"/>
        <v>0.03</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-0.05</v>
      </c>
      <c r="F336" s="720"/>
      <c r="G336" s="24">
        <f t="shared" si="56"/>
        <v>0.03</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-0.05</v>
      </c>
      <c r="F337" s="720"/>
      <c r="G337" s="24">
        <f t="shared" si="56"/>
        <v>0.03</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-0.05</v>
      </c>
      <c r="F338" s="720"/>
      <c r="G338" s="24">
        <f t="shared" si="56"/>
        <v>0.03</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-0.05</v>
      </c>
      <c r="F339" s="720"/>
      <c r="G339" s="24">
        <f t="shared" si="56"/>
        <v>0.03</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-0.05</v>
      </c>
      <c r="F340" s="720"/>
      <c r="G340" s="24">
        <f t="shared" si="56"/>
        <v>0.03</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-0.05</v>
      </c>
      <c r="F341" s="720"/>
      <c r="G341" s="24">
        <f t="shared" si="56"/>
        <v>0.03</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-0.05</v>
      </c>
      <c r="F342" s="720"/>
      <c r="G342" s="24">
        <f t="shared" si="56"/>
        <v>0.03</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-0.05</v>
      </c>
      <c r="F343" s="720"/>
      <c r="G343" s="24">
        <f t="shared" si="56"/>
        <v>0.03</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-0.05</v>
      </c>
      <c r="F344" s="720"/>
      <c r="G344" s="24">
        <f t="shared" si="56"/>
        <v>0.03</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-0.05</v>
      </c>
      <c r="F345" s="720"/>
      <c r="G345" s="24">
        <f t="shared" si="56"/>
        <v>0.03</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-0.05</v>
      </c>
      <c r="F346" s="720"/>
      <c r="G346" s="24">
        <f t="shared" ref="G346:G409" si="67">(SUMIF($7:$7,F346,$8:$8)-SUMIF($7:$7,$F$24,$8:$8)+100)/100</f>
        <v>0.03</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-0.05</v>
      </c>
      <c r="F347" s="720"/>
      <c r="G347" s="24">
        <f t="shared" si="67"/>
        <v>0.03</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-0.05</v>
      </c>
      <c r="F348" s="720"/>
      <c r="G348" s="24">
        <f t="shared" si="67"/>
        <v>0.03</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-0.05</v>
      </c>
      <c r="F349" s="720"/>
      <c r="G349" s="24">
        <f t="shared" si="67"/>
        <v>0.03</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-0.05</v>
      </c>
      <c r="F350" s="720"/>
      <c r="G350" s="24">
        <f t="shared" si="67"/>
        <v>0.03</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-0.05</v>
      </c>
      <c r="F351" s="720"/>
      <c r="G351" s="24">
        <f t="shared" si="67"/>
        <v>0.03</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-0.05</v>
      </c>
      <c r="F352" s="720"/>
      <c r="G352" s="24">
        <f t="shared" si="67"/>
        <v>0.03</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-0.05</v>
      </c>
      <c r="F353" s="720"/>
      <c r="G353" s="24">
        <f t="shared" si="67"/>
        <v>0.03</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-0.05</v>
      </c>
      <c r="F354" s="720"/>
      <c r="G354" s="24">
        <f t="shared" si="67"/>
        <v>0.03</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-0.05</v>
      </c>
      <c r="F355" s="720"/>
      <c r="G355" s="24">
        <f t="shared" si="67"/>
        <v>0.03</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-0.05</v>
      </c>
      <c r="F356" s="720"/>
      <c r="G356" s="24">
        <f t="shared" si="67"/>
        <v>0.03</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-0.05</v>
      </c>
      <c r="F357" s="720"/>
      <c r="G357" s="24">
        <f t="shared" si="67"/>
        <v>0.03</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-0.05</v>
      </c>
      <c r="F358" s="720"/>
      <c r="G358" s="24">
        <f t="shared" si="67"/>
        <v>0.03</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-0.05</v>
      </c>
      <c r="F359" s="720"/>
      <c r="G359" s="24">
        <f t="shared" si="67"/>
        <v>0.03</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-0.05</v>
      </c>
      <c r="F360" s="720"/>
      <c r="G360" s="24">
        <f t="shared" si="67"/>
        <v>0.03</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-0.05</v>
      </c>
      <c r="F361" s="720"/>
      <c r="G361" s="24">
        <f t="shared" si="67"/>
        <v>0.03</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-0.05</v>
      </c>
      <c r="F362" s="720"/>
      <c r="G362" s="24">
        <f t="shared" si="67"/>
        <v>0.03</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-0.05</v>
      </c>
      <c r="F363" s="720"/>
      <c r="G363" s="24">
        <f t="shared" si="67"/>
        <v>0.03</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-0.05</v>
      </c>
      <c r="F364" s="720"/>
      <c r="G364" s="24">
        <f t="shared" si="67"/>
        <v>0.03</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-0.05</v>
      </c>
      <c r="F365" s="720"/>
      <c r="G365" s="24">
        <f t="shared" si="67"/>
        <v>0.03</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-0.05</v>
      </c>
      <c r="F366" s="720"/>
      <c r="G366" s="24">
        <f t="shared" si="67"/>
        <v>0.03</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-0.05</v>
      </c>
      <c r="F367" s="720"/>
      <c r="G367" s="24">
        <f t="shared" si="67"/>
        <v>0.03</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-0.05</v>
      </c>
      <c r="F368" s="720"/>
      <c r="G368" s="24">
        <f t="shared" si="67"/>
        <v>0.03</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-0.05</v>
      </c>
      <c r="F369" s="720"/>
      <c r="G369" s="24">
        <f t="shared" si="67"/>
        <v>0.03</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-0.05</v>
      </c>
      <c r="F370" s="720"/>
      <c r="G370" s="24">
        <f t="shared" si="67"/>
        <v>0.03</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-0.05</v>
      </c>
      <c r="F371" s="720"/>
      <c r="G371" s="24">
        <f t="shared" si="67"/>
        <v>0.03</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-0.05</v>
      </c>
      <c r="F372" s="720"/>
      <c r="G372" s="24">
        <f t="shared" si="67"/>
        <v>0.03</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-0.05</v>
      </c>
      <c r="F373" s="720"/>
      <c r="G373" s="24">
        <f t="shared" si="67"/>
        <v>0.03</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-0.05</v>
      </c>
      <c r="F374" s="720"/>
      <c r="G374" s="24">
        <f t="shared" si="67"/>
        <v>0.03</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-0.05</v>
      </c>
      <c r="F375" s="720"/>
      <c r="G375" s="24">
        <f t="shared" si="67"/>
        <v>0.03</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-0.05</v>
      </c>
      <c r="F376" s="720"/>
      <c r="G376" s="24">
        <f t="shared" si="67"/>
        <v>0.03</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-0.05</v>
      </c>
      <c r="F377" s="720"/>
      <c r="G377" s="24">
        <f t="shared" si="67"/>
        <v>0.03</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-0.05</v>
      </c>
      <c r="F378" s="720"/>
      <c r="G378" s="24">
        <f t="shared" si="67"/>
        <v>0.03</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-0.05</v>
      </c>
      <c r="F379" s="720"/>
      <c r="G379" s="24">
        <f t="shared" si="67"/>
        <v>0.03</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-0.05</v>
      </c>
      <c r="F380" s="720"/>
      <c r="G380" s="24">
        <f t="shared" si="67"/>
        <v>0.03</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-0.05</v>
      </c>
      <c r="F381" s="720"/>
      <c r="G381" s="24">
        <f t="shared" si="67"/>
        <v>0.03</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-0.05</v>
      </c>
      <c r="F382" s="720"/>
      <c r="G382" s="24">
        <f t="shared" si="67"/>
        <v>0.03</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-0.05</v>
      </c>
      <c r="F383" s="720"/>
      <c r="G383" s="24">
        <f t="shared" si="67"/>
        <v>0.03</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-0.05</v>
      </c>
      <c r="F384" s="720"/>
      <c r="G384" s="24">
        <f t="shared" si="67"/>
        <v>0.03</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-0.05</v>
      </c>
      <c r="F385" s="720"/>
      <c r="G385" s="24">
        <f t="shared" si="67"/>
        <v>0.03</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-0.05</v>
      </c>
      <c r="F386" s="720"/>
      <c r="G386" s="24">
        <f t="shared" si="67"/>
        <v>0.03</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-0.05</v>
      </c>
      <c r="F387" s="720"/>
      <c r="G387" s="24">
        <f t="shared" si="67"/>
        <v>0.03</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-0.05</v>
      </c>
      <c r="F388" s="720"/>
      <c r="G388" s="24">
        <f t="shared" si="67"/>
        <v>0.03</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-0.05</v>
      </c>
      <c r="F389" s="720"/>
      <c r="G389" s="24">
        <f t="shared" si="67"/>
        <v>0.03</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-0.05</v>
      </c>
      <c r="F390" s="720"/>
      <c r="G390" s="24">
        <f t="shared" si="67"/>
        <v>0.03</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-0.05</v>
      </c>
      <c r="F391" s="720"/>
      <c r="G391" s="24">
        <f t="shared" si="67"/>
        <v>0.03</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-0.05</v>
      </c>
      <c r="F392" s="720"/>
      <c r="G392" s="24">
        <f t="shared" si="67"/>
        <v>0.03</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-0.05</v>
      </c>
      <c r="F393" s="720"/>
      <c r="G393" s="24">
        <f t="shared" si="67"/>
        <v>0.03</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-0.05</v>
      </c>
      <c r="F394" s="720"/>
      <c r="G394" s="24">
        <f t="shared" si="67"/>
        <v>0.03</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-0.05</v>
      </c>
      <c r="F395" s="720"/>
      <c r="G395" s="24">
        <f t="shared" si="67"/>
        <v>0.03</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-0.05</v>
      </c>
      <c r="F396" s="720"/>
      <c r="G396" s="24">
        <f t="shared" si="67"/>
        <v>0.03</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-0.05</v>
      </c>
      <c r="F397" s="720"/>
      <c r="G397" s="24">
        <f t="shared" si="67"/>
        <v>0.03</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-0.05</v>
      </c>
      <c r="F398" s="720"/>
      <c r="G398" s="24">
        <f t="shared" si="67"/>
        <v>0.03</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-0.05</v>
      </c>
      <c r="F399" s="720"/>
      <c r="G399" s="24">
        <f t="shared" si="67"/>
        <v>0.03</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-0.05</v>
      </c>
      <c r="F400" s="720"/>
      <c r="G400" s="24">
        <f t="shared" si="67"/>
        <v>0.03</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-0.05</v>
      </c>
      <c r="F401" s="720"/>
      <c r="G401" s="24">
        <f t="shared" si="67"/>
        <v>0.03</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-0.05</v>
      </c>
      <c r="F402" s="720"/>
      <c r="G402" s="24">
        <f t="shared" si="67"/>
        <v>0.03</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-0.05</v>
      </c>
      <c r="F403" s="720"/>
      <c r="G403" s="24">
        <f t="shared" si="67"/>
        <v>0.03</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-0.05</v>
      </c>
      <c r="F404" s="720"/>
      <c r="G404" s="24">
        <f t="shared" si="67"/>
        <v>0.03</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-0.05</v>
      </c>
      <c r="F405" s="720"/>
      <c r="G405" s="24">
        <f t="shared" si="67"/>
        <v>0.03</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-0.05</v>
      </c>
      <c r="F406" s="720"/>
      <c r="G406" s="24">
        <f t="shared" si="67"/>
        <v>0.03</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-0.05</v>
      </c>
      <c r="F407" s="720"/>
      <c r="G407" s="24">
        <f t="shared" si="67"/>
        <v>0.03</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-0.05</v>
      </c>
      <c r="F408" s="720"/>
      <c r="G408" s="24">
        <f t="shared" si="67"/>
        <v>0.03</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-0.05</v>
      </c>
      <c r="F409" s="720"/>
      <c r="G409" s="24">
        <f t="shared" si="67"/>
        <v>0.03</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-0.05</v>
      </c>
      <c r="F410" s="720"/>
      <c r="G410" s="24">
        <f t="shared" ref="G410:G473" si="77">(SUMIF($7:$7,F410,$8:$8)-SUMIF($7:$7,$F$24,$8:$8)+100)/100</f>
        <v>0.03</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-0.05</v>
      </c>
      <c r="F411" s="720"/>
      <c r="G411" s="24">
        <f t="shared" si="77"/>
        <v>0.03</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-0.05</v>
      </c>
      <c r="F412" s="720"/>
      <c r="G412" s="24">
        <f t="shared" si="77"/>
        <v>0.03</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-0.05</v>
      </c>
      <c r="F413" s="720"/>
      <c r="G413" s="24">
        <f t="shared" si="77"/>
        <v>0.03</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-0.05</v>
      </c>
      <c r="F414" s="720"/>
      <c r="G414" s="24">
        <f t="shared" si="77"/>
        <v>0.03</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-0.05</v>
      </c>
      <c r="F415" s="720"/>
      <c r="G415" s="24">
        <f t="shared" si="77"/>
        <v>0.03</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-0.05</v>
      </c>
      <c r="F416" s="720"/>
      <c r="G416" s="24">
        <f t="shared" si="77"/>
        <v>0.03</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-0.05</v>
      </c>
      <c r="F417" s="720"/>
      <c r="G417" s="24">
        <f t="shared" si="77"/>
        <v>0.03</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-0.05</v>
      </c>
      <c r="F418" s="720"/>
      <c r="G418" s="24">
        <f t="shared" si="77"/>
        <v>0.03</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-0.05</v>
      </c>
      <c r="F419" s="720"/>
      <c r="G419" s="24">
        <f t="shared" si="77"/>
        <v>0.03</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-0.05</v>
      </c>
      <c r="F420" s="720"/>
      <c r="G420" s="24">
        <f t="shared" si="77"/>
        <v>0.03</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-0.05</v>
      </c>
      <c r="F421" s="720"/>
      <c r="G421" s="24">
        <f t="shared" si="77"/>
        <v>0.03</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-0.05</v>
      </c>
      <c r="F422" s="720"/>
      <c r="G422" s="24">
        <f t="shared" si="77"/>
        <v>0.03</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-0.05</v>
      </c>
      <c r="F423" s="720"/>
      <c r="G423" s="24">
        <f t="shared" si="77"/>
        <v>0.03</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-0.05</v>
      </c>
      <c r="F424" s="720"/>
      <c r="G424" s="24">
        <f t="shared" si="77"/>
        <v>0.03</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-0.05</v>
      </c>
      <c r="F425" s="720"/>
      <c r="G425" s="24">
        <f t="shared" si="77"/>
        <v>0.03</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-0.05</v>
      </c>
      <c r="F426" s="720"/>
      <c r="G426" s="24">
        <f t="shared" si="77"/>
        <v>0.03</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-0.05</v>
      </c>
      <c r="F427" s="720"/>
      <c r="G427" s="24">
        <f t="shared" si="77"/>
        <v>0.03</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-0.05</v>
      </c>
      <c r="F428" s="720"/>
      <c r="G428" s="24">
        <f t="shared" si="77"/>
        <v>0.03</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-0.05</v>
      </c>
      <c r="F429" s="720"/>
      <c r="G429" s="24">
        <f t="shared" si="77"/>
        <v>0.03</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-0.05</v>
      </c>
      <c r="F430" s="720"/>
      <c r="G430" s="24">
        <f t="shared" si="77"/>
        <v>0.03</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-0.05</v>
      </c>
      <c r="F431" s="720"/>
      <c r="G431" s="24">
        <f t="shared" si="77"/>
        <v>0.03</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-0.05</v>
      </c>
      <c r="F432" s="720"/>
      <c r="G432" s="24">
        <f t="shared" si="77"/>
        <v>0.03</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-0.05</v>
      </c>
      <c r="F433" s="720"/>
      <c r="G433" s="24">
        <f t="shared" si="77"/>
        <v>0.03</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-0.05</v>
      </c>
      <c r="F434" s="720"/>
      <c r="G434" s="24">
        <f t="shared" si="77"/>
        <v>0.03</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-0.05</v>
      </c>
      <c r="F435" s="720"/>
      <c r="G435" s="24">
        <f t="shared" si="77"/>
        <v>0.03</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-0.05</v>
      </c>
      <c r="F436" s="720"/>
      <c r="G436" s="24">
        <f t="shared" si="77"/>
        <v>0.03</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-0.05</v>
      </c>
      <c r="F437" s="720"/>
      <c r="G437" s="24">
        <f t="shared" si="77"/>
        <v>0.03</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-0.05</v>
      </c>
      <c r="F438" s="720"/>
      <c r="G438" s="24">
        <f t="shared" si="77"/>
        <v>0.03</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-0.05</v>
      </c>
      <c r="F439" s="720"/>
      <c r="G439" s="24">
        <f t="shared" si="77"/>
        <v>0.03</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-0.05</v>
      </c>
      <c r="F440" s="720"/>
      <c r="G440" s="24">
        <f t="shared" si="77"/>
        <v>0.03</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-0.05</v>
      </c>
      <c r="F441" s="720"/>
      <c r="G441" s="24">
        <f t="shared" si="77"/>
        <v>0.03</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-0.05</v>
      </c>
      <c r="F442" s="720"/>
      <c r="G442" s="24">
        <f t="shared" si="77"/>
        <v>0.03</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-0.05</v>
      </c>
      <c r="F443" s="720"/>
      <c r="G443" s="24">
        <f t="shared" si="77"/>
        <v>0.03</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-0.05</v>
      </c>
      <c r="F444" s="720"/>
      <c r="G444" s="24">
        <f t="shared" si="77"/>
        <v>0.03</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-0.05</v>
      </c>
      <c r="F445" s="720"/>
      <c r="G445" s="24">
        <f t="shared" si="77"/>
        <v>0.03</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-0.05</v>
      </c>
      <c r="F446" s="720"/>
      <c r="G446" s="24">
        <f t="shared" si="77"/>
        <v>0.03</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-0.05</v>
      </c>
      <c r="F447" s="720"/>
      <c r="G447" s="24">
        <f t="shared" si="77"/>
        <v>0.03</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-0.05</v>
      </c>
      <c r="F448" s="720"/>
      <c r="G448" s="24">
        <f t="shared" si="77"/>
        <v>0.03</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-0.05</v>
      </c>
      <c r="F449" s="720"/>
      <c r="G449" s="24">
        <f t="shared" si="77"/>
        <v>0.03</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-0.05</v>
      </c>
      <c r="F450" s="720"/>
      <c r="G450" s="24">
        <f t="shared" si="77"/>
        <v>0.03</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-0.05</v>
      </c>
      <c r="F451" s="720"/>
      <c r="G451" s="24">
        <f t="shared" si="77"/>
        <v>0.03</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-0.05</v>
      </c>
      <c r="F452" s="720"/>
      <c r="G452" s="24">
        <f t="shared" si="77"/>
        <v>0.03</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-0.05</v>
      </c>
      <c r="F453" s="720"/>
      <c r="G453" s="24">
        <f t="shared" si="77"/>
        <v>0.03</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-0.05</v>
      </c>
      <c r="F454" s="720"/>
      <c r="G454" s="24">
        <f t="shared" si="77"/>
        <v>0.03</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-0.05</v>
      </c>
      <c r="F455" s="720"/>
      <c r="G455" s="24">
        <f t="shared" si="77"/>
        <v>0.03</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-0.05</v>
      </c>
      <c r="F456" s="720"/>
      <c r="G456" s="24">
        <f t="shared" si="77"/>
        <v>0.03</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-0.05</v>
      </c>
      <c r="F457" s="720"/>
      <c r="G457" s="24">
        <f t="shared" si="77"/>
        <v>0.03</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-0.05</v>
      </c>
      <c r="F458" s="720"/>
      <c r="G458" s="24">
        <f t="shared" si="77"/>
        <v>0.03</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-0.05</v>
      </c>
      <c r="F459" s="720"/>
      <c r="G459" s="24">
        <f t="shared" si="77"/>
        <v>0.03</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-0.05</v>
      </c>
      <c r="F460" s="720"/>
      <c r="G460" s="24">
        <f t="shared" si="77"/>
        <v>0.03</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-0.05</v>
      </c>
      <c r="F461" s="720"/>
      <c r="G461" s="24">
        <f t="shared" si="77"/>
        <v>0.03</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-0.05</v>
      </c>
      <c r="F462" s="720"/>
      <c r="G462" s="24">
        <f t="shared" si="77"/>
        <v>0.03</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-0.05</v>
      </c>
      <c r="F463" s="720"/>
      <c r="G463" s="24">
        <f t="shared" si="77"/>
        <v>0.03</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-0.05</v>
      </c>
      <c r="F464" s="720"/>
      <c r="G464" s="24">
        <f t="shared" si="77"/>
        <v>0.03</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-0.05</v>
      </c>
      <c r="F465" s="720"/>
      <c r="G465" s="24">
        <f t="shared" si="77"/>
        <v>0.03</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-0.05</v>
      </c>
      <c r="F466" s="720"/>
      <c r="G466" s="24">
        <f t="shared" si="77"/>
        <v>0.03</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-0.05</v>
      </c>
      <c r="F467" s="720"/>
      <c r="G467" s="24">
        <f t="shared" si="77"/>
        <v>0.03</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-0.05</v>
      </c>
      <c r="F468" s="720"/>
      <c r="G468" s="24">
        <f t="shared" si="77"/>
        <v>0.03</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-0.05</v>
      </c>
      <c r="F469" s="720"/>
      <c r="G469" s="24">
        <f t="shared" si="77"/>
        <v>0.03</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-0.05</v>
      </c>
      <c r="F470" s="720"/>
      <c r="G470" s="24">
        <f t="shared" si="77"/>
        <v>0.03</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-0.05</v>
      </c>
      <c r="F471" s="720"/>
      <c r="G471" s="24">
        <f t="shared" si="77"/>
        <v>0.03</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-0.05</v>
      </c>
      <c r="F472" s="720"/>
      <c r="G472" s="24">
        <f t="shared" si="77"/>
        <v>0.03</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-0.05</v>
      </c>
      <c r="F473" s="720"/>
      <c r="G473" s="24">
        <f t="shared" si="77"/>
        <v>0.03</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-0.05</v>
      </c>
      <c r="F474" s="720"/>
      <c r="G474" s="24">
        <f t="shared" ref="G474:G524" si="88">(SUMIF($7:$7,F474,$8:$8)-SUMIF($7:$7,$F$24,$8:$8)+100)/100</f>
        <v>0.03</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-0.05</v>
      </c>
      <c r="F475" s="720"/>
      <c r="G475" s="24">
        <f t="shared" si="88"/>
        <v>0.03</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-0.05</v>
      </c>
      <c r="F476" s="720"/>
      <c r="G476" s="24">
        <f t="shared" si="88"/>
        <v>0.03</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-0.05</v>
      </c>
      <c r="F477" s="720"/>
      <c r="G477" s="24">
        <f t="shared" si="88"/>
        <v>0.03</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-0.05</v>
      </c>
      <c r="F478" s="720"/>
      <c r="G478" s="24">
        <f t="shared" si="88"/>
        <v>0.03</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-0.05</v>
      </c>
      <c r="F479" s="720"/>
      <c r="G479" s="24">
        <f t="shared" si="88"/>
        <v>0.03</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-0.05</v>
      </c>
      <c r="F480" s="720"/>
      <c r="G480" s="24">
        <f t="shared" si="88"/>
        <v>0.03</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-0.05</v>
      </c>
      <c r="F481" s="720"/>
      <c r="G481" s="24">
        <f t="shared" si="88"/>
        <v>0.03</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-0.05</v>
      </c>
      <c r="F482" s="720"/>
      <c r="G482" s="24">
        <f t="shared" si="88"/>
        <v>0.03</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-0.05</v>
      </c>
      <c r="F483" s="720"/>
      <c r="G483" s="24">
        <f t="shared" si="88"/>
        <v>0.03</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-0.05</v>
      </c>
      <c r="F484" s="720"/>
      <c r="G484" s="24">
        <f t="shared" si="88"/>
        <v>0.03</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-0.05</v>
      </c>
      <c r="F485" s="720"/>
      <c r="G485" s="24">
        <f t="shared" si="88"/>
        <v>0.03</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-0.05</v>
      </c>
      <c r="F486" s="720"/>
      <c r="G486" s="24">
        <f t="shared" si="88"/>
        <v>0.03</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-0.05</v>
      </c>
      <c r="F487" s="720"/>
      <c r="G487" s="24">
        <f t="shared" si="88"/>
        <v>0.03</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-0.05</v>
      </c>
      <c r="F488" s="720"/>
      <c r="G488" s="24">
        <f t="shared" si="88"/>
        <v>0.03</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-0.05</v>
      </c>
      <c r="F489" s="720"/>
      <c r="G489" s="24">
        <f t="shared" si="88"/>
        <v>0.03</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-0.05</v>
      </c>
      <c r="F490" s="720"/>
      <c r="G490" s="24">
        <f t="shared" si="88"/>
        <v>0.03</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-0.05</v>
      </c>
      <c r="F491" s="720"/>
      <c r="G491" s="24">
        <f t="shared" si="88"/>
        <v>0.03</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-0.05</v>
      </c>
      <c r="F492" s="720"/>
      <c r="G492" s="24">
        <f t="shared" si="88"/>
        <v>0.03</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-0.05</v>
      </c>
      <c r="F493" s="720"/>
      <c r="G493" s="24">
        <f t="shared" si="88"/>
        <v>0.03</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-0.05</v>
      </c>
      <c r="F494" s="720"/>
      <c r="G494" s="24">
        <f t="shared" si="88"/>
        <v>0.03</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-0.05</v>
      </c>
      <c r="F495" s="720"/>
      <c r="G495" s="24">
        <f t="shared" si="88"/>
        <v>0.03</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-0.05</v>
      </c>
      <c r="F496" s="720"/>
      <c r="G496" s="24">
        <f t="shared" si="88"/>
        <v>0.03</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-0.05</v>
      </c>
      <c r="F497" s="720"/>
      <c r="G497" s="24">
        <f t="shared" si="88"/>
        <v>0.03</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-0.05</v>
      </c>
      <c r="F498" s="720"/>
      <c r="G498" s="24">
        <f t="shared" si="88"/>
        <v>0.03</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-0.05</v>
      </c>
      <c r="F499" s="720"/>
      <c r="G499" s="24">
        <f t="shared" si="88"/>
        <v>0.03</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-0.05</v>
      </c>
      <c r="F500" s="720"/>
      <c r="G500" s="24">
        <f t="shared" si="88"/>
        <v>0.03</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-0.05</v>
      </c>
      <c r="F501" s="720"/>
      <c r="G501" s="24">
        <f t="shared" si="88"/>
        <v>0.03</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-0.05</v>
      </c>
      <c r="F502" s="720"/>
      <c r="G502" s="24">
        <f t="shared" si="88"/>
        <v>0.03</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-0.05</v>
      </c>
      <c r="F503" s="720"/>
      <c r="G503" s="24">
        <f t="shared" si="88"/>
        <v>0.03</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-0.05</v>
      </c>
      <c r="F504" s="720"/>
      <c r="G504" s="24">
        <f t="shared" si="88"/>
        <v>0.03</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-0.05</v>
      </c>
      <c r="F505" s="720"/>
      <c r="G505" s="24">
        <f t="shared" si="88"/>
        <v>0.03</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-0.05</v>
      </c>
      <c r="F506" s="720"/>
      <c r="G506" s="24">
        <f t="shared" si="88"/>
        <v>0.03</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-0.05</v>
      </c>
      <c r="F507" s="720"/>
      <c r="G507" s="24">
        <f t="shared" si="88"/>
        <v>0.03</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-0.05</v>
      </c>
      <c r="F508" s="720"/>
      <c r="G508" s="24">
        <f t="shared" si="88"/>
        <v>0.03</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-0.05</v>
      </c>
      <c r="F509" s="720"/>
      <c r="G509" s="24">
        <f t="shared" si="88"/>
        <v>0.03</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-0.05</v>
      </c>
      <c r="F510" s="720"/>
      <c r="G510" s="24">
        <f t="shared" si="88"/>
        <v>0.03</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-0.05</v>
      </c>
      <c r="F511" s="720"/>
      <c r="G511" s="24">
        <f t="shared" si="88"/>
        <v>0.03</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-0.05</v>
      </c>
      <c r="F512" s="720"/>
      <c r="G512" s="24">
        <f t="shared" si="88"/>
        <v>0.03</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-0.05</v>
      </c>
      <c r="F513" s="720"/>
      <c r="G513" s="24">
        <f t="shared" si="88"/>
        <v>0.03</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-0.05</v>
      </c>
      <c r="F514" s="720"/>
      <c r="G514" s="24">
        <f t="shared" si="88"/>
        <v>0.03</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-0.05</v>
      </c>
      <c r="F515" s="720"/>
      <c r="G515" s="24">
        <f t="shared" si="88"/>
        <v>0.03</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-0.05</v>
      </c>
      <c r="F516" s="720"/>
      <c r="G516" s="24">
        <f t="shared" si="88"/>
        <v>0.03</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-0.05</v>
      </c>
      <c r="F517" s="720"/>
      <c r="G517" s="24">
        <f t="shared" si="88"/>
        <v>0.03</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-0.05</v>
      </c>
      <c r="F518" s="720"/>
      <c r="G518" s="24">
        <f t="shared" si="88"/>
        <v>0.03</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-0.05</v>
      </c>
      <c r="F519" s="720"/>
      <c r="G519" s="24">
        <f t="shared" si="88"/>
        <v>0.03</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-0.05</v>
      </c>
      <c r="F520" s="720"/>
      <c r="G520" s="24">
        <f t="shared" si="88"/>
        <v>0.03</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-0.05</v>
      </c>
      <c r="F521" s="720"/>
      <c r="G521" s="24">
        <f t="shared" si="88"/>
        <v>0.03</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-0.05</v>
      </c>
      <c r="F522" s="720"/>
      <c r="G522" s="24">
        <f t="shared" si="88"/>
        <v>0.03</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-0.05</v>
      </c>
      <c r="F523" s="720"/>
      <c r="G523" s="24">
        <f t="shared" si="88"/>
        <v>0.03</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-0.05</v>
      </c>
      <c r="F524" s="720"/>
      <c r="G524" s="24">
        <f t="shared" si="88"/>
        <v>0.03</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2110</v>
      </c>
      <c r="B1" s="2414"/>
      <c r="C1" s="2415" t="s">
        <v>4671</v>
      </c>
      <c r="D1" s="2414"/>
      <c r="E1" s="2414"/>
      <c r="F1" s="2416" t="s">
        <v>2111</v>
      </c>
      <c r="G1" s="2066" t="s">
        <v>2112</v>
      </c>
      <c r="H1" s="2417" t="str">
        <f>IF(G1="现房","——","估价对象范围")</f>
        <v>估价对象范围</v>
      </c>
      <c r="I1" s="2418"/>
    </row>
    <row r="2" spans="1:12" ht="21.75" customHeight="1" thickBot="1">
      <c r="A2" s="3176" t="str">
        <f>项目基本情况!S2</f>
        <v>北京市北京市房山区拱辰街道16-03-04、16-01-05地块出让国有建设用地使用权及在建建筑物房地产</v>
      </c>
      <c r="B2" s="3177"/>
      <c r="C2" s="3177"/>
      <c r="D2" s="3177"/>
      <c r="E2" s="3177"/>
      <c r="F2" s="3177"/>
      <c r="G2" s="3177"/>
      <c r="H2" s="3177"/>
      <c r="I2" s="3178"/>
    </row>
    <row r="3" spans="1:12" ht="12.75">
      <c r="A3" s="3179" t="s">
        <v>2113</v>
      </c>
      <c r="B3" s="3180"/>
      <c r="C3" s="3180"/>
      <c r="D3" s="3180"/>
      <c r="E3" s="3180"/>
      <c r="F3" s="3180"/>
      <c r="G3" s="3180"/>
      <c r="H3" s="3180"/>
      <c r="I3" s="3180"/>
    </row>
    <row r="4" spans="1:12" ht="14.25">
      <c r="A4" s="2421" t="s">
        <v>2114</v>
      </c>
      <c r="B4" s="2422" t="s">
        <v>2115</v>
      </c>
      <c r="C4" s="2423" t="s">
        <v>4689</v>
      </c>
      <c r="D4" s="2423" t="s">
        <v>4612</v>
      </c>
      <c r="E4" s="3181" t="s">
        <v>2116</v>
      </c>
      <c r="F4" s="3182"/>
      <c r="G4" s="3182"/>
      <c r="H4" s="3182"/>
      <c r="I4" s="3183"/>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72" t="s">
        <v>2117</v>
      </c>
      <c r="B5" s="3047">
        <v>25</v>
      </c>
      <c r="C5" s="3173"/>
      <c r="D5" s="3175"/>
      <c r="E5" s="140" t="s">
        <v>2118</v>
      </c>
      <c r="F5" s="2425"/>
      <c r="G5" s="2425"/>
      <c r="H5" s="2425"/>
      <c r="I5" s="1828"/>
    </row>
    <row r="6" spans="1:12" ht="12.75">
      <c r="A6" s="3172"/>
      <c r="B6" s="3047"/>
      <c r="C6" s="3184"/>
      <c r="D6" s="3175"/>
      <c r="E6" s="140" t="s">
        <v>2119</v>
      </c>
      <c r="F6" s="2425"/>
      <c r="G6" s="2425"/>
      <c r="H6" s="2425"/>
      <c r="I6" s="1828"/>
    </row>
    <row r="7" spans="1:12" ht="12.75">
      <c r="A7" s="3172"/>
      <c r="B7" s="3047"/>
      <c r="C7" s="3174"/>
      <c r="D7" s="3175"/>
      <c r="E7" s="140" t="s">
        <v>2120</v>
      </c>
      <c r="F7" s="2425"/>
      <c r="G7" s="2425"/>
      <c r="H7" s="2425"/>
      <c r="I7" s="1828"/>
    </row>
    <row r="8" spans="1:12" ht="12.75">
      <c r="A8" s="3172" t="s">
        <v>2121</v>
      </c>
      <c r="B8" s="3047">
        <v>15</v>
      </c>
      <c r="C8" s="3173"/>
      <c r="D8" s="3175"/>
      <c r="E8" s="140" t="s">
        <v>2122</v>
      </c>
      <c r="F8" s="2425"/>
      <c r="G8" s="2425"/>
      <c r="H8" s="2425"/>
      <c r="I8" s="1828"/>
    </row>
    <row r="9" spans="1:12" ht="12.75">
      <c r="A9" s="3172"/>
      <c r="B9" s="3047"/>
      <c r="C9" s="3174"/>
      <c r="D9" s="3175"/>
      <c r="E9" s="140" t="s">
        <v>2123</v>
      </c>
      <c r="F9" s="2425"/>
      <c r="G9" s="2425"/>
      <c r="H9" s="2425"/>
      <c r="I9" s="1828"/>
    </row>
    <row r="10" spans="1:12" ht="12.75">
      <c r="A10" s="3172" t="s">
        <v>2124</v>
      </c>
      <c r="B10" s="3047">
        <v>15</v>
      </c>
      <c r="C10" s="3173"/>
      <c r="D10" s="3175"/>
      <c r="E10" s="140" t="s">
        <v>2125</v>
      </c>
      <c r="F10" s="2425"/>
      <c r="G10" s="2425"/>
      <c r="H10" s="2425"/>
      <c r="I10" s="1828"/>
    </row>
    <row r="11" spans="1:12" ht="12.75">
      <c r="A11" s="3172"/>
      <c r="B11" s="3047"/>
      <c r="C11" s="3174"/>
      <c r="D11" s="3175"/>
      <c r="E11" s="140" t="s">
        <v>2126</v>
      </c>
      <c r="F11" s="2425"/>
      <c r="G11" s="2425"/>
      <c r="H11" s="2425"/>
      <c r="I11" s="1828"/>
    </row>
    <row r="12" spans="1:12" ht="12.75">
      <c r="A12" s="3172" t="s">
        <v>2127</v>
      </c>
      <c r="B12" s="3047">
        <v>15</v>
      </c>
      <c r="C12" s="3173"/>
      <c r="D12" s="3175"/>
      <c r="E12" s="140" t="s">
        <v>2128</v>
      </c>
      <c r="F12" s="2425"/>
      <c r="G12" s="2425"/>
      <c r="H12" s="2425"/>
      <c r="I12" s="1828"/>
    </row>
    <row r="13" spans="1:12" ht="12.75">
      <c r="A13" s="3172"/>
      <c r="B13" s="3047"/>
      <c r="C13" s="3174"/>
      <c r="D13" s="3175"/>
      <c r="E13" s="140" t="s">
        <v>2129</v>
      </c>
      <c r="F13" s="2425"/>
      <c r="G13" s="2425"/>
      <c r="H13" s="2425"/>
      <c r="I13" s="1828"/>
    </row>
    <row r="14" spans="1:12" ht="12.75">
      <c r="A14" s="3172" t="s">
        <v>2130</v>
      </c>
      <c r="B14" s="3047">
        <v>30</v>
      </c>
      <c r="C14" s="3173">
        <v>7</v>
      </c>
      <c r="D14" s="3175">
        <v>3</v>
      </c>
      <c r="E14" s="140" t="s">
        <v>2131</v>
      </c>
      <c r="F14" s="2425"/>
      <c r="G14" s="2425"/>
      <c r="H14" s="2425"/>
      <c r="I14" s="1828"/>
    </row>
    <row r="15" spans="1:12" ht="12.75">
      <c r="A15" s="3172"/>
      <c r="B15" s="3047"/>
      <c r="C15" s="3184"/>
      <c r="D15" s="3175"/>
      <c r="E15" s="140" t="s">
        <v>2132</v>
      </c>
      <c r="F15" s="2425"/>
      <c r="G15" s="2425"/>
      <c r="H15" s="2425"/>
      <c r="I15" s="1828"/>
    </row>
    <row r="16" spans="1:12" ht="12.75">
      <c r="A16" s="3172"/>
      <c r="B16" s="3047"/>
      <c r="C16" s="3174"/>
      <c r="D16" s="3175"/>
      <c r="E16" s="140" t="s">
        <v>2133</v>
      </c>
      <c r="F16" s="2425"/>
      <c r="G16" s="2425"/>
      <c r="H16" s="2425"/>
      <c r="I16" s="1828"/>
    </row>
    <row r="17" spans="1:35" ht="15">
      <c r="A17" s="2426" t="s">
        <v>2134</v>
      </c>
      <c r="B17" s="64"/>
      <c r="C17" s="141">
        <f>SUM(C5:C16)</f>
        <v>7</v>
      </c>
      <c r="D17" s="141">
        <f>SUM(D5:D16)</f>
        <v>3</v>
      </c>
      <c r="E17" s="138"/>
      <c r="F17" s="138"/>
      <c r="G17" s="138"/>
      <c r="H17" s="138"/>
      <c r="I17" s="138"/>
      <c r="K17" s="2424"/>
      <c r="L17" s="2427" t="s">
        <v>2135</v>
      </c>
      <c r="M17" s="2427" t="s">
        <v>2136</v>
      </c>
    </row>
    <row r="18" spans="1:35" ht="15.75" thickBot="1">
      <c r="A18" s="2428" t="s">
        <v>2137</v>
      </c>
      <c r="B18" s="2429"/>
      <c r="C18" s="142">
        <f>ROUND(C17/SUM(C17:D17),2)</f>
        <v>0.7</v>
      </c>
      <c r="D18" s="142">
        <f>1-C18</f>
        <v>0.30000000000000004</v>
      </c>
      <c r="E18" s="138"/>
      <c r="F18" s="138"/>
      <c r="G18" s="138"/>
      <c r="H18" s="138"/>
      <c r="I18" s="138"/>
      <c r="K18" s="2424" t="s">
        <v>2138</v>
      </c>
      <c r="L18" s="2424">
        <f>IF(C1="",'数据-汇总表'!E3,SUMIF(项目类型,C1,'数据-汇总表'!E17:E26)+SUMIF(项目类型,C1,'数据-汇总表'!I17:I26))</f>
        <v>47.96</v>
      </c>
      <c r="M18" s="2424">
        <f>IF(C1="",'数据-汇总表'!E3,SUMIF(项目类型,C1,'数据-汇总表'!E17:E26))</f>
        <v>47.96</v>
      </c>
    </row>
    <row r="19" spans="1:35" ht="15">
      <c r="A19" s="2430" t="s">
        <v>2139</v>
      </c>
      <c r="B19" s="2431" t="s">
        <v>2140</v>
      </c>
      <c r="C19" s="143">
        <f ca="1">SUMIF(INDIRECT("'"&amp;C4&amp;"'"&amp;"!A:A"),'结果表-办公'!B19,INDIRECT("'"&amp;C4&amp;"'"&amp;"!B:B"))</f>
        <v>140</v>
      </c>
      <c r="D19" s="144">
        <f ca="1">SUMIF(INDIRECT("'"&amp;D4&amp;"'"&amp;"!A:A"),'结果表-办公'!B19,INDIRECT("'"&amp;D4&amp;"'"&amp;"!B:B"))</f>
        <v>108</v>
      </c>
      <c r="E19" s="2430" t="s">
        <v>2141</v>
      </c>
      <c r="F19" s="2431" t="s">
        <v>2140</v>
      </c>
      <c r="G19" s="145">
        <f ca="1">ROUND(C19*$C$18+D19*$D$18,0)</f>
        <v>130</v>
      </c>
      <c r="H19" s="2432" t="s">
        <v>2142</v>
      </c>
      <c r="I19" s="138"/>
      <c r="K19" s="2424" t="s">
        <v>2143</v>
      </c>
      <c r="L19" s="2424">
        <f>IF(C1="",'数据-汇总表'!D3,SUMIF(项目类型,C1,'数据-汇总表'!D17:D26)+SUMIF(项目类型,C1,'数据-汇总表'!H17:H27))</f>
        <v>0</v>
      </c>
      <c r="M19" s="2424">
        <f>IF(C1="",'数据-汇总表'!D3,SUMIF(项目类型,C1,'数据-汇总表'!D17:D26))</f>
        <v>0</v>
      </c>
    </row>
    <row r="20" spans="1:35" ht="15">
      <c r="A20" s="2433"/>
      <c r="B20" s="1245" t="s">
        <v>2144</v>
      </c>
      <c r="C20" s="146">
        <f ca="1">SUMIF(INDIRECT("'"&amp;C4&amp;"'"&amp;"!A:A"),'结果表-办公'!B20,INDIRECT("'"&amp;C4&amp;"'"&amp;"!B:B"))</f>
        <v>29247</v>
      </c>
      <c r="D20" s="147">
        <f ca="1">SUMIF(INDIRECT("'"&amp;D4&amp;"'"&amp;"!A:A"),'结果表-办公'!B20,INDIRECT("'"&amp;D4&amp;"'"&amp;"!B:B"))</f>
        <v>22519</v>
      </c>
      <c r="E20" s="2433"/>
      <c r="F20" s="1245" t="s">
        <v>2144</v>
      </c>
      <c r="G20" s="148">
        <f ca="1">ROUND(C20*$C$18+D20*$D$18,0)</f>
        <v>27229</v>
      </c>
      <c r="H20" s="978" t="s">
        <v>2145</v>
      </c>
      <c r="I20" s="138"/>
    </row>
    <row r="21" spans="1:35" ht="15" customHeight="1" thickBot="1">
      <c r="A21" s="998"/>
      <c r="B21" s="2434" t="s">
        <v>2146</v>
      </c>
      <c r="C21" s="789" t="e">
        <f ca="1">ROUND(C19*10000/L19,0)</f>
        <v>#DIV/0!</v>
      </c>
      <c r="D21" s="790" t="e">
        <f ca="1">ROUND(D19*10000/L19,0)</f>
        <v>#DIV/0!</v>
      </c>
      <c r="E21" s="998"/>
      <c r="F21" s="2434" t="s">
        <v>2146</v>
      </c>
      <c r="G21" s="149" t="e">
        <f ca="1">ROUND(G19*10000/L19,0)</f>
        <v>#DIV/0!</v>
      </c>
      <c r="H21" s="2435" t="s">
        <v>2145</v>
      </c>
      <c r="I21" s="138"/>
    </row>
    <row r="22" spans="1:35" ht="15" thickBot="1">
      <c r="A22" s="2277" t="s">
        <v>2147</v>
      </c>
      <c r="B22" s="2436"/>
      <c r="C22" s="2437"/>
      <c r="D22" s="791">
        <f ca="1">IF(C19&lt;D19,D19/C19-1,C19/D19-1)</f>
        <v>0.29629629629629628</v>
      </c>
      <c r="E22" s="138"/>
      <c r="F22" s="138"/>
      <c r="G22" s="138"/>
      <c r="H22" s="138"/>
      <c r="I22" s="138"/>
    </row>
    <row r="23" spans="1:35" ht="13.5" thickBot="1">
      <c r="A23" s="2414"/>
      <c r="B23" s="2414"/>
      <c r="C23" s="2414"/>
      <c r="D23" s="2414"/>
      <c r="E23" s="138"/>
      <c r="F23" s="138"/>
      <c r="G23" s="138"/>
      <c r="H23" s="138"/>
      <c r="I23" s="138"/>
    </row>
    <row r="24" spans="1:35" ht="14.25">
      <c r="A24" s="3185" t="s">
        <v>2148</v>
      </c>
      <c r="B24" s="2431" t="s">
        <v>2140</v>
      </c>
      <c r="C24" s="145">
        <f>IF(B30=0,0,D30)</f>
        <v>0</v>
      </c>
      <c r="D24" s="2438"/>
      <c r="E24" s="138"/>
      <c r="F24" s="138"/>
      <c r="G24" s="138"/>
      <c r="H24" s="138"/>
      <c r="I24" s="138"/>
    </row>
    <row r="25" spans="1:35" ht="14.25">
      <c r="A25" s="3186"/>
      <c r="B25" s="1245"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130</v>
      </c>
      <c r="D32" s="2445" t="s">
        <v>2155</v>
      </c>
      <c r="E32" s="138"/>
      <c r="F32" s="138"/>
      <c r="G32" s="138"/>
      <c r="H32" s="138"/>
      <c r="I32" s="138"/>
    </row>
    <row r="33" spans="1:15" ht="15">
      <c r="A33" s="955" t="s">
        <v>2156</v>
      </c>
      <c r="B33" s="2446"/>
      <c r="C33" s="2447"/>
      <c r="D33" s="2448"/>
      <c r="E33" s="2449" t="s">
        <v>2157</v>
      </c>
      <c r="F33" s="2943" t="str">
        <f>IF(D32="楼面单价","取值（单价）","取值（总价）")</f>
        <v>取值（总价）</v>
      </c>
      <c r="G33" s="138"/>
      <c r="H33" s="138"/>
      <c r="I33" s="138"/>
    </row>
    <row r="34" spans="1:15" ht="15">
      <c r="A34" s="2451"/>
      <c r="B34" s="2452" t="s">
        <v>2158</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2159</v>
      </c>
      <c r="F34" s="1734"/>
      <c r="G34" s="138"/>
      <c r="H34" s="138"/>
      <c r="I34" s="138"/>
    </row>
    <row r="35" spans="1:15" ht="15.75" thickBot="1">
      <c r="A35" s="2454"/>
      <c r="B35" s="2455"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187" t="s">
        <v>2162</v>
      </c>
      <c r="B36" s="2457" t="s">
        <v>2163</v>
      </c>
      <c r="C36" s="154"/>
      <c r="D36" s="2458"/>
      <c r="E36" s="2459"/>
      <c r="F36" s="2460"/>
      <c r="G36" s="138"/>
      <c r="H36" s="138"/>
      <c r="I36" s="138"/>
    </row>
    <row r="37" spans="1:15" ht="15.75" thickBot="1">
      <c r="A37" s="3188"/>
      <c r="B37" s="2263" t="s">
        <v>2164</v>
      </c>
      <c r="C37" s="156"/>
      <c r="D37" s="1390"/>
      <c r="E37" s="1390"/>
      <c r="F37" s="2460"/>
      <c r="G37" s="138"/>
      <c r="H37" s="138"/>
      <c r="I37" s="138"/>
    </row>
    <row r="38" spans="1:15" ht="15.75" thickBot="1">
      <c r="A38" s="3189"/>
      <c r="B38" s="2461" t="s">
        <v>2165</v>
      </c>
      <c r="C38" s="727"/>
      <c r="D38" s="2462" t="s">
        <v>2166</v>
      </c>
      <c r="E38" s="1390"/>
      <c r="F38" s="2460"/>
      <c r="G38" s="138"/>
      <c r="H38" s="138"/>
      <c r="I38" s="138"/>
    </row>
    <row r="39" spans="1:15" ht="15">
      <c r="A39" s="2433" t="s">
        <v>2167</v>
      </c>
      <c r="B39" s="2463" t="s">
        <v>2150</v>
      </c>
      <c r="C39" s="2464" t="s">
        <v>2151</v>
      </c>
      <c r="D39" s="2464" t="s">
        <v>2170</v>
      </c>
      <c r="E39" s="2465" t="s">
        <v>2152</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90" t="s">
        <v>2176</v>
      </c>
      <c r="B45" s="3191"/>
      <c r="C45" s="3192"/>
      <c r="D45" s="164">
        <f ca="1">ROUND(H101*F45,0)</f>
        <v>130</v>
      </c>
      <c r="E45" s="165" t="s">
        <v>2177</v>
      </c>
      <c r="F45" s="166">
        <v>1</v>
      </c>
      <c r="G45" s="167" t="s">
        <v>2178</v>
      </c>
      <c r="H45" s="138"/>
      <c r="I45" s="138"/>
      <c r="J45" s="3193" t="s">
        <v>2179</v>
      </c>
      <c r="K45" s="3193"/>
      <c r="L45" s="3193"/>
      <c r="M45" s="3193"/>
      <c r="N45" s="3193"/>
      <c r="O45" s="3193"/>
    </row>
    <row r="46" spans="1:15" ht="14.25" customHeight="1">
      <c r="A46" s="3194" t="s">
        <v>2180</v>
      </c>
      <c r="B46" s="3195"/>
      <c r="C46" s="3195"/>
      <c r="D46" s="3195"/>
      <c r="E46" s="3195"/>
      <c r="F46" s="3195"/>
      <c r="G46" s="3196"/>
      <c r="H46" s="2476"/>
      <c r="I46" s="168"/>
      <c r="J46" s="2952">
        <v>1</v>
      </c>
      <c r="K46" s="3193" t="s">
        <v>2181</v>
      </c>
      <c r="L46" s="3193"/>
      <c r="M46" s="3197"/>
      <c r="N46" s="3197"/>
      <c r="O46" s="3197"/>
    </row>
    <row r="47" spans="1:15" ht="12" customHeight="1">
      <c r="A47" s="169" t="s">
        <v>2182</v>
      </c>
      <c r="B47" s="170"/>
      <c r="C47" s="171"/>
      <c r="D47" s="172" t="s">
        <v>2183</v>
      </c>
      <c r="E47" s="24" t="s">
        <v>2184</v>
      </c>
      <c r="F47" s="173" t="s">
        <v>2185</v>
      </c>
      <c r="G47" s="174" t="s">
        <v>2186</v>
      </c>
      <c r="H47" s="2476"/>
      <c r="I47" s="168"/>
      <c r="J47" s="2952">
        <v>2</v>
      </c>
      <c r="K47" s="3193" t="s">
        <v>2187</v>
      </c>
      <c r="L47" s="3193"/>
      <c r="M47" s="3198">
        <f>'数据-取费表'!B2</f>
        <v>43494</v>
      </c>
      <c r="N47" s="3198"/>
      <c r="O47" s="3198"/>
    </row>
    <row r="48" spans="1:15" ht="25.5">
      <c r="A48" s="3199" t="s">
        <v>2188</v>
      </c>
      <c r="B48" s="3200"/>
      <c r="C48" s="3200"/>
      <c r="D48" s="140">
        <f>IF(H48="情况1",0,IF(H48="情况2",D52,IF(H48="情况3",D53,IF(H48="情况4",D54))))</f>
        <v>0</v>
      </c>
      <c r="E48" s="2961" t="str">
        <f>IF(H48="情况4","(销售额-原购置价)×税（费）率","销售额×税（费）率")</f>
        <v>销售额×税（费）率</v>
      </c>
      <c r="F48" s="175" t="str">
        <f>IF(H48="情况1","免征",'数据-取费表'!B41)</f>
        <v>免征</v>
      </c>
      <c r="G48" s="2477" t="s">
        <v>2189</v>
      </c>
      <c r="H48" s="2478" t="s">
        <v>2190</v>
      </c>
      <c r="I48" s="2476"/>
      <c r="J48" s="2952">
        <v>3</v>
      </c>
      <c r="K48" s="3193" t="s">
        <v>2191</v>
      </c>
      <c r="L48" s="3193"/>
      <c r="M48" s="3201">
        <f ca="1">H101</f>
        <v>130</v>
      </c>
      <c r="N48" s="3201"/>
      <c r="O48" s="3201"/>
    </row>
    <row r="49" spans="1:35" ht="25.5" customHeight="1">
      <c r="A49" s="176" t="s">
        <v>2192</v>
      </c>
      <c r="B49" s="3202" t="s">
        <v>2193</v>
      </c>
      <c r="C49" s="3202"/>
      <c r="D49" s="177">
        <v>0</v>
      </c>
      <c r="E49" s="23" t="s">
        <v>2194</v>
      </c>
      <c r="F49" s="28" t="s">
        <v>34</v>
      </c>
      <c r="G49" s="3203"/>
      <c r="H49" s="138"/>
      <c r="I49" s="2479"/>
      <c r="J49" s="2952">
        <v>4</v>
      </c>
      <c r="K49" s="3193" t="str">
        <f>IF(项目基本情况!E8="房地产抵押价值","房地产抵押价值","抵押担保权已注销时的房地产抵押价值")</f>
        <v>房地产抵押价值</v>
      </c>
      <c r="L49" s="3193"/>
      <c r="M49" s="3201">
        <f ca="1">IF(项目基本情况!E8="房地产抵押价值",H107,H109)</f>
        <v>130</v>
      </c>
      <c r="N49" s="3201"/>
      <c r="O49" s="3201"/>
    </row>
    <row r="50" spans="1:35" ht="25.5" customHeight="1">
      <c r="A50" s="178"/>
      <c r="B50" s="3202" t="s">
        <v>2195</v>
      </c>
      <c r="C50" s="3202"/>
      <c r="D50" s="179"/>
      <c r="E50" s="31"/>
      <c r="F50" s="180"/>
      <c r="G50" s="3204"/>
      <c r="H50" s="138"/>
      <c r="I50" s="2479"/>
      <c r="J50" s="3193" t="s">
        <v>2196</v>
      </c>
      <c r="K50" s="3193"/>
      <c r="L50" s="3193"/>
      <c r="M50" s="3193"/>
      <c r="N50" s="3193"/>
      <c r="O50" s="3193"/>
    </row>
    <row r="51" spans="1:35" ht="12" customHeight="1">
      <c r="A51" s="181"/>
      <c r="B51" s="3202" t="s">
        <v>2197</v>
      </c>
      <c r="C51" s="3202"/>
      <c r="D51" s="182"/>
      <c r="E51" s="30"/>
      <c r="F51" s="180"/>
      <c r="G51" s="3205"/>
      <c r="H51" s="138"/>
      <c r="I51" s="2479"/>
      <c r="J51" s="2945" t="s">
        <v>2198</v>
      </c>
      <c r="K51" s="3193" t="s">
        <v>2199</v>
      </c>
      <c r="L51" s="3193"/>
      <c r="M51" s="2945" t="s">
        <v>2200</v>
      </c>
      <c r="N51" s="2945" t="s">
        <v>2201</v>
      </c>
      <c r="O51" s="2945" t="s">
        <v>2202</v>
      </c>
    </row>
    <row r="52" spans="1:35" ht="24" customHeight="1">
      <c r="A52" s="183" t="s">
        <v>2203</v>
      </c>
      <c r="B52" s="3202" t="s">
        <v>2204</v>
      </c>
      <c r="C52" s="3202"/>
      <c r="D52" s="182">
        <f ca="1">ROUND(D45*'数据-取费表'!B41/(1+'数据-取费表'!C42),0)</f>
        <v>7</v>
      </c>
      <c r="E52" s="11" t="s">
        <v>2205</v>
      </c>
      <c r="F52" s="184">
        <f>'数据-取费表'!B41</f>
        <v>5.5000000000000007E-2</v>
      </c>
      <c r="G52" s="2481"/>
      <c r="H52" s="138"/>
      <c r="I52" s="2479"/>
      <c r="J52" s="2952">
        <v>1</v>
      </c>
      <c r="K52" s="3208" t="s">
        <v>2206</v>
      </c>
      <c r="L52" s="3208"/>
      <c r="M52" s="1749">
        <f>D48</f>
        <v>0</v>
      </c>
      <c r="N52" s="2952" t="str">
        <f>E48</f>
        <v>销售额×税（费）率</v>
      </c>
      <c r="O52" s="1750" t="str">
        <f>F48</f>
        <v>免征</v>
      </c>
    </row>
    <row r="53" spans="1:35" ht="12" customHeight="1">
      <c r="A53" s="183" t="s">
        <v>2207</v>
      </c>
      <c r="B53" s="3206" t="s">
        <v>2208</v>
      </c>
      <c r="C53" s="3207"/>
      <c r="D53" s="182">
        <f ca="1">ROUND(D45*'数据-取费表'!B41/(1+'数据-取费表'!C42),0)</f>
        <v>7</v>
      </c>
      <c r="E53" s="11" t="s">
        <v>2205</v>
      </c>
      <c r="F53" s="184">
        <f>'数据-取费表'!B41</f>
        <v>5.5000000000000007E-2</v>
      </c>
      <c r="G53" s="2481"/>
      <c r="H53" s="138"/>
      <c r="I53" s="2479"/>
      <c r="J53" s="2952">
        <v>2</v>
      </c>
      <c r="K53" s="3208" t="s">
        <v>2209</v>
      </c>
      <c r="L53" s="3208"/>
      <c r="M53" s="1749">
        <f t="shared" ref="M53:O54" ca="1" si="0">D55</f>
        <v>0</v>
      </c>
      <c r="N53" s="2952" t="str">
        <f t="shared" si="0"/>
        <v>销售额×税（费）率</v>
      </c>
      <c r="O53" s="1750">
        <f t="shared" si="0"/>
        <v>5.0000000000000001E-4</v>
      </c>
    </row>
    <row r="54" spans="1:35" ht="12" customHeight="1">
      <c r="A54" s="183" t="s">
        <v>2210</v>
      </c>
      <c r="B54" s="3206" t="s">
        <v>2211</v>
      </c>
      <c r="C54" s="3207"/>
      <c r="D54" s="182">
        <f ca="1">C68</f>
        <v>7</v>
      </c>
      <c r="E54" s="30" t="s">
        <v>2212</v>
      </c>
      <c r="F54" s="184">
        <f>'数据-取费表'!B41</f>
        <v>5.5000000000000007E-2</v>
      </c>
      <c r="G54" s="2481"/>
      <c r="H54" s="2482"/>
      <c r="I54" s="2479"/>
      <c r="J54" s="2952">
        <v>3</v>
      </c>
      <c r="K54" s="3208" t="s">
        <v>2213</v>
      </c>
      <c r="L54" s="3208"/>
      <c r="M54" s="1749">
        <f t="shared" ca="1" si="0"/>
        <v>73</v>
      </c>
      <c r="N54" s="2952" t="str">
        <f t="shared" si="0"/>
        <v>增值额×税（费）率</v>
      </c>
      <c r="O54" s="1751" t="str">
        <f t="shared" si="0"/>
        <v>——</v>
      </c>
    </row>
    <row r="55" spans="1:35" ht="24" customHeight="1">
      <c r="A55" s="3209" t="s">
        <v>2214</v>
      </c>
      <c r="B55" s="3200"/>
      <c r="C55" s="3200"/>
      <c r="D55" s="185">
        <f ca="1">IF(H55="个人住宅",0,ROUND(D45*I55,0))</f>
        <v>0</v>
      </c>
      <c r="E55" s="11" t="s">
        <v>2215</v>
      </c>
      <c r="F55" s="184">
        <f>IF(H55="正常",I55,"免征")</f>
        <v>5.0000000000000001E-4</v>
      </c>
      <c r="G55" s="2481"/>
      <c r="H55" s="2478" t="s">
        <v>2216</v>
      </c>
      <c r="I55" s="186">
        <f>'数据-取费表'!B49</f>
        <v>5.0000000000000001E-4</v>
      </c>
      <c r="J55" s="2952" t="str">
        <f>IF(H59="非个人房产","",4)</f>
        <v/>
      </c>
      <c r="K55" s="3208" t="str">
        <f>IF(H59="非个人房产","——","个人所得税")</f>
        <v>——</v>
      </c>
      <c r="L55" s="3208"/>
      <c r="M55" s="1752" t="str">
        <f>D59</f>
        <v>——</v>
      </c>
      <c r="N55" s="2953" t="str">
        <f>E59</f>
        <v>——</v>
      </c>
      <c r="O55" s="1753" t="str">
        <f>F59</f>
        <v>——</v>
      </c>
    </row>
    <row r="56" spans="1:35" ht="24.75">
      <c r="A56" s="3209" t="s">
        <v>2217</v>
      </c>
      <c r="B56" s="3200"/>
      <c r="C56" s="3200"/>
      <c r="D56" s="185">
        <f ca="1">IF(H56="个人住宅",D57,D58)</f>
        <v>73</v>
      </c>
      <c r="E56" s="11" t="s">
        <v>2218</v>
      </c>
      <c r="F56" s="184" t="str">
        <f>IF(H56="正常",F58,"免征")</f>
        <v>——</v>
      </c>
      <c r="G56" s="2483" t="s">
        <v>2219</v>
      </c>
      <c r="H56" s="2484" t="s">
        <v>2216</v>
      </c>
      <c r="I56" s="2485"/>
      <c r="J56" s="2952" t="str">
        <f>IF(项目基本情况!K6="上海银行",IF(J55="",4,J55+1),"")</f>
        <v/>
      </c>
      <c r="K56" s="3210" t="str">
        <f>IF(项目基本情况!K6="上海银行","其他处置费用","")</f>
        <v/>
      </c>
      <c r="L56" s="3211"/>
      <c r="M56" s="1749" t="str">
        <f>IF(项目基本情况!K6="上海银行",M69,"")</f>
        <v/>
      </c>
      <c r="N56" s="3218" t="str">
        <f>IF(项目基本情况!K6="上海银行","包含处置中涉及的律师、诉讼、拍卖、评估等费用","")</f>
        <v/>
      </c>
      <c r="O56" s="3219"/>
    </row>
    <row r="57" spans="1:35" ht="12.75">
      <c r="A57" s="183" t="s">
        <v>2192</v>
      </c>
      <c r="B57" s="3181" t="s">
        <v>2220</v>
      </c>
      <c r="C57" s="3183"/>
      <c r="D57" s="187">
        <v>0</v>
      </c>
      <c r="E57" s="23" t="s">
        <v>2194</v>
      </c>
      <c r="F57" s="155"/>
      <c r="G57" s="2481"/>
      <c r="H57" s="2485"/>
      <c r="I57" s="2485"/>
      <c r="J57" s="3208">
        <f>IF(AND(J55="",J56=""),4,IF(项目基本情况!K6="上海银行",'结果表-办公'!J56+1,'结果表-办公'!J55+1))</f>
        <v>4</v>
      </c>
      <c r="K57" s="3208" t="s">
        <v>2221</v>
      </c>
      <c r="L57" s="2486" t="s">
        <v>2222</v>
      </c>
      <c r="M57" s="1754"/>
      <c r="N57" s="1755">
        <f ca="1">SUMIF(M52:M56,"&lt;9e307")</f>
        <v>73</v>
      </c>
      <c r="O57" s="2487"/>
      <c r="P57" s="1748">
        <f ca="1">N57/M49</f>
        <v>0.56153846153846154</v>
      </c>
    </row>
    <row r="58" spans="1:35" ht="24.75">
      <c r="A58" s="183" t="s">
        <v>2203</v>
      </c>
      <c r="B58" s="3181" t="s">
        <v>2223</v>
      </c>
      <c r="C58" s="3182"/>
      <c r="D58" s="185">
        <f ca="1">IF(H58="转让取得",C81,C97)</f>
        <v>73</v>
      </c>
      <c r="E58" s="11" t="s">
        <v>2218</v>
      </c>
      <c r="F58" s="24" t="s">
        <v>34</v>
      </c>
      <c r="G58" s="2481"/>
      <c r="H58" s="2484" t="s">
        <v>2224</v>
      </c>
      <c r="I58" s="2485"/>
      <c r="J58" s="3208"/>
      <c r="K58" s="3208"/>
      <c r="L58" s="2486" t="s">
        <v>2225</v>
      </c>
      <c r="M58" s="1756"/>
      <c r="N58" s="2488" t="str">
        <f ca="1">NUMBERSTRING(INT(N57*10000),2)&amp;"元整"</f>
        <v>柒拾叁万元整</v>
      </c>
      <c r="O58" s="2489"/>
    </row>
    <row r="59" spans="1:35" ht="24.75" thickBot="1">
      <c r="A59" s="3220" t="s">
        <v>2226</v>
      </c>
      <c r="B59" s="3221"/>
      <c r="C59" s="3221"/>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222">
        <f>J57+1</f>
        <v>5</v>
      </c>
      <c r="K59" s="3208" t="s">
        <v>2228</v>
      </c>
      <c r="L59" s="2952" t="s">
        <v>2222</v>
      </c>
      <c r="M59" s="1757"/>
      <c r="N59" s="1758">
        <f ca="1">M49-N57</f>
        <v>57</v>
      </c>
      <c r="O59" s="2491"/>
    </row>
    <row r="60" spans="1:35" ht="12" customHeight="1">
      <c r="A60" s="2492"/>
      <c r="B60" s="2414"/>
      <c r="C60" s="2414"/>
      <c r="D60" s="2414"/>
      <c r="E60" s="2162"/>
      <c r="F60" s="2485"/>
      <c r="G60" s="2485"/>
      <c r="H60" s="2493"/>
      <c r="I60" s="138"/>
      <c r="J60" s="3223"/>
      <c r="K60" s="3208"/>
      <c r="L60" s="2486" t="s">
        <v>2225</v>
      </c>
      <c r="M60" s="1756"/>
      <c r="N60" s="2488" t="str">
        <f ca="1">NUMBERSTRING(INT(N59*10000),2)&amp;"元整"</f>
        <v>伍拾柒万元整</v>
      </c>
      <c r="O60" s="2489"/>
    </row>
    <row r="61" spans="1:35" ht="13.5" thickBot="1">
      <c r="A61" s="3212" t="s">
        <v>2229</v>
      </c>
      <c r="B61" s="3212"/>
      <c r="C61" s="3212"/>
      <c r="D61" s="3212"/>
      <c r="E61" s="3212"/>
      <c r="F61" s="2485"/>
      <c r="G61" s="2485"/>
      <c r="H61" s="2493"/>
      <c r="I61" s="138"/>
      <c r="J61" s="2952">
        <f>J59+1</f>
        <v>6</v>
      </c>
      <c r="K61" s="3208" t="s">
        <v>2230</v>
      </c>
      <c r="L61" s="3208"/>
      <c r="M61" s="1759"/>
      <c r="N61" s="1760">
        <f ca="1">ROUND(N59*10000/'数据-汇总表'!E3,0)</f>
        <v>9</v>
      </c>
      <c r="O61" s="2494"/>
    </row>
    <row r="62" spans="1:35" ht="12.75">
      <c r="A62" s="3213" t="s">
        <v>2231</v>
      </c>
      <c r="B62" s="3214"/>
      <c r="C62" s="2957"/>
      <c r="D62" s="2957" t="s">
        <v>2232</v>
      </c>
      <c r="E62" s="192" t="s">
        <v>2233</v>
      </c>
      <c r="F62" s="2485"/>
      <c r="G62" s="2485"/>
      <c r="H62" s="2493"/>
      <c r="I62" s="138"/>
    </row>
    <row r="63" spans="1:35" ht="12.75">
      <c r="A63" s="203" t="s">
        <v>775</v>
      </c>
      <c r="B63" s="193" t="s">
        <v>2234</v>
      </c>
      <c r="C63" s="194">
        <f ca="1">ROUND((C64+C65)/(1+'数据-取费表'!C42),0)</f>
        <v>124</v>
      </c>
      <c r="D63" s="195"/>
      <c r="E63" s="196"/>
      <c r="F63" s="2485"/>
      <c r="G63" s="2485"/>
      <c r="H63" s="2493"/>
      <c r="I63" s="138"/>
      <c r="J63" s="3215" t="s">
        <v>2235</v>
      </c>
      <c r="K63" s="2948" t="s">
        <v>2236</v>
      </c>
      <c r="L63" s="1747">
        <f ca="1">IF(M49&gt;10000,M49*0.5%,IF(AND(M49&gt;1000,M49&lt;=10000),M49*1%,IF(AND(M49&gt;100,M49&lt;=1000),M49*3%,IF(AND(M49&gt;10,M49&lt;=100),M49*5%,M49*8%))))</f>
        <v>3.9</v>
      </c>
      <c r="M63" s="24">
        <f ca="1">ROUND(L63,1)</f>
        <v>3.9</v>
      </c>
      <c r="Z63" s="2419"/>
      <c r="AI63" s="2420"/>
    </row>
    <row r="64" spans="1:35" ht="14.25" customHeight="1">
      <c r="A64" s="197" t="s">
        <v>770</v>
      </c>
      <c r="B64" s="198" t="s">
        <v>2237</v>
      </c>
      <c r="C64" s="199">
        <f ca="1">D45</f>
        <v>130</v>
      </c>
      <c r="D64" s="200" t="s">
        <v>32</v>
      </c>
      <c r="E64" s="201"/>
      <c r="F64" s="2485"/>
      <c r="G64" s="2485"/>
      <c r="H64" s="2493"/>
      <c r="I64" s="138"/>
      <c r="J64" s="3215"/>
      <c r="K64" s="2948" t="s">
        <v>2238</v>
      </c>
      <c r="L64" s="1747">
        <f ca="1">IF(M49&gt;2000,M49*0.5%,IF(AND(M49&gt;1000,M49&lt;=2000),M49*0.6%,IF(AND(M49&gt;500,M49&lt;=1000),M49*0.7%,IF(AND(M49&gt;200,M49&lt;=500),M49*0.8%,IF(AND(M49&gt;100,M49&lt;=200),M49*0.9%,IF(AND(M49&gt;50,M49&lt;=100),M49*1%,IF(AND(M49&gt;20,M49&lt;=50),M49*1.5%,IF(AND(M49&gt;10,M49&lt;=20),M49*2%,IF(AND(M49&gt;1,M49&lt;=10),M49*2.5%)))))))))</f>
        <v>1.1700000000000002</v>
      </c>
      <c r="M64" s="24">
        <f t="shared" ref="M64:M65" ca="1" si="1">ROUND(L64,1)</f>
        <v>1.2</v>
      </c>
      <c r="N64" s="138" t="s">
        <v>2239</v>
      </c>
      <c r="Z64" s="2419"/>
      <c r="AI64" s="2420"/>
    </row>
    <row r="65" spans="1:35" ht="14.25" customHeight="1">
      <c r="A65" s="197" t="s">
        <v>771</v>
      </c>
      <c r="B65" s="198" t="s">
        <v>2240</v>
      </c>
      <c r="C65" s="202"/>
      <c r="D65" s="200"/>
      <c r="E65" s="201"/>
      <c r="F65" s="2485"/>
      <c r="G65" s="2485"/>
      <c r="H65" s="2493"/>
      <c r="I65" s="138"/>
      <c r="J65" s="3215"/>
      <c r="K65" s="2948" t="s">
        <v>2241</v>
      </c>
      <c r="L65" s="1747">
        <f ca="1">IF(M49&gt;1000,M49*0.1%,IF(AND(M49&gt;500,M49&lt;=1000),M49*0.5%,IF(AND(M49&gt;50,M49&lt;=500),M49*1%,IF(AND(M49&gt;1,M49&lt;=50),M49*1.5%))))</f>
        <v>1.3</v>
      </c>
      <c r="M65" s="24">
        <f t="shared" ca="1" si="1"/>
        <v>1.3</v>
      </c>
      <c r="N65" s="138" t="s">
        <v>2239</v>
      </c>
      <c r="Z65" s="2419"/>
      <c r="AI65" s="2420"/>
    </row>
    <row r="66" spans="1:35" ht="14.25" customHeight="1">
      <c r="A66" s="203" t="s">
        <v>772</v>
      </c>
      <c r="B66" s="204" t="s">
        <v>2242</v>
      </c>
      <c r="C66" s="205"/>
      <c r="D66" s="206" t="s">
        <v>32</v>
      </c>
      <c r="E66" s="1770" t="s">
        <v>1367</v>
      </c>
      <c r="F66" s="2485"/>
      <c r="G66" s="2485"/>
      <c r="H66" s="2493"/>
      <c r="I66" s="138"/>
      <c r="J66" s="3215"/>
      <c r="K66" s="2948" t="s">
        <v>2243</v>
      </c>
      <c r="L66" s="1747">
        <f ca="1">M49*0.5%</f>
        <v>0.65</v>
      </c>
      <c r="M66" s="24">
        <f ca="1">IF(L66&gt;0.5,0.5,ROUND(L66,0))</f>
        <v>0.5</v>
      </c>
      <c r="N66" s="138" t="s">
        <v>2244</v>
      </c>
      <c r="Z66" s="2419"/>
      <c r="AI66" s="2420"/>
    </row>
    <row r="67" spans="1:35" ht="14.25" customHeight="1">
      <c r="A67" s="203" t="s">
        <v>773</v>
      </c>
      <c r="B67" s="204" t="s">
        <v>2245</v>
      </c>
      <c r="C67" s="207">
        <f ca="1">C63-C66</f>
        <v>124</v>
      </c>
      <c r="D67" s="200" t="s">
        <v>32</v>
      </c>
      <c r="E67" s="201"/>
      <c r="F67" s="2485"/>
      <c r="G67" s="2485"/>
      <c r="H67" s="2493"/>
      <c r="I67" s="138"/>
      <c r="J67" s="3215"/>
      <c r="K67" s="2948" t="s">
        <v>2246</v>
      </c>
      <c r="L67" s="1747">
        <f ca="1">IF(M49&gt;=10000,(8.25+(M49-10000)*0.01%),IF(AND(M49&gt;=8000,M49&lt;10000),(7.85+(M49-8000)*0.02%),IF(AND(M49&gt;=5000,M49&lt;8000),(6.65+(M49-5000)*0.04%),IF(AND(M49&gt;=2000,M49&lt;5000),(4.25+(PM49-2000)*0.08%),IF(AND(M49&gt;=1000,M49&lt;2000),(2.75+(M49-1000)*0.15%),IF(AND(M49&gt;=100,M49&lt;1000),(0.5+(M49-100)*0.25%),IF(AND(M49&gt;0,M49&lt;100),M49*0.5%)))))))</f>
        <v>0.57499999999999996</v>
      </c>
      <c r="M67" s="24">
        <f ca="1">ROUND(L67*0.9,1)</f>
        <v>0.5</v>
      </c>
      <c r="Z67" s="2419"/>
      <c r="AI67" s="2420"/>
    </row>
    <row r="68" spans="1:35" ht="14.25" customHeight="1" thickBot="1">
      <c r="A68" s="208" t="s">
        <v>774</v>
      </c>
      <c r="B68" s="209" t="s">
        <v>2247</v>
      </c>
      <c r="C68" s="210">
        <f ca="1">IF(C67&lt;=0,0,ROUND(C67*D68,0))</f>
        <v>7</v>
      </c>
      <c r="D68" s="211">
        <f>'数据-取费表'!B41</f>
        <v>5.5000000000000007E-2</v>
      </c>
      <c r="E68" s="212"/>
      <c r="F68" s="2485"/>
      <c r="G68" s="2485"/>
      <c r="H68" s="2493"/>
      <c r="I68" s="138"/>
      <c r="J68" s="3215"/>
      <c r="K68" s="2948" t="s">
        <v>2248</v>
      </c>
      <c r="L68" s="1747">
        <f ca="1">IF(M49&gt;10000,M49*0.5%,IF(AND(M49&gt;5000,M49&lt;=10000),M49*1%,IF(AND(M49&gt;1000,M49&lt;=5000),M49*2%,IF(AND(M49&gt;200,M49&lt;=1000),M49*3%,M49*5%))))</f>
        <v>6.5</v>
      </c>
      <c r="M68" s="24">
        <f ca="1">ROUND(L68,1)</f>
        <v>6.5</v>
      </c>
      <c r="Z68" s="2419"/>
      <c r="AI68" s="2420"/>
    </row>
    <row r="69" spans="1:35" s="2442" customFormat="1" ht="16.5" customHeight="1">
      <c r="A69" s="2496"/>
      <c r="B69" s="2497"/>
      <c r="C69" s="2498"/>
      <c r="D69" s="2499"/>
      <c r="E69" s="2500"/>
      <c r="F69" s="2162"/>
      <c r="G69" s="2162"/>
      <c r="H69" s="2161"/>
      <c r="I69" s="2414"/>
      <c r="J69" s="3215"/>
      <c r="K69" s="2948" t="s">
        <v>2249</v>
      </c>
      <c r="L69" s="2501"/>
      <c r="M69" s="24">
        <f ca="1">ROUND(SUM(M63:M68),0)</f>
        <v>14</v>
      </c>
      <c r="N69" s="1748">
        <f ca="1">M69/M49</f>
        <v>0.1076923076923077</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16" t="s">
        <v>2250</v>
      </c>
      <c r="B70" s="3217"/>
      <c r="C70" s="3217"/>
      <c r="D70" s="3217"/>
      <c r="E70" s="3217"/>
      <c r="F70" s="3217"/>
      <c r="G70" s="3217"/>
      <c r="H70" s="321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213" t="s">
        <v>2231</v>
      </c>
      <c r="B71" s="3214"/>
      <c r="C71" s="2957"/>
      <c r="D71" s="2957"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124</v>
      </c>
      <c r="D72" s="200" t="s">
        <v>32</v>
      </c>
      <c r="E72" s="2959"/>
      <c r="F72" s="2958"/>
      <c r="G72" s="2958"/>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1</v>
      </c>
      <c r="D73" s="200" t="s">
        <v>32</v>
      </c>
      <c r="E73" s="2959"/>
      <c r="F73" s="2958"/>
      <c r="G73" s="2958"/>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2959"/>
      <c r="F74" s="2958"/>
      <c r="G74" s="2958"/>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206" t="s">
        <v>2259</v>
      </c>
      <c r="F76" s="3202"/>
      <c r="G76" s="3202"/>
      <c r="H76" s="323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2949" t="s">
        <v>2261</v>
      </c>
      <c r="F77" s="224"/>
      <c r="G77" s="2509" t="s">
        <v>2262</v>
      </c>
      <c r="H77" s="296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1</v>
      </c>
      <c r="D78" s="226">
        <f>'数据-取费表'!B43</f>
        <v>5.000000000000001E-3</v>
      </c>
      <c r="E78" s="3224" t="s">
        <v>2264</v>
      </c>
      <c r="F78" s="3225"/>
      <c r="G78" s="3225"/>
      <c r="H78" s="322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2265</v>
      </c>
      <c r="C79" s="207">
        <f ca="1">C72-C73</f>
        <v>123</v>
      </c>
      <c r="D79" s="200" t="s">
        <v>32</v>
      </c>
      <c r="E79" s="2959"/>
      <c r="F79" s="2958"/>
      <c r="G79" s="2958"/>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123</v>
      </c>
      <c r="D80" s="200" t="s">
        <v>32</v>
      </c>
      <c r="E80" s="2949"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16" t="s">
        <v>2268</v>
      </c>
      <c r="B83" s="3217"/>
      <c r="C83" s="3217"/>
      <c r="D83" s="3217"/>
      <c r="E83" s="3217"/>
      <c r="F83" s="3217"/>
      <c r="G83" s="3217"/>
      <c r="H83" s="321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213" t="s">
        <v>2231</v>
      </c>
      <c r="B84" s="3214"/>
      <c r="C84" s="2957"/>
      <c r="D84" s="2957"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124</v>
      </c>
      <c r="D85" s="200" t="s">
        <v>32</v>
      </c>
      <c r="E85" s="2959"/>
      <c r="F85" s="2958"/>
      <c r="G85" s="2958"/>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1</v>
      </c>
      <c r="D86" s="235"/>
      <c r="E86" s="2959"/>
      <c r="F86" s="2958"/>
      <c r="G86" s="2958"/>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2954"/>
      <c r="F87" s="2955"/>
      <c r="G87" s="2955"/>
      <c r="H87" s="295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2955"/>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2955"/>
      <c r="G89" s="2955"/>
      <c r="H89" s="295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2955"/>
      <c r="G90" s="2955"/>
      <c r="H90" s="295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224" t="s">
        <v>2277</v>
      </c>
      <c r="F91" s="3225"/>
      <c r="G91" s="3225"/>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224" t="s">
        <v>2281</v>
      </c>
      <c r="F92" s="3225"/>
      <c r="G92" s="3225"/>
      <c r="H92" s="322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1</v>
      </c>
      <c r="D93" s="226">
        <f>'数据-取费表'!B43</f>
        <v>5.000000000000001E-3</v>
      </c>
      <c r="E93" s="3224" t="s">
        <v>2264</v>
      </c>
      <c r="F93" s="3225"/>
      <c r="G93" s="3225"/>
      <c r="H93" s="322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227" t="s">
        <v>2285</v>
      </c>
      <c r="F94" s="3228"/>
      <c r="G94" s="3228"/>
      <c r="H94" s="322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2265</v>
      </c>
      <c r="C95" s="207">
        <f ca="1">ROUND(C85-C86,0)</f>
        <v>123</v>
      </c>
      <c r="D95" s="200" t="s">
        <v>32</v>
      </c>
      <c r="E95" s="2959"/>
      <c r="F95" s="2958"/>
      <c r="G95" s="2958"/>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123</v>
      </c>
      <c r="D96" s="200" t="s">
        <v>32</v>
      </c>
      <c r="E96" s="2949"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2286</v>
      </c>
      <c r="B99" s="2414"/>
      <c r="C99" s="2414"/>
      <c r="D99" s="2414"/>
      <c r="E99" s="2162"/>
      <c r="F99" s="2162"/>
      <c r="G99" s="2162"/>
      <c r="H99" s="2161"/>
      <c r="I99" s="138"/>
    </row>
    <row r="100" spans="1:35" ht="18.75" customHeight="1">
      <c r="A100" s="3090" t="s">
        <v>2287</v>
      </c>
      <c r="B100" s="3091"/>
      <c r="C100" s="3091"/>
      <c r="D100" s="3230"/>
      <c r="E100" s="3091" t="s">
        <v>2288</v>
      </c>
      <c r="F100" s="3091"/>
      <c r="G100" s="3091"/>
      <c r="H100" s="3230"/>
      <c r="I100" s="138"/>
    </row>
    <row r="101" spans="1:35" ht="18.75" customHeight="1">
      <c r="A101" s="3231" t="s">
        <v>2289</v>
      </c>
      <c r="B101" s="3232"/>
      <c r="C101" s="736" t="str">
        <f>C4</f>
        <v>比较法-办公</v>
      </c>
      <c r="D101" s="737" t="str">
        <f>D4</f>
        <v>收益法-办公</v>
      </c>
      <c r="E101" s="3233" t="s">
        <v>2290</v>
      </c>
      <c r="F101" s="3234"/>
      <c r="G101" s="2516" t="s">
        <v>2291</v>
      </c>
      <c r="H101" s="1043">
        <f ca="1">H118</f>
        <v>130</v>
      </c>
      <c r="I101" s="138"/>
    </row>
    <row r="102" spans="1:35" ht="18.75" customHeight="1">
      <c r="A102" s="3235" t="s">
        <v>2292</v>
      </c>
      <c r="B102" s="2516" t="s">
        <v>2291</v>
      </c>
      <c r="C102" s="736">
        <f ca="1">C19</f>
        <v>140</v>
      </c>
      <c r="D102" s="737">
        <f ca="1">D19</f>
        <v>108</v>
      </c>
      <c r="E102" s="3233"/>
      <c r="F102" s="3234"/>
      <c r="G102" s="2516" t="s">
        <v>2293</v>
      </c>
      <c r="H102" s="371">
        <f ca="1">I118</f>
        <v>27106</v>
      </c>
      <c r="I102" s="138"/>
    </row>
    <row r="103" spans="1:35" ht="42.75" customHeight="1">
      <c r="A103" s="3235"/>
      <c r="B103" s="2516" t="s">
        <v>2293</v>
      </c>
      <c r="C103" s="738">
        <f ca="1">C20</f>
        <v>29247</v>
      </c>
      <c r="D103" s="739">
        <f ca="1">D20</f>
        <v>22519</v>
      </c>
      <c r="E103" s="3236" t="s">
        <v>2294</v>
      </c>
      <c r="F103" s="3237"/>
      <c r="G103" s="2517" t="s">
        <v>2295</v>
      </c>
      <c r="H103" s="1043">
        <f>IF(D36="正常操作",H104+H105+H106,H105+H106)</f>
        <v>0</v>
      </c>
      <c r="I103" s="138"/>
    </row>
    <row r="104" spans="1:35" ht="18.75" customHeight="1">
      <c r="A104" s="3235" t="s">
        <v>2296</v>
      </c>
      <c r="B104" s="2518" t="s">
        <v>2291</v>
      </c>
      <c r="C104" s="740">
        <f ca="1">H118</f>
        <v>130</v>
      </c>
      <c r="D104" s="741"/>
      <c r="E104" s="2263" t="s">
        <v>2297</v>
      </c>
      <c r="F104" s="2254"/>
      <c r="G104" s="2517" t="s">
        <v>2295</v>
      </c>
      <c r="H104" s="1044">
        <f>IF(D36="同一抵押权人同一抵押物续贷",C36&amp;"（未扣减，详见特别提示）",C36)</f>
        <v>0</v>
      </c>
      <c r="I104" s="138"/>
    </row>
    <row r="105" spans="1:35" ht="18.75" customHeight="1" thickBot="1">
      <c r="A105" s="3244"/>
      <c r="B105" s="2519" t="s">
        <v>2293</v>
      </c>
      <c r="C105" s="742">
        <f ca="1">I118</f>
        <v>27106</v>
      </c>
      <c r="D105" s="743"/>
      <c r="E105" s="2263" t="s">
        <v>2298</v>
      </c>
      <c r="F105" s="2254"/>
      <c r="G105" s="2517" t="s">
        <v>2295</v>
      </c>
      <c r="H105" s="1044">
        <f>C37</f>
        <v>0</v>
      </c>
      <c r="I105" s="138"/>
    </row>
    <row r="106" spans="1:35" ht="18.75" customHeight="1">
      <c r="A106" s="2414" t="s">
        <v>2299</v>
      </c>
      <c r="B106" s="2414"/>
      <c r="C106" s="2414"/>
      <c r="D106" s="2414"/>
      <c r="E106" s="2520" t="s">
        <v>2300</v>
      </c>
      <c r="F106" s="2254"/>
      <c r="G106" s="2517" t="s">
        <v>2295</v>
      </c>
      <c r="H106" s="1044">
        <f>C38</f>
        <v>0</v>
      </c>
      <c r="I106" s="138"/>
    </row>
    <row r="107" spans="1:35" ht="18.75" customHeight="1">
      <c r="A107" s="138"/>
      <c r="B107" s="138"/>
      <c r="C107" s="138"/>
      <c r="D107" s="138"/>
      <c r="E107" s="3245" t="str">
        <f>IF(项目基本情况!E8="已注销","——","3.房地产抵押价值")</f>
        <v>3.房地产抵押价值</v>
      </c>
      <c r="F107" s="3234"/>
      <c r="G107" s="2516" t="s">
        <v>2291</v>
      </c>
      <c r="H107" s="1043">
        <f ca="1">IF(E107="——","——",H101-H103)</f>
        <v>130</v>
      </c>
      <c r="I107" s="138"/>
    </row>
    <row r="108" spans="1:35" ht="18.75" customHeight="1">
      <c r="A108" s="138"/>
      <c r="B108" s="138"/>
      <c r="C108" s="138"/>
      <c r="D108" s="138"/>
      <c r="E108" s="3245"/>
      <c r="F108" s="3234"/>
      <c r="G108" s="2516" t="s">
        <v>2293</v>
      </c>
      <c r="H108" s="371">
        <f ca="1">ROUND(H107*10000/'数据-汇总表'!E3,0)</f>
        <v>21</v>
      </c>
      <c r="I108" s="138"/>
    </row>
    <row r="109" spans="1:35" ht="18.75" customHeight="1">
      <c r="A109" s="138"/>
      <c r="B109" s="138"/>
      <c r="C109" s="138"/>
      <c r="D109" s="138"/>
      <c r="E109" s="3245" t="str">
        <f>IF(项目基本情况!E8="已注销及未注销","4.抵押担保权已注销时的房地产抵押价值",IF(项目基本情况!E8="已注销","3.抵押担保权已注销时的房地产抵押价值","——"))</f>
        <v>——</v>
      </c>
      <c r="F109" s="3234"/>
      <c r="G109" s="2516" t="s">
        <v>2291</v>
      </c>
      <c r="H109" s="348" t="str">
        <f>IF(E109="——","——",H101-H105-H106)</f>
        <v>——</v>
      </c>
      <c r="I109" s="138"/>
    </row>
    <row r="110" spans="1:35" ht="18.75" customHeight="1">
      <c r="A110" s="138"/>
      <c r="B110" s="138"/>
      <c r="C110" s="138"/>
      <c r="D110" s="138"/>
      <c r="E110" s="3245"/>
      <c r="F110" s="3234"/>
      <c r="G110" s="2516" t="s">
        <v>2293</v>
      </c>
      <c r="H110" s="371" t="str">
        <f>IF(H109="——","——",ROUND(H109*10000/'数据-汇总表'!E3,0))</f>
        <v>——</v>
      </c>
      <c r="I110" s="138"/>
    </row>
    <row r="111" spans="1:35" ht="18.75" customHeight="1">
      <c r="A111" s="138"/>
      <c r="B111" s="138"/>
      <c r="C111" s="138"/>
      <c r="D111" s="138"/>
      <c r="E111" s="3246" t="str">
        <f>IF(项目基本情况!E9="抵押净值",IF(OR(项目基本情况!E8="已注销",项目基本情况!E8="房地产抵押价值"),"4.抵押净值","5.抵押净值"),"——")</f>
        <v>——</v>
      </c>
      <c r="F111" s="3247"/>
      <c r="G111" s="2516" t="s">
        <v>2291</v>
      </c>
      <c r="H111" s="1043" t="str">
        <f>IF(E111="——","——",N59)</f>
        <v>——</v>
      </c>
      <c r="I111" s="138"/>
    </row>
    <row r="112" spans="1:35" ht="18.75" customHeight="1" thickBot="1">
      <c r="A112" s="138"/>
      <c r="B112" s="138"/>
      <c r="C112" s="138"/>
      <c r="D112" s="138"/>
      <c r="E112" s="3248"/>
      <c r="F112" s="3249"/>
      <c r="G112" s="2521" t="s">
        <v>2293</v>
      </c>
      <c r="H112" s="790" t="str">
        <f>IF(E111="——","——",N61)</f>
        <v>——</v>
      </c>
      <c r="I112" s="138"/>
    </row>
    <row r="113" spans="1:11" ht="18.75" customHeight="1">
      <c r="A113" s="138"/>
      <c r="B113" s="138"/>
      <c r="C113" s="138"/>
      <c r="D113" s="138"/>
      <c r="E113" s="3250" t="s">
        <v>2299</v>
      </c>
      <c r="F113" s="3250"/>
      <c r="G113" s="3250"/>
      <c r="H113" s="3250"/>
      <c r="I113" s="138"/>
    </row>
    <row r="114" spans="1:11" ht="3.75" customHeight="1">
      <c r="A114" s="2414"/>
      <c r="B114" s="2414"/>
      <c r="C114" s="2414"/>
      <c r="D114" s="2414"/>
      <c r="E114" s="2492"/>
      <c r="F114" s="2492"/>
      <c r="G114" s="2492"/>
      <c r="H114" s="2492"/>
      <c r="I114" s="2414"/>
    </row>
    <row r="115" spans="1:11" ht="18.75" customHeight="1">
      <c r="A115" s="3251" t="s">
        <v>2301</v>
      </c>
      <c r="B115" s="3252"/>
      <c r="C115" s="3252"/>
      <c r="D115" s="3252"/>
      <c r="E115" s="3252"/>
      <c r="F115" s="3252"/>
      <c r="G115" s="3252"/>
      <c r="H115" s="3252"/>
      <c r="I115" s="3253"/>
    </row>
    <row r="116" spans="1:11" ht="27" customHeight="1">
      <c r="A116" s="3047" t="s">
        <v>2302</v>
      </c>
      <c r="B116" s="3239" t="s">
        <v>2303</v>
      </c>
      <c r="C116" s="3239" t="s">
        <v>2304</v>
      </c>
      <c r="D116" s="3241" t="s">
        <v>2305</v>
      </c>
      <c r="E116" s="3242"/>
      <c r="F116" s="3243" t="s">
        <v>2306</v>
      </c>
      <c r="G116" s="3243"/>
      <c r="H116" s="3047" t="s">
        <v>2307</v>
      </c>
      <c r="I116" s="3047"/>
    </row>
    <row r="117" spans="1:11" ht="18.75" customHeight="1">
      <c r="A117" s="3047"/>
      <c r="B117" s="3240"/>
      <c r="C117" s="3240"/>
      <c r="D117" s="2944" t="s">
        <v>2308</v>
      </c>
      <c r="E117" s="2944" t="s">
        <v>2309</v>
      </c>
      <c r="F117" s="2944" t="s">
        <v>2308</v>
      </c>
      <c r="G117" s="2944" t="s">
        <v>2310</v>
      </c>
      <c r="H117" s="2944" t="s">
        <v>2308</v>
      </c>
      <c r="I117" s="2944" t="s">
        <v>2310</v>
      </c>
    </row>
    <row r="118" spans="1:11" ht="24.75" customHeight="1">
      <c r="A118" s="2522" t="str">
        <f>项目基本情况!S2</f>
        <v>北京市北京市房山区拱辰街道16-03-04、16-01-05地块出让国有建设用地使用权及在建建筑物房地产</v>
      </c>
      <c r="B118" s="2944">
        <f>M18</f>
        <v>47.96</v>
      </c>
      <c r="C118" s="2944">
        <f>M19</f>
        <v>0</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f ca="1">ROUND(IF(D32="总价",C32,I118*B118/10000),0)</f>
        <v>130</v>
      </c>
      <c r="I118" s="2944">
        <f ca="1">ROUND(IF(D32="楼面单价",C32,H118*10000/B118),0)</f>
        <v>27106</v>
      </c>
    </row>
    <row r="119" spans="1:11" ht="18.75" customHeight="1">
      <c r="A119" s="3047" t="s">
        <v>2311</v>
      </c>
      <c r="B119" s="3047"/>
      <c r="C119" s="3047"/>
      <c r="D119" s="3257" t="e">
        <f ca="1">NUMBERSTRING(INT(D118*10000),2)&amp;"元整"</f>
        <v>#REF!</v>
      </c>
      <c r="E119" s="3259"/>
      <c r="F119" s="3257" t="e">
        <f ca="1">NUMBERSTRING(INT(F118*10000),2)&amp;"元整"</f>
        <v>#REF!</v>
      </c>
      <c r="G119" s="3259"/>
      <c r="H119" s="3257" t="str">
        <f ca="1">NUMBERSTRING(INT(H118*10000),2)&amp;"元整"</f>
        <v>壹佰叁拾万元整</v>
      </c>
      <c r="I119" s="3259"/>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419" t="str">
        <f>IF(D120=0,"故，本次评估不存在"&amp;A120,"故，本次评估"&amp;A120&amp;"为人民币"&amp;D120&amp;"万元整。")</f>
        <v>故，本次评估不存在估价师知悉的法定优先受偿款</v>
      </c>
    </row>
    <row r="121" spans="1:11" ht="18.75" customHeight="1">
      <c r="A121" s="3254" t="s">
        <v>2311</v>
      </c>
      <c r="B121" s="3255"/>
      <c r="C121" s="3256"/>
      <c r="D121" s="3257" t="str">
        <f>IF(D120=0,"零元整",NUMBERSTRING(INT(D120*10000),2)&amp;"元整")</f>
        <v>零元整</v>
      </c>
      <c r="E121" s="3258"/>
      <c r="F121" s="3258"/>
      <c r="G121" s="3258"/>
      <c r="H121" s="3258"/>
      <c r="I121" s="3259"/>
    </row>
    <row r="122" spans="1:11" ht="18.75" customHeight="1">
      <c r="A122" s="3260" t="str">
        <f>IF(项目基本情况!B9="房地产市场价值","",MID(E107,3,LEN(E107)-2))</f>
        <v>房地产抵押价值</v>
      </c>
      <c r="B122" s="3260"/>
      <c r="C122" s="3260"/>
      <c r="D122" s="3261">
        <f ca="1">H107</f>
        <v>130</v>
      </c>
      <c r="E122" s="3262"/>
      <c r="F122" s="3262"/>
      <c r="G122" s="3262"/>
      <c r="H122" s="3262"/>
      <c r="I122" s="3263"/>
    </row>
    <row r="123" spans="1:11" ht="18.75" customHeight="1">
      <c r="A123" s="3047" t="s">
        <v>2311</v>
      </c>
      <c r="B123" s="3047"/>
      <c r="C123" s="3047"/>
      <c r="D123" s="3257" t="str">
        <f ca="1">NUMBERSTRING(INT(D122*10000),2)&amp;"元整"</f>
        <v>壹佰叁拾万元整</v>
      </c>
      <c r="E123" s="3258"/>
      <c r="F123" s="3258"/>
      <c r="G123" s="3258"/>
      <c r="H123" s="3258"/>
      <c r="I123" s="3259"/>
    </row>
    <row r="124" spans="1:11" ht="18.75" customHeight="1">
      <c r="A124" s="3260" t="str">
        <f>IF(项目基本情况!B9="房地产市场价值","",MID(E109,3,LEN(E109)-2))</f>
        <v/>
      </c>
      <c r="B124" s="3260"/>
      <c r="C124" s="3260"/>
      <c r="D124" s="3261" t="str">
        <f>H109</f>
        <v>——</v>
      </c>
      <c r="E124" s="3262"/>
      <c r="F124" s="3262"/>
      <c r="G124" s="3262"/>
      <c r="H124" s="3262"/>
      <c r="I124" s="3263"/>
    </row>
    <row r="125" spans="1:11" ht="18.75" customHeight="1">
      <c r="A125" s="3047" t="s">
        <v>2311</v>
      </c>
      <c r="B125" s="3047"/>
      <c r="C125" s="3047"/>
      <c r="D125" s="3257" t="e">
        <f>NUMBERSTRING(INT(D124*10000),2)&amp;"元整"</f>
        <v>#VALUE!</v>
      </c>
      <c r="E125" s="3258"/>
      <c r="F125" s="3258"/>
      <c r="G125" s="3258"/>
      <c r="H125" s="3258"/>
      <c r="I125" s="3259"/>
    </row>
    <row r="126" spans="1:11" ht="18.75" customHeight="1">
      <c r="A126" s="3260" t="str">
        <f>IF(项目基本情况!B9="房地产市场价值","",MID(E111,3,LEN(E111)-2))</f>
        <v/>
      </c>
      <c r="B126" s="3260"/>
      <c r="C126" s="3260"/>
      <c r="D126" s="3261" t="str">
        <f>H111</f>
        <v>——</v>
      </c>
      <c r="E126" s="3262"/>
      <c r="F126" s="3262"/>
      <c r="G126" s="3262"/>
      <c r="H126" s="3262"/>
      <c r="I126" s="3263"/>
    </row>
    <row r="127" spans="1:11" ht="18.75" customHeight="1">
      <c r="A127" s="3047" t="s">
        <v>2311</v>
      </c>
      <c r="B127" s="3047"/>
      <c r="C127" s="3047"/>
      <c r="D127" s="3257" t="e">
        <f>NUMBERSTRING(INT(D126*10000),2)&amp;"元整"</f>
        <v>#VALUE!</v>
      </c>
      <c r="E127" s="3258"/>
      <c r="F127" s="3258"/>
      <c r="G127" s="3258"/>
      <c r="H127" s="3258"/>
      <c r="I127" s="3259"/>
    </row>
    <row r="128" spans="1:11" ht="21.75" customHeight="1">
      <c r="A128" s="3264" t="s">
        <v>2312</v>
      </c>
      <c r="B128" s="3264"/>
      <c r="C128" s="3264"/>
      <c r="D128" s="3264"/>
      <c r="E128" s="3264"/>
      <c r="F128" s="3264"/>
      <c r="G128" s="3264"/>
      <c r="H128" s="3264"/>
      <c r="I128" s="3264"/>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C10:D13">
    <cfRule type="cellIs" dxfId="117" priority="5" stopIfTrue="1" operator="equal">
      <formula>15</formula>
    </cfRule>
  </conditionalFormatting>
  <conditionalFormatting sqref="D14:D16">
    <cfRule type="cellIs" dxfId="116" priority="4" stopIfTrue="1" operator="equal">
      <formula>30</formula>
    </cfRule>
  </conditionalFormatting>
  <conditionalFormatting sqref="C90">
    <cfRule type="expression" dxfId="115" priority="3" stopIfTrue="1">
      <formula>$H$88&lt;&gt;"仅含出让金"</formula>
    </cfRule>
  </conditionalFormatting>
  <conditionalFormatting sqref="C91">
    <cfRule type="expression" dxfId="114" priority="2" stopIfTrue="1">
      <formula>$H$91="由企业提供"</formula>
    </cfRule>
  </conditionalFormatting>
  <conditionalFormatting sqref="E36">
    <cfRule type="expression" dxfId="11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北京恒隆兴置业有限公司：</v>
      </c>
    </row>
    <row r="4" spans="1:1" ht="36">
      <c r="A4" s="1945" t="str">
        <f>"受贵公司委托，我公司对"&amp;项目基本情况!S1&amp;"进行了预评估。"</f>
        <v>受贵公司委托，我公司对北京市北京市房山区拱辰街道16-03-04、16-01-05地块出让国有建设用地使用权及在建建筑物房地产抵押价值进行了预评估。</v>
      </c>
    </row>
    <row r="5" spans="1:1" ht="18.75">
      <c r="A5" s="1946" t="s">
        <v>1608</v>
      </c>
    </row>
    <row r="6" spans="1:1" ht="18.75">
      <c r="A6" s="1947" t="s">
        <v>1609</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房山区拱辰街道16-03-04、16-01-05地块出让国有建设用地使用权及在建建筑物房地产，为所有。根据，估价对象（分摊）出让国有建设用地使用权面积为0平方米，建筑面积为61370.2399999988平方米。</v>
      </c>
    </row>
    <row r="8" spans="1:1" ht="57.75">
      <c r="A8" s="1948" t="s">
        <v>1610</v>
      </c>
    </row>
    <row r="9" spans="1:1" ht="18.75">
      <c r="A9" s="1947" t="s">
        <v>1611</v>
      </c>
    </row>
    <row r="10" spans="1:1" ht="72">
      <c r="A10" s="1945" t="str">
        <f>"估价对象为"&amp;项目基本情况!S2&amp;IF('结果表-车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房山区拱辰街道16-03-04、16-01-05地块出让国有建设用地使用权及在建建筑物房地产,属开发建设的商业项目，该项目尚在开发建设中。根据，估价对象（分摊）出让国有建设用地使用权面积为0平方米，规划建筑面积为61370.2399999988平方米。</v>
      </c>
    </row>
    <row r="11" spans="1:1" ht="76.5">
      <c r="A11" s="1948" t="s">
        <v>1612</v>
      </c>
    </row>
    <row r="12" spans="1:1" ht="18.75">
      <c r="A12" s="1946" t="s">
        <v>1613</v>
      </c>
    </row>
    <row r="13" spans="1:1" ht="38.25" customHeight="1">
      <c r="A13" s="1949"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2019年1月29日（评估专业人员实地查勘之日）</v>
      </c>
    </row>
    <row r="16" spans="1:1" ht="18.75">
      <c r="A16" s="1950" t="s">
        <v>1615</v>
      </c>
    </row>
    <row r="17" spans="1:1" ht="75">
      <c r="A17" s="1945" t="s">
        <v>1616</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29日，估价对象规划用途为，土地取得方式为出让，出让国有建设用地使用权剩余土地使用年限为商业36.5年、办公及地下车库46.5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36.5年、办公及地下车库46.5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"本次评估采用的主估价方法为"&amp;'结果表-车库'!K4&amp;"和"&amp;'结果表-车库'!L4&amp;"。"</f>
        <v>本次评估采用的主估价方法为比较法和收益法。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M46" sqref="M4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875" style="403" customWidth="1"/>
    <col min="6" max="6" width="12.25" style="403" customWidth="1"/>
    <col min="7" max="7" width="14.5"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7" t="s">
        <v>2680</v>
      </c>
      <c r="C1" s="1618" t="s">
        <v>2524</v>
      </c>
      <c r="D1" s="1619" t="s">
        <v>4671</v>
      </c>
      <c r="E1" s="1628"/>
      <c r="F1" s="2582" t="s">
        <v>4576</v>
      </c>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f>IF(C2="——",ROUND(C50*D3/10000,0),ROUND(C50*D3/10000,0)-D2)</f>
        <v>140</v>
      </c>
      <c r="C2" s="2584" t="s">
        <v>70</v>
      </c>
      <c r="D2" s="1363" t="e">
        <f ca="1">SUMIF(INDIRECT("'"&amp;F2&amp;"'"&amp;"!A:A"),"承租人权益价值",INDIRECT("'"&amp;F2&amp;"'"&amp;"!c:c"))</f>
        <v>#REF!</v>
      </c>
      <c r="E2" s="2585" t="s">
        <v>2322</v>
      </c>
      <c r="F2" s="2586"/>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f>IF(C2="——",C50,ROUND(B2*10000/D3,0))</f>
        <v>29247</v>
      </c>
      <c r="C3" s="400" t="s">
        <v>2638</v>
      </c>
      <c r="D3" s="399">
        <f>IF(D1="",'数据-汇总表'!E3,SUMIF('数据-汇总表'!$C19:$C33,D1,'数据-汇总表'!$E19:$E33))</f>
        <v>47.96</v>
      </c>
      <c r="E3" s="2661"/>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277" t="s">
        <v>2645</v>
      </c>
      <c r="Q4" s="3278"/>
      <c r="R4" s="3281" t="s">
        <v>2641</v>
      </c>
      <c r="S4" s="3282"/>
      <c r="T4" s="3281" t="s">
        <v>2642</v>
      </c>
      <c r="U4" s="3282"/>
      <c r="V4" s="3283" t="s">
        <v>2643</v>
      </c>
      <c r="W4" s="3283"/>
      <c r="X4" s="2668"/>
      <c r="Y4" s="3281" t="s">
        <v>2645</v>
      </c>
      <c r="Z4" s="3282"/>
      <c r="AA4" s="3286" t="s">
        <v>2641</v>
      </c>
      <c r="AB4" s="3286" t="s">
        <v>2642</v>
      </c>
      <c r="AC4" s="3274" t="s">
        <v>2643</v>
      </c>
    </row>
    <row r="5" spans="1:29" ht="15">
      <c r="A5" s="404"/>
      <c r="B5" s="405"/>
      <c r="C5" s="3163" t="s">
        <v>2536</v>
      </c>
      <c r="D5" s="3164"/>
      <c r="E5" s="3287" t="s">
        <v>4598</v>
      </c>
      <c r="F5" s="3171"/>
      <c r="G5" s="3284" t="s">
        <v>4686</v>
      </c>
      <c r="H5" s="3164"/>
      <c r="I5" s="3284" t="s">
        <v>4672</v>
      </c>
      <c r="J5" s="3164"/>
      <c r="K5" s="610"/>
      <c r="L5" s="1128"/>
      <c r="M5" s="1129"/>
      <c r="N5" s="1129"/>
      <c r="O5" s="1129"/>
      <c r="P5" s="3279"/>
      <c r="Q5" s="3151"/>
      <c r="R5" s="3156"/>
      <c r="S5" s="3157"/>
      <c r="T5" s="3156"/>
      <c r="U5" s="3157"/>
      <c r="V5" s="3160"/>
      <c r="W5" s="3160"/>
      <c r="X5" s="1810"/>
      <c r="Y5" s="3156"/>
      <c r="Z5" s="3157"/>
      <c r="AA5" s="3142"/>
      <c r="AB5" s="3142"/>
      <c r="AC5" s="3275"/>
    </row>
    <row r="6" spans="1:29" ht="15.75" thickBot="1">
      <c r="A6" s="406"/>
      <c r="B6" s="407"/>
      <c r="C6" s="3161"/>
      <c r="D6" s="3162"/>
      <c r="E6" s="3168"/>
      <c r="F6" s="3169"/>
      <c r="G6" s="3161"/>
      <c r="H6" s="3162"/>
      <c r="I6" s="3161"/>
      <c r="J6" s="3162"/>
      <c r="K6" s="610" t="s">
        <v>2541</v>
      </c>
      <c r="L6" s="1128"/>
      <c r="M6" s="1129"/>
      <c r="N6" s="1129"/>
      <c r="O6" s="1129"/>
      <c r="P6" s="3280"/>
      <c r="Q6" s="3153"/>
      <c r="R6" s="3156"/>
      <c r="S6" s="3157"/>
      <c r="T6" s="3158"/>
      <c r="U6" s="3159"/>
      <c r="V6" s="3160"/>
      <c r="W6" s="3160"/>
      <c r="X6" s="1810"/>
      <c r="Y6" s="3158"/>
      <c r="Z6" s="3159"/>
      <c r="AA6" s="3143"/>
      <c r="AB6" s="3143"/>
      <c r="AC6" s="3276"/>
    </row>
    <row r="7" spans="1:29" s="117" customFormat="1" ht="15.75" thickBot="1">
      <c r="A7" s="408" t="s">
        <v>2542</v>
      </c>
      <c r="B7" s="409"/>
      <c r="C7" s="410">
        <f>'数据-取费表'!B2</f>
        <v>43494</v>
      </c>
      <c r="D7" s="411">
        <v>100</v>
      </c>
      <c r="E7" s="412">
        <v>43374</v>
      </c>
      <c r="F7" s="413">
        <f>SUMIF(59:59,YEAR(E7)&amp;"-"&amp;MONTH(E7),60:60)</f>
        <v>100</v>
      </c>
      <c r="G7" s="412">
        <v>43466</v>
      </c>
      <c r="H7" s="411">
        <f>SUMIF(59:59,YEAR(G7)&amp;"-"&amp;MONTH(G7),60:60)</f>
        <v>100</v>
      </c>
      <c r="I7" s="412">
        <v>43405</v>
      </c>
      <c r="J7" s="411">
        <f>SUMIF(59:59,YEAR(I7)&amp;"-"&amp;MONTH(I7),60:60)</f>
        <v>100</v>
      </c>
      <c r="K7" s="611"/>
      <c r="L7" s="1130"/>
      <c r="M7" s="1131"/>
      <c r="N7" s="1131"/>
      <c r="O7" s="1131"/>
      <c r="P7" s="3285" t="s">
        <v>2543</v>
      </c>
      <c r="Q7" s="3167"/>
      <c r="R7" s="770" t="s">
        <v>17</v>
      </c>
      <c r="S7" s="771">
        <f t="shared" ref="S7:S15" si="0">F7</f>
        <v>100</v>
      </c>
      <c r="T7" s="770" t="s">
        <v>17</v>
      </c>
      <c r="U7" s="771">
        <f t="shared" ref="U7:U15" si="1">H7</f>
        <v>100</v>
      </c>
      <c r="V7" s="770" t="s">
        <v>17</v>
      </c>
      <c r="W7" s="771">
        <f t="shared" ref="W7:W15" si="2">J7</f>
        <v>100</v>
      </c>
      <c r="X7" s="772"/>
      <c r="Y7" s="3165" t="s">
        <v>2543</v>
      </c>
      <c r="Z7" s="3166"/>
      <c r="AA7" s="773">
        <f>D7/F7</f>
        <v>1</v>
      </c>
      <c r="AB7" s="773">
        <f>D7/H7</f>
        <v>1</v>
      </c>
      <c r="AC7" s="2669">
        <f>D7/J7</f>
        <v>1</v>
      </c>
    </row>
    <row r="8" spans="1:29" s="117" customFormat="1" ht="15.75" thickBot="1">
      <c r="A8" s="408" t="s">
        <v>2544</v>
      </c>
      <c r="B8" s="409"/>
      <c r="C8" s="414" t="s">
        <v>2646</v>
      </c>
      <c r="D8" s="411">
        <v>100</v>
      </c>
      <c r="E8" s="414" t="s">
        <v>2581</v>
      </c>
      <c r="F8" s="413">
        <f>SUMIF(62:62,E8,63:63)-SUMIF(62:62,C8,63:63)+100</f>
        <v>100</v>
      </c>
      <c r="G8" s="414" t="s">
        <v>2581</v>
      </c>
      <c r="H8" s="411">
        <f>SUMIF(62:62,G8,63:63)-SUMIF(62:62,C8,63:63)+100</f>
        <v>100</v>
      </c>
      <c r="I8" s="414" t="s">
        <v>2581</v>
      </c>
      <c r="J8" s="411">
        <f>SUMIF(62:62,I8,63:63)-SUMIF(62:62,C8,63:63)+100</f>
        <v>100</v>
      </c>
      <c r="K8" s="611"/>
      <c r="L8" s="1130"/>
      <c r="M8" s="1131"/>
      <c r="N8" s="1131"/>
      <c r="O8" s="1131"/>
      <c r="P8" s="3285" t="s">
        <v>2546</v>
      </c>
      <c r="Q8" s="3166"/>
      <c r="R8" s="770" t="s">
        <v>17</v>
      </c>
      <c r="S8" s="771">
        <f t="shared" si="0"/>
        <v>100</v>
      </c>
      <c r="T8" s="770" t="s">
        <v>17</v>
      </c>
      <c r="U8" s="771">
        <f t="shared" si="1"/>
        <v>100</v>
      </c>
      <c r="V8" s="770" t="s">
        <v>17</v>
      </c>
      <c r="W8" s="771">
        <f t="shared" si="2"/>
        <v>100</v>
      </c>
      <c r="X8" s="772"/>
      <c r="Y8" s="3165" t="s">
        <v>2546</v>
      </c>
      <c r="Z8" s="3166"/>
      <c r="AA8" s="773">
        <f t="shared" ref="AA8:AA47" si="3">D8/F8</f>
        <v>1</v>
      </c>
      <c r="AB8" s="773">
        <f t="shared" ref="AB8:AB47" si="4">D8/H8</f>
        <v>1</v>
      </c>
      <c r="AC8" s="2669">
        <f t="shared" ref="AC8:AC47" si="5">D8/J8</f>
        <v>1</v>
      </c>
    </row>
    <row r="9" spans="1:29" s="117" customFormat="1">
      <c r="A9" s="415" t="s">
        <v>2547</v>
      </c>
      <c r="B9" s="71" t="s">
        <v>2548</v>
      </c>
      <c r="C9" s="2973" t="s">
        <v>4673</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40" t="s">
        <v>2549</v>
      </c>
      <c r="Q9" s="1792" t="str">
        <f t="shared" ref="Q9:Q15" si="6">B9</f>
        <v>用途</v>
      </c>
      <c r="R9" s="770" t="s">
        <v>17</v>
      </c>
      <c r="S9" s="771">
        <f t="shared" si="0"/>
        <v>100</v>
      </c>
      <c r="T9" s="770" t="s">
        <v>17</v>
      </c>
      <c r="U9" s="771">
        <f t="shared" si="1"/>
        <v>100</v>
      </c>
      <c r="V9" s="770" t="s">
        <v>17</v>
      </c>
      <c r="W9" s="771">
        <f t="shared" si="2"/>
        <v>100</v>
      </c>
      <c r="X9" s="772"/>
      <c r="Y9" s="3047" t="s">
        <v>2550</v>
      </c>
      <c r="Z9" s="55" t="str">
        <f t="shared" ref="Z9:Z15" si="7">Q9</f>
        <v>用途</v>
      </c>
      <c r="AA9" s="773">
        <f t="shared" si="3"/>
        <v>1</v>
      </c>
      <c r="AB9" s="773">
        <f t="shared" si="4"/>
        <v>1</v>
      </c>
      <c r="AC9" s="2669">
        <f t="shared" si="5"/>
        <v>1</v>
      </c>
    </row>
    <row r="10" spans="1:29" s="427" customFormat="1" ht="27.75" thickBot="1">
      <c r="A10" s="421"/>
      <c r="B10" s="422" t="s">
        <v>2551</v>
      </c>
      <c r="C10" s="423" t="s">
        <v>4581</v>
      </c>
      <c r="D10" s="136">
        <v>100</v>
      </c>
      <c r="E10" s="423" t="s">
        <v>4581</v>
      </c>
      <c r="F10" s="136">
        <f>SUMIF(66:66,E10,67:67)-SUMIF(66:66,C10,67:67)+100</f>
        <v>100</v>
      </c>
      <c r="G10" s="423" t="s">
        <v>4581</v>
      </c>
      <c r="H10" s="136">
        <f>SUMIF(66:66,G10,67:67)-SUMIF(66:66,C10,67:67)+100</f>
        <v>100</v>
      </c>
      <c r="I10" s="423" t="s">
        <v>4581</v>
      </c>
      <c r="J10" s="136">
        <f>SUMIF(66:66,I10,67:67)-SUMIF(66:66,C10,67:67)+100</f>
        <v>100</v>
      </c>
      <c r="K10" s="612">
        <v>1</v>
      </c>
      <c r="L10" s="1133"/>
      <c r="M10" s="1134"/>
      <c r="N10" s="1134"/>
      <c r="O10" s="1134"/>
      <c r="P10" s="3140"/>
      <c r="Q10" s="1792"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2669">
        <f t="shared" si="5"/>
        <v>1</v>
      </c>
    </row>
    <row r="11" spans="1:29" ht="15.75" hidden="1" thickBot="1">
      <c r="A11" s="428"/>
      <c r="B11" s="422" t="s">
        <v>2552</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6"/>
      <c r="M11" s="1129"/>
      <c r="N11" s="1129"/>
      <c r="O11" s="1129"/>
      <c r="P11" s="3140"/>
      <c r="Q11" s="1792" t="str">
        <f t="shared" si="6"/>
        <v>容积率</v>
      </c>
      <c r="R11" s="770" t="s">
        <v>17</v>
      </c>
      <c r="S11" s="771">
        <f t="shared" si="0"/>
        <v>100</v>
      </c>
      <c r="T11" s="770" t="s">
        <v>17</v>
      </c>
      <c r="U11" s="771">
        <f t="shared" si="1"/>
        <v>100</v>
      </c>
      <c r="V11" s="770" t="s">
        <v>17</v>
      </c>
      <c r="W11" s="771">
        <f t="shared" si="2"/>
        <v>100</v>
      </c>
      <c r="X11" s="772"/>
      <c r="Y11" s="3047"/>
      <c r="Z11" s="55" t="str">
        <f t="shared" si="7"/>
        <v>容积率</v>
      </c>
      <c r="AA11" s="773">
        <f t="shared" si="3"/>
        <v>1</v>
      </c>
      <c r="AB11" s="773">
        <f t="shared" si="4"/>
        <v>1</v>
      </c>
      <c r="AC11" s="2669">
        <f t="shared" si="5"/>
        <v>1</v>
      </c>
    </row>
    <row r="12" spans="1:29" s="117" customFormat="1" ht="15" hidden="1">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0"/>
      <c r="M12" s="1131"/>
      <c r="N12" s="1131"/>
      <c r="O12" s="1131"/>
      <c r="P12" s="3140"/>
      <c r="Q12" s="1792">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2669">
        <f>D12/J12</f>
        <v>1</v>
      </c>
    </row>
    <row r="13" spans="1:29" ht="15" hidden="1">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8"/>
      <c r="M13" s="1129"/>
      <c r="N13" s="1129"/>
      <c r="O13" s="1129"/>
      <c r="P13" s="3140"/>
      <c r="Q13" s="1792">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2669">
        <f t="shared" si="5"/>
        <v>1</v>
      </c>
    </row>
    <row r="14" spans="1:29" ht="15.75" hidden="1"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8"/>
      <c r="M14" s="1129"/>
      <c r="N14" s="1129"/>
      <c r="O14" s="1129"/>
      <c r="P14" s="3140"/>
      <c r="Q14" s="1792">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2669">
        <f t="shared" si="5"/>
        <v>1</v>
      </c>
    </row>
    <row r="15" spans="1:29" ht="57">
      <c r="A15" s="440" t="s">
        <v>2553</v>
      </c>
      <c r="B15" s="629" t="s">
        <v>2681</v>
      </c>
      <c r="C15" s="2671" t="str">
        <f>估价对象房地状况!C5</f>
        <v>估价对象周边办公楼项目集聚度一般，入驻率一般，办公集聚程度一般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138" t="s">
        <v>2554</v>
      </c>
      <c r="Q15" s="1807" t="str">
        <f t="shared" si="6"/>
        <v>办公集聚程度</v>
      </c>
      <c r="R15" s="774" t="s">
        <v>17</v>
      </c>
      <c r="S15" s="775">
        <f t="shared" si="0"/>
        <v>100</v>
      </c>
      <c r="T15" s="774" t="s">
        <v>17</v>
      </c>
      <c r="U15" s="775">
        <f t="shared" si="1"/>
        <v>100</v>
      </c>
      <c r="V15" s="774" t="s">
        <v>17</v>
      </c>
      <c r="W15" s="775">
        <f t="shared" si="2"/>
        <v>100</v>
      </c>
      <c r="X15" s="1810"/>
      <c r="Y15" s="3131" t="s">
        <v>2554</v>
      </c>
      <c r="Z15" s="1811" t="str">
        <f t="shared" si="7"/>
        <v>办公集聚程度</v>
      </c>
      <c r="AA15" s="1808">
        <f t="shared" si="3"/>
        <v>1</v>
      </c>
      <c r="AB15" s="1808">
        <f t="shared" si="4"/>
        <v>1</v>
      </c>
      <c r="AC15" s="2672">
        <f t="shared" si="5"/>
        <v>1</v>
      </c>
    </row>
    <row r="16" spans="1:29" ht="15">
      <c r="A16" s="428"/>
      <c r="B16" s="630"/>
      <c r="C16" s="2609" t="s">
        <v>4584</v>
      </c>
      <c r="D16" s="448"/>
      <c r="E16" s="2609" t="s">
        <v>4584</v>
      </c>
      <c r="F16" s="448"/>
      <c r="G16" s="2609" t="s">
        <v>4584</v>
      </c>
      <c r="H16" s="450"/>
      <c r="I16" s="2609" t="s">
        <v>4584</v>
      </c>
      <c r="J16" s="448"/>
      <c r="K16" s="615"/>
      <c r="L16" s="1138"/>
      <c r="M16" s="1129"/>
      <c r="N16" s="1129"/>
      <c r="O16" s="1129"/>
      <c r="P16" s="3139"/>
      <c r="Q16" s="1807"/>
      <c r="R16" s="774"/>
      <c r="S16" s="775"/>
      <c r="T16" s="774"/>
      <c r="U16" s="775"/>
      <c r="V16" s="774"/>
      <c r="W16" s="775"/>
      <c r="X16" s="1810"/>
      <c r="Y16" s="3132"/>
      <c r="Z16" s="1811"/>
      <c r="AA16" s="1808">
        <v>1</v>
      </c>
      <c r="AB16" s="1808">
        <v>1</v>
      </c>
      <c r="AC16" s="2672">
        <v>1</v>
      </c>
    </row>
    <row r="17" spans="1:29" ht="71.25">
      <c r="A17" s="428"/>
      <c r="B17" s="631" t="s">
        <v>2090</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f>'比较法-商业'!K17</f>
        <v>2</v>
      </c>
      <c r="L17" s="1138"/>
      <c r="M17" s="1129"/>
      <c r="N17" s="1129"/>
      <c r="O17" s="1129"/>
      <c r="P17" s="3139"/>
      <c r="Q17" s="1807" t="str">
        <f>B17</f>
        <v>交通便捷度</v>
      </c>
      <c r="R17" s="774" t="s">
        <v>17</v>
      </c>
      <c r="S17" s="775">
        <f>F17</f>
        <v>100</v>
      </c>
      <c r="T17" s="774" t="s">
        <v>17</v>
      </c>
      <c r="U17" s="775">
        <f>H17</f>
        <v>100</v>
      </c>
      <c r="V17" s="774" t="s">
        <v>17</v>
      </c>
      <c r="W17" s="775">
        <f>J17</f>
        <v>100</v>
      </c>
      <c r="X17" s="1810"/>
      <c r="Y17" s="3132"/>
      <c r="Z17" s="1811" t="str">
        <f>Q17</f>
        <v>交通便捷度</v>
      </c>
      <c r="AA17" s="1808">
        <f t="shared" si="3"/>
        <v>1</v>
      </c>
      <c r="AB17" s="1808">
        <f t="shared" si="4"/>
        <v>1</v>
      </c>
      <c r="AC17" s="2672">
        <f t="shared" si="5"/>
        <v>1</v>
      </c>
    </row>
    <row r="18" spans="1:29" ht="15">
      <c r="A18" s="428"/>
      <c r="B18" s="632"/>
      <c r="C18" s="2674" t="s">
        <v>4589</v>
      </c>
      <c r="D18" s="450"/>
      <c r="E18" s="2674" t="s">
        <v>4589</v>
      </c>
      <c r="F18" s="450"/>
      <c r="G18" s="2674" t="s">
        <v>4589</v>
      </c>
      <c r="H18" s="448"/>
      <c r="I18" s="2674" t="s">
        <v>4589</v>
      </c>
      <c r="J18" s="448"/>
      <c r="K18" s="615"/>
      <c r="L18" s="1138"/>
      <c r="M18" s="1129"/>
      <c r="N18" s="1129"/>
      <c r="O18" s="1129"/>
      <c r="P18" s="3139"/>
      <c r="Q18" s="1807"/>
      <c r="R18" s="774"/>
      <c r="S18" s="775"/>
      <c r="T18" s="774"/>
      <c r="U18" s="775"/>
      <c r="V18" s="774"/>
      <c r="W18" s="775"/>
      <c r="X18" s="1810"/>
      <c r="Y18" s="3132"/>
      <c r="Z18" s="1811"/>
      <c r="AA18" s="1808">
        <v>1</v>
      </c>
      <c r="AB18" s="1808">
        <v>1</v>
      </c>
      <c r="AC18" s="2672">
        <v>1</v>
      </c>
    </row>
    <row r="19" spans="1:29" ht="42.75">
      <c r="A19" s="428"/>
      <c r="B19" s="631" t="s">
        <v>2682</v>
      </c>
      <c r="C19" s="2673" t="str">
        <f>估价对象房地状况!C7</f>
        <v>估价对象所在区域公共配套设施齐备情况一般</v>
      </c>
      <c r="D19" s="455">
        <v>100</v>
      </c>
      <c r="E19" s="459"/>
      <c r="F19" s="455">
        <f>SUMIF(81:81,E20,82:82)-SUMIF(81:81,C20,82:82)+100</f>
        <v>100</v>
      </c>
      <c r="G19" s="457"/>
      <c r="H19" s="450">
        <f>SUMIF(81:81,G20,82:82)-SUMIF(81:81,C20,82:82)+100</f>
        <v>101</v>
      </c>
      <c r="I19" s="457"/>
      <c r="J19" s="450">
        <f>SUMIF(81:81,I20,82:82)-SUMIF(81:81,C20,82:82)+100</f>
        <v>101</v>
      </c>
      <c r="K19" s="614">
        <f>'比较法-商业'!K19</f>
        <v>1</v>
      </c>
      <c r="L19" s="1138"/>
      <c r="M19" s="1129"/>
      <c r="N19" s="1129"/>
      <c r="O19" s="1129"/>
      <c r="P19" s="3139"/>
      <c r="Q19" s="1807" t="str">
        <f>B19</f>
        <v>公共配套设施</v>
      </c>
      <c r="R19" s="774" t="s">
        <v>17</v>
      </c>
      <c r="S19" s="775">
        <f>F19</f>
        <v>100</v>
      </c>
      <c r="T19" s="774" t="s">
        <v>17</v>
      </c>
      <c r="U19" s="775">
        <f>H19</f>
        <v>101</v>
      </c>
      <c r="V19" s="774" t="s">
        <v>17</v>
      </c>
      <c r="W19" s="775">
        <f>J19</f>
        <v>101</v>
      </c>
      <c r="X19" s="1810"/>
      <c r="Y19" s="3132"/>
      <c r="Z19" s="1811" t="str">
        <f>Q19</f>
        <v>公共配套设施</v>
      </c>
      <c r="AA19" s="1808">
        <f t="shared" si="3"/>
        <v>1</v>
      </c>
      <c r="AB19" s="1808">
        <f t="shared" si="4"/>
        <v>0.99009900990099009</v>
      </c>
      <c r="AC19" s="2672">
        <f t="shared" si="5"/>
        <v>0.99009900990099009</v>
      </c>
    </row>
    <row r="20" spans="1:29" ht="15">
      <c r="A20" s="428"/>
      <c r="B20" s="632"/>
      <c r="C20" s="2609" t="s">
        <v>4584</v>
      </c>
      <c r="D20" s="448"/>
      <c r="E20" s="2609" t="s">
        <v>4584</v>
      </c>
      <c r="F20" s="448"/>
      <c r="G20" s="2674" t="s">
        <v>4589</v>
      </c>
      <c r="H20" s="448"/>
      <c r="I20" s="2674" t="s">
        <v>4589</v>
      </c>
      <c r="J20" s="448"/>
      <c r="K20" s="615"/>
      <c r="L20" s="1138"/>
      <c r="M20" s="1129"/>
      <c r="N20" s="1129"/>
      <c r="O20" s="1129"/>
      <c r="P20" s="3139"/>
      <c r="Q20" s="1807"/>
      <c r="R20" s="774"/>
      <c r="S20" s="775"/>
      <c r="T20" s="774"/>
      <c r="U20" s="775"/>
      <c r="V20" s="774"/>
      <c r="W20" s="775"/>
      <c r="X20" s="1810"/>
      <c r="Y20" s="3132"/>
      <c r="Z20" s="1811"/>
      <c r="AA20" s="1808">
        <v>1</v>
      </c>
      <c r="AB20" s="1808">
        <v>1</v>
      </c>
      <c r="AC20" s="2672">
        <v>1</v>
      </c>
    </row>
    <row r="21" spans="1:29" ht="42.75">
      <c r="A21" s="428"/>
      <c r="B21" s="633" t="s">
        <v>2683</v>
      </c>
      <c r="C21" s="2673"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f>'比较法-商业'!K21</f>
        <v>1</v>
      </c>
      <c r="L21" s="1138"/>
      <c r="M21" s="1129"/>
      <c r="N21" s="1129"/>
      <c r="O21" s="1129"/>
      <c r="P21" s="3139"/>
      <c r="Q21" s="1807" t="str">
        <f>B21</f>
        <v>基础设施水平</v>
      </c>
      <c r="R21" s="774" t="s">
        <v>17</v>
      </c>
      <c r="S21" s="775">
        <f>F21</f>
        <v>100</v>
      </c>
      <c r="T21" s="774" t="s">
        <v>17</v>
      </c>
      <c r="U21" s="775">
        <f>H21</f>
        <v>100</v>
      </c>
      <c r="V21" s="774" t="s">
        <v>17</v>
      </c>
      <c r="W21" s="775">
        <f>J21</f>
        <v>100</v>
      </c>
      <c r="X21" s="1810"/>
      <c r="Y21" s="3132"/>
      <c r="Z21" s="1811" t="str">
        <f>Q21</f>
        <v>基础设施水平</v>
      </c>
      <c r="AA21" s="1808">
        <f t="shared" ref="AA21" si="8">D21/F21</f>
        <v>1</v>
      </c>
      <c r="AB21" s="1808">
        <f t="shared" ref="AB21" si="9">D21/H21</f>
        <v>1</v>
      </c>
      <c r="AC21" s="2672">
        <f t="shared" ref="AC21" si="10">D21/J21</f>
        <v>1</v>
      </c>
    </row>
    <row r="22" spans="1:29" ht="15">
      <c r="A22" s="428"/>
      <c r="B22" s="633"/>
      <c r="C22" s="2674" t="s">
        <v>4588</v>
      </c>
      <c r="D22" s="448"/>
      <c r="E22" s="2674" t="s">
        <v>4588</v>
      </c>
      <c r="F22" s="448"/>
      <c r="G22" s="2674" t="s">
        <v>4588</v>
      </c>
      <c r="H22" s="448"/>
      <c r="I22" s="2674" t="s">
        <v>4588</v>
      </c>
      <c r="J22" s="448"/>
      <c r="K22" s="1381"/>
      <c r="L22" s="1138"/>
      <c r="M22" s="1129"/>
      <c r="N22" s="1129"/>
      <c r="O22" s="1129"/>
      <c r="P22" s="3139"/>
      <c r="Q22" s="1807"/>
      <c r="R22" s="774"/>
      <c r="S22" s="775"/>
      <c r="T22" s="774"/>
      <c r="U22" s="775"/>
      <c r="V22" s="774"/>
      <c r="W22" s="775"/>
      <c r="X22" s="1810"/>
      <c r="Y22" s="3132"/>
      <c r="Z22" s="1811"/>
      <c r="AA22" s="1808">
        <v>1</v>
      </c>
      <c r="AB22" s="1808">
        <v>1</v>
      </c>
      <c r="AC22" s="2672">
        <v>1</v>
      </c>
    </row>
    <row r="23" spans="1:29" ht="42.75">
      <c r="A23" s="428"/>
      <c r="B23" s="631" t="s">
        <v>2684</v>
      </c>
      <c r="C23" s="2673" t="str">
        <f>估价对象房地状况!C9</f>
        <v>区域自然环境：；人文环境；综合评价环境状况较好</v>
      </c>
      <c r="D23" s="450">
        <v>100</v>
      </c>
      <c r="E23" s="454"/>
      <c r="F23" s="450">
        <f>SUMIF(85:85,E24,86:86)-SUMIF(85:85,C24,86:86)+100</f>
        <v>100</v>
      </c>
      <c r="G23" s="452"/>
      <c r="H23" s="450">
        <f>SUMIF(85:85,G24,86:86)-SUMIF(85:85,C24,86:86)+100</f>
        <v>99</v>
      </c>
      <c r="I23" s="452"/>
      <c r="J23" s="450">
        <f>SUMIF(85:85,I24,86:86)-SUMIF(85:85,C24,86:86)+100</f>
        <v>99</v>
      </c>
      <c r="K23" s="614">
        <f>'比较法-商业'!K23</f>
        <v>1</v>
      </c>
      <c r="L23" s="1138"/>
      <c r="M23" s="1129"/>
      <c r="N23" s="1129"/>
      <c r="O23" s="1129"/>
      <c r="P23" s="3139"/>
      <c r="Q23" s="1807" t="str">
        <f>B23</f>
        <v>环境质量</v>
      </c>
      <c r="R23" s="774" t="s">
        <v>17</v>
      </c>
      <c r="S23" s="775">
        <f>F23</f>
        <v>100</v>
      </c>
      <c r="T23" s="774" t="s">
        <v>17</v>
      </c>
      <c r="U23" s="775">
        <f>H23</f>
        <v>99</v>
      </c>
      <c r="V23" s="774" t="s">
        <v>17</v>
      </c>
      <c r="W23" s="775">
        <f>J23</f>
        <v>99</v>
      </c>
      <c r="X23" s="1810"/>
      <c r="Y23" s="3132"/>
      <c r="Z23" s="1811" t="str">
        <f>Q23</f>
        <v>环境质量</v>
      </c>
      <c r="AA23" s="1808">
        <f t="shared" si="3"/>
        <v>1</v>
      </c>
      <c r="AB23" s="1808">
        <f t="shared" si="4"/>
        <v>1.0101010101010102</v>
      </c>
      <c r="AC23" s="2672">
        <f t="shared" si="5"/>
        <v>1.0101010101010102</v>
      </c>
    </row>
    <row r="24" spans="1:29" ht="15">
      <c r="A24" s="428"/>
      <c r="B24" s="633"/>
      <c r="C24" s="2609" t="s">
        <v>4589</v>
      </c>
      <c r="D24" s="448"/>
      <c r="E24" s="2609" t="s">
        <v>4589</v>
      </c>
      <c r="F24" s="448"/>
      <c r="G24" s="2603" t="s">
        <v>4584</v>
      </c>
      <c r="H24" s="448"/>
      <c r="I24" s="2603" t="s">
        <v>4584</v>
      </c>
      <c r="J24" s="448"/>
      <c r="K24" s="615"/>
      <c r="L24" s="1138"/>
      <c r="M24" s="1129"/>
      <c r="N24" s="1129"/>
      <c r="O24" s="1129"/>
      <c r="P24" s="3139"/>
      <c r="Q24" s="1807"/>
      <c r="R24" s="774"/>
      <c r="S24" s="775"/>
      <c r="T24" s="774"/>
      <c r="U24" s="775"/>
      <c r="V24" s="774"/>
      <c r="W24" s="775"/>
      <c r="X24" s="1810"/>
      <c r="Y24" s="3132"/>
      <c r="Z24" s="1811"/>
      <c r="AA24" s="1808">
        <v>1</v>
      </c>
      <c r="AB24" s="1808">
        <v>1</v>
      </c>
      <c r="AC24" s="2672">
        <v>1</v>
      </c>
    </row>
    <row r="25" spans="1:29" ht="27">
      <c r="A25" s="404"/>
      <c r="B25" s="631" t="s">
        <v>2685</v>
      </c>
      <c r="C25" s="2613"/>
      <c r="D25" s="435">
        <v>100</v>
      </c>
      <c r="E25" s="434"/>
      <c r="F25" s="435">
        <f>SUMIF(87:87,E26,88:88)-SUMIF(87:87,C26,88:88)+100</f>
        <v>101</v>
      </c>
      <c r="G25" s="2613"/>
      <c r="H25" s="435">
        <f>SUMIF(87:87,G26,88:88)-SUMIF(87:87,C26,88:88)+100</f>
        <v>102</v>
      </c>
      <c r="I25" s="434"/>
      <c r="J25" s="435">
        <f>SUMIF(87:87,I26,88:88)-SUMIF(87:87,C26,88:88)+100</f>
        <v>101</v>
      </c>
      <c r="K25" s="614">
        <v>1</v>
      </c>
      <c r="L25" s="1138"/>
      <c r="M25" s="1129"/>
      <c r="N25" s="1129"/>
      <c r="O25" s="1129"/>
      <c r="P25" s="3139"/>
      <c r="Q25" s="1807" t="str">
        <f>B25</f>
        <v>毗邻道路的类型与等级</v>
      </c>
      <c r="R25" s="774" t="s">
        <v>17</v>
      </c>
      <c r="S25" s="775">
        <f>F25</f>
        <v>101</v>
      </c>
      <c r="T25" s="774" t="s">
        <v>17</v>
      </c>
      <c r="U25" s="775">
        <f>H25</f>
        <v>102</v>
      </c>
      <c r="V25" s="774" t="s">
        <v>17</v>
      </c>
      <c r="W25" s="775">
        <f>J25</f>
        <v>101</v>
      </c>
      <c r="X25" s="1810"/>
      <c r="Y25" s="3132"/>
      <c r="Z25" s="1811" t="str">
        <f>Q25</f>
        <v>毗邻道路的类型与等级</v>
      </c>
      <c r="AA25" s="1808">
        <f t="shared" si="3"/>
        <v>0.99009900990099009</v>
      </c>
      <c r="AB25" s="1808">
        <f t="shared" si="4"/>
        <v>0.98039215686274506</v>
      </c>
      <c r="AC25" s="2672">
        <f t="shared" si="5"/>
        <v>0.99009900990099009</v>
      </c>
    </row>
    <row r="26" spans="1:29" ht="15">
      <c r="A26" s="404"/>
      <c r="B26" s="632"/>
      <c r="C26" s="634" t="s">
        <v>4678</v>
      </c>
      <c r="D26" s="435"/>
      <c r="E26" s="616" t="s">
        <v>4676</v>
      </c>
      <c r="F26" s="435"/>
      <c r="G26" s="634" t="s">
        <v>4674</v>
      </c>
      <c r="H26" s="435"/>
      <c r="I26" s="616" t="s">
        <v>4676</v>
      </c>
      <c r="J26" s="435"/>
      <c r="K26" s="615"/>
      <c r="L26" s="1138"/>
      <c r="M26" s="1129"/>
      <c r="N26" s="1129"/>
      <c r="O26" s="1129"/>
      <c r="P26" s="3139"/>
      <c r="Q26" s="1807"/>
      <c r="R26" s="774"/>
      <c r="S26" s="775"/>
      <c r="T26" s="774"/>
      <c r="U26" s="775"/>
      <c r="V26" s="774"/>
      <c r="W26" s="775"/>
      <c r="X26" s="1810"/>
      <c r="Y26" s="3132"/>
      <c r="Z26" s="1811"/>
      <c r="AA26" s="1808">
        <v>1</v>
      </c>
      <c r="AB26" s="1808">
        <v>1</v>
      </c>
      <c r="AC26" s="2672">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139"/>
      <c r="Q27" s="1807" t="str">
        <f t="shared" ref="Q27:Q47" si="11">B27</f>
        <v>楼层</v>
      </c>
      <c r="R27" s="774" t="s">
        <v>17</v>
      </c>
      <c r="S27" s="775">
        <f>F27</f>
        <v>100</v>
      </c>
      <c r="T27" s="774" t="s">
        <v>17</v>
      </c>
      <c r="U27" s="775">
        <f>H27</f>
        <v>100</v>
      </c>
      <c r="V27" s="774" t="s">
        <v>17</v>
      </c>
      <c r="W27" s="775">
        <f>J27</f>
        <v>100</v>
      </c>
      <c r="X27" s="1810"/>
      <c r="Y27" s="3132"/>
      <c r="Z27" s="1811" t="str">
        <f>Q27</f>
        <v>楼层</v>
      </c>
      <c r="AA27" s="1808">
        <f t="shared" si="3"/>
        <v>1</v>
      </c>
      <c r="AB27" s="1808">
        <f t="shared" si="4"/>
        <v>1</v>
      </c>
      <c r="AC27" s="2672">
        <f t="shared" si="5"/>
        <v>1</v>
      </c>
    </row>
    <row r="28" spans="1:29" s="117" customFormat="1" ht="15">
      <c r="A28" s="431"/>
      <c r="B28" s="631" t="s">
        <v>2686</v>
      </c>
      <c r="C28" s="2675"/>
      <c r="D28" s="462">
        <v>100</v>
      </c>
      <c r="E28" s="2663"/>
      <c r="F28" s="462">
        <f>SUMIF(91:91,E28,92:92)-SUMIF(91:91,C28,92:92)+100</f>
        <v>100</v>
      </c>
      <c r="G28" s="2675"/>
      <c r="H28" s="462">
        <f>SUMIF(91:91,G28,92:92)-SUMIF(91:91,C28,92:92)+100</f>
        <v>100</v>
      </c>
      <c r="I28" s="2663"/>
      <c r="J28" s="462">
        <f>SUMIF(91:91,I28,92:92)-SUMIF(91:91,C28,92:92)+100</f>
        <v>100</v>
      </c>
      <c r="K28" s="612"/>
      <c r="L28" s="1130"/>
      <c r="M28" s="1131"/>
      <c r="N28" s="1131"/>
      <c r="O28" s="1131"/>
      <c r="P28" s="3139"/>
      <c r="Q28" s="1792" t="str">
        <f t="shared" si="11"/>
        <v>朝向</v>
      </c>
      <c r="R28" s="770" t="s">
        <v>17</v>
      </c>
      <c r="S28" s="771">
        <f>F28</f>
        <v>100</v>
      </c>
      <c r="T28" s="770" t="s">
        <v>17</v>
      </c>
      <c r="U28" s="771">
        <f>H28</f>
        <v>100</v>
      </c>
      <c r="V28" s="770" t="s">
        <v>17</v>
      </c>
      <c r="W28" s="771">
        <f>J28</f>
        <v>100</v>
      </c>
      <c r="X28" s="772"/>
      <c r="Y28" s="3132"/>
      <c r="Z28" s="55" t="str">
        <f>Q28</f>
        <v>朝向</v>
      </c>
      <c r="AA28" s="1808">
        <f>D28/F28</f>
        <v>1</v>
      </c>
      <c r="AB28" s="1808">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8"/>
      <c r="M29" s="1129"/>
      <c r="N29" s="1129"/>
      <c r="O29" s="1129"/>
      <c r="P29" s="3139"/>
      <c r="Q29" s="1807">
        <f t="shared" si="11"/>
        <v>111</v>
      </c>
      <c r="R29" s="774" t="s">
        <v>17</v>
      </c>
      <c r="S29" s="775">
        <f t="shared" ref="S29:S47" si="12">F29</f>
        <v>100</v>
      </c>
      <c r="T29" s="774" t="s">
        <v>17</v>
      </c>
      <c r="U29" s="775">
        <f t="shared" ref="U29:U47" si="13">H29</f>
        <v>100</v>
      </c>
      <c r="V29" s="774" t="s">
        <v>17</v>
      </c>
      <c r="W29" s="775">
        <f t="shared" ref="W29:W47" si="14">J29</f>
        <v>100</v>
      </c>
      <c r="X29" s="1810"/>
      <c r="Y29" s="3132"/>
      <c r="Z29" s="1811">
        <f t="shared" ref="Z29:Z47" si="15">Q29</f>
        <v>111</v>
      </c>
      <c r="AA29" s="1808">
        <f t="shared" si="3"/>
        <v>1</v>
      </c>
      <c r="AB29" s="1808">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8"/>
      <c r="M30" s="1129"/>
      <c r="N30" s="1129"/>
      <c r="O30" s="1129"/>
      <c r="P30" s="3139"/>
      <c r="Q30" s="1807">
        <f t="shared" si="11"/>
        <v>111</v>
      </c>
      <c r="R30" s="774" t="s">
        <v>17</v>
      </c>
      <c r="S30" s="775">
        <f t="shared" si="12"/>
        <v>100</v>
      </c>
      <c r="T30" s="774" t="s">
        <v>17</v>
      </c>
      <c r="U30" s="775">
        <f t="shared" si="13"/>
        <v>100</v>
      </c>
      <c r="V30" s="774" t="s">
        <v>17</v>
      </c>
      <c r="W30" s="775">
        <f t="shared" si="14"/>
        <v>100</v>
      </c>
      <c r="X30" s="1810"/>
      <c r="Y30" s="3132"/>
      <c r="Z30" s="1811">
        <f t="shared" si="15"/>
        <v>111</v>
      </c>
      <c r="AA30" s="1808">
        <f t="shared" si="3"/>
        <v>1</v>
      </c>
      <c r="AB30" s="1808">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8"/>
      <c r="M31" s="1129"/>
      <c r="N31" s="1129"/>
      <c r="O31" s="1129"/>
      <c r="P31" s="3139"/>
      <c r="Q31" s="1807">
        <f t="shared" si="11"/>
        <v>111</v>
      </c>
      <c r="R31" s="774" t="s">
        <v>17</v>
      </c>
      <c r="S31" s="775">
        <f t="shared" si="12"/>
        <v>100</v>
      </c>
      <c r="T31" s="774" t="s">
        <v>17</v>
      </c>
      <c r="U31" s="775">
        <f t="shared" si="13"/>
        <v>100</v>
      </c>
      <c r="V31" s="774" t="s">
        <v>17</v>
      </c>
      <c r="W31" s="775">
        <f t="shared" si="14"/>
        <v>100</v>
      </c>
      <c r="X31" s="1810"/>
      <c r="Y31" s="3132"/>
      <c r="Z31" s="1811">
        <f t="shared" si="15"/>
        <v>111</v>
      </c>
      <c r="AA31" s="1808">
        <f t="shared" si="3"/>
        <v>1</v>
      </c>
      <c r="AB31" s="1808">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8"/>
      <c r="M32" s="1129"/>
      <c r="N32" s="1129"/>
      <c r="O32" s="1129"/>
      <c r="P32" s="3139"/>
      <c r="Q32" s="1807">
        <f t="shared" si="11"/>
        <v>111</v>
      </c>
      <c r="R32" s="774" t="s">
        <v>17</v>
      </c>
      <c r="S32" s="775">
        <f t="shared" si="12"/>
        <v>100</v>
      </c>
      <c r="T32" s="774" t="s">
        <v>17</v>
      </c>
      <c r="U32" s="775">
        <f t="shared" si="13"/>
        <v>100</v>
      </c>
      <c r="V32" s="774" t="s">
        <v>17</v>
      </c>
      <c r="W32" s="775">
        <f t="shared" si="14"/>
        <v>100</v>
      </c>
      <c r="X32" s="1810"/>
      <c r="Y32" s="3132"/>
      <c r="Z32" s="1811">
        <f t="shared" si="15"/>
        <v>111</v>
      </c>
      <c r="AA32" s="1808">
        <f t="shared" si="3"/>
        <v>1</v>
      </c>
      <c r="AB32" s="1808">
        <f t="shared" si="4"/>
        <v>1</v>
      </c>
      <c r="AC32" s="2672">
        <f t="shared" si="5"/>
        <v>1</v>
      </c>
    </row>
    <row r="33" spans="1:29" ht="15">
      <c r="A33" s="440" t="s">
        <v>2557</v>
      </c>
      <c r="B33" s="71" t="s">
        <v>2687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8"/>
      <c r="M33" s="1129"/>
      <c r="N33" s="1129"/>
      <c r="O33" s="1129"/>
      <c r="P33" s="3133" t="s">
        <v>2559</v>
      </c>
      <c r="Q33" s="1807" t="str">
        <f t="shared" si="11"/>
        <v>建筑类型</v>
      </c>
      <c r="R33" s="774" t="s">
        <v>17</v>
      </c>
      <c r="S33" s="775">
        <f t="shared" si="12"/>
        <v>100</v>
      </c>
      <c r="T33" s="774" t="s">
        <v>17</v>
      </c>
      <c r="U33" s="775">
        <f t="shared" si="13"/>
        <v>100</v>
      </c>
      <c r="V33" s="774" t="s">
        <v>17</v>
      </c>
      <c r="W33" s="775">
        <f t="shared" si="14"/>
        <v>100</v>
      </c>
      <c r="X33" s="1810"/>
      <c r="Y33" s="3136" t="s">
        <v>2559</v>
      </c>
      <c r="Z33" s="1811" t="str">
        <f t="shared" si="15"/>
        <v>建筑类型</v>
      </c>
      <c r="AA33" s="1808">
        <f t="shared" si="3"/>
        <v>1</v>
      </c>
      <c r="AB33" s="1808">
        <f t="shared" si="4"/>
        <v>1</v>
      </c>
      <c r="AC33" s="2672">
        <f t="shared" si="5"/>
        <v>1</v>
      </c>
    </row>
    <row r="34" spans="1:29" s="471" customFormat="1" ht="15">
      <c r="A34" s="468"/>
      <c r="B34" s="422" t="s">
        <v>2560</v>
      </c>
      <c r="C34" s="469">
        <f>'数据-基础表'!I13</f>
        <v>47.96</v>
      </c>
      <c r="D34" s="136">
        <v>100</v>
      </c>
      <c r="E34" s="430">
        <v>32</v>
      </c>
      <c r="F34" s="425">
        <f>LOOKUP(E34,104:104,105:105)-LOOKUP(C34,104:104,105:105)+100</f>
        <v>100</v>
      </c>
      <c r="G34" s="429">
        <v>91</v>
      </c>
      <c r="H34" s="136">
        <f>LOOKUP(G34,104:104,105:105)-LOOKUP(C34,104:104,105:105)+100</f>
        <v>99</v>
      </c>
      <c r="I34" s="429">
        <v>71.7</v>
      </c>
      <c r="J34" s="136">
        <f>LOOKUP(I34,104:104,105:105)-LOOKUP(C34,104:104,105:105)+100</f>
        <v>99</v>
      </c>
      <c r="K34" s="613"/>
      <c r="L34" s="1136"/>
      <c r="M34" s="1139"/>
      <c r="N34" s="1139"/>
      <c r="O34" s="1139"/>
      <c r="P34" s="3134"/>
      <c r="Q34" s="776" t="str">
        <f t="shared" si="11"/>
        <v>项目建筑规模</v>
      </c>
      <c r="R34" s="777" t="s">
        <v>17</v>
      </c>
      <c r="S34" s="778">
        <f t="shared" si="12"/>
        <v>100</v>
      </c>
      <c r="T34" s="777" t="s">
        <v>17</v>
      </c>
      <c r="U34" s="778">
        <f t="shared" si="13"/>
        <v>99</v>
      </c>
      <c r="V34" s="777" t="s">
        <v>17</v>
      </c>
      <c r="W34" s="778">
        <f t="shared" si="14"/>
        <v>99</v>
      </c>
      <c r="X34" s="779"/>
      <c r="Y34" s="3136"/>
      <c r="Z34" s="780" t="str">
        <f t="shared" si="15"/>
        <v>项目建筑规模</v>
      </c>
      <c r="AA34" s="1808">
        <f t="shared" si="3"/>
        <v>1</v>
      </c>
      <c r="AB34" s="1808">
        <f t="shared" si="4"/>
        <v>1.0101010101010102</v>
      </c>
      <c r="AC34" s="2672">
        <f t="shared" si="5"/>
        <v>1.0101010101010102</v>
      </c>
    </row>
    <row r="35" spans="1:29" ht="15">
      <c r="A35" s="472"/>
      <c r="B35" s="422" t="s">
        <v>2561</v>
      </c>
      <c r="C35" s="460" t="s">
        <v>4605</v>
      </c>
      <c r="D35" s="435">
        <v>100</v>
      </c>
      <c r="E35" s="460" t="s">
        <v>4605</v>
      </c>
      <c r="F35" s="461">
        <f>SUMIF(106:106,E35,107:107)-SUMIF(106:106,C35,107:107)+100</f>
        <v>100</v>
      </c>
      <c r="G35" s="460" t="s">
        <v>4605</v>
      </c>
      <c r="H35" s="435">
        <f>SUMIF(106:106,G35,107:107)-SUMIF(106:106,C35,107:107)+100</f>
        <v>100</v>
      </c>
      <c r="I35" s="460" t="s">
        <v>4605</v>
      </c>
      <c r="J35" s="435">
        <f>SUMIF(106:106,I35,107:107)-SUMIF(106:106,C35,107:107)+100</f>
        <v>100</v>
      </c>
      <c r="K35" s="612">
        <v>1</v>
      </c>
      <c r="L35" s="1138"/>
      <c r="M35" s="1129"/>
      <c r="N35" s="1129"/>
      <c r="O35" s="1129"/>
      <c r="P35" s="3134"/>
      <c r="Q35" s="1807" t="str">
        <f t="shared" si="11"/>
        <v>建筑结构</v>
      </c>
      <c r="R35" s="774" t="s">
        <v>17</v>
      </c>
      <c r="S35" s="775">
        <f t="shared" si="12"/>
        <v>100</v>
      </c>
      <c r="T35" s="774" t="s">
        <v>17</v>
      </c>
      <c r="U35" s="775">
        <f t="shared" si="13"/>
        <v>100</v>
      </c>
      <c r="V35" s="774" t="s">
        <v>17</v>
      </c>
      <c r="W35" s="775">
        <f t="shared" si="14"/>
        <v>100</v>
      </c>
      <c r="X35" s="1810"/>
      <c r="Y35" s="3136"/>
      <c r="Z35" s="1811" t="str">
        <f t="shared" si="15"/>
        <v>建筑结构</v>
      </c>
      <c r="AA35" s="1808">
        <f t="shared" si="3"/>
        <v>1</v>
      </c>
      <c r="AB35" s="1808">
        <f t="shared" si="4"/>
        <v>1</v>
      </c>
      <c r="AC35" s="2672">
        <f t="shared" si="5"/>
        <v>1</v>
      </c>
    </row>
    <row r="36" spans="1:29" ht="15">
      <c r="A36" s="472"/>
      <c r="B36" s="422" t="s">
        <v>2655</v>
      </c>
      <c r="C36" s="460" t="s">
        <v>4649</v>
      </c>
      <c r="D36" s="435">
        <v>100</v>
      </c>
      <c r="E36" s="460" t="s">
        <v>4649</v>
      </c>
      <c r="F36" s="461">
        <f>SUMIF(108:108,E36,109:109)-SUMIF(108:108,C36,109:109)+100</f>
        <v>100</v>
      </c>
      <c r="G36" s="460" t="s">
        <v>4649</v>
      </c>
      <c r="H36" s="435">
        <f>SUMIF(108:108,G36,109:109)-SUMIF(108:108,C36,109:109)+100</f>
        <v>100</v>
      </c>
      <c r="I36" s="460" t="s">
        <v>4649</v>
      </c>
      <c r="J36" s="435">
        <f>SUMIF(108:108,I36,109:109)-SUMIF(108:108,C36,109:109)+100</f>
        <v>100</v>
      </c>
      <c r="K36" s="612">
        <v>1</v>
      </c>
      <c r="L36" s="1138"/>
      <c r="M36" s="1129"/>
      <c r="N36" s="1129"/>
      <c r="O36" s="1129"/>
      <c r="P36" s="3134"/>
      <c r="Q36" s="1807" t="str">
        <f t="shared" si="11"/>
        <v>公共部分装修</v>
      </c>
      <c r="R36" s="774" t="s">
        <v>17</v>
      </c>
      <c r="S36" s="775">
        <f t="shared" si="12"/>
        <v>100</v>
      </c>
      <c r="T36" s="774" t="s">
        <v>17</v>
      </c>
      <c r="U36" s="775">
        <f t="shared" si="13"/>
        <v>100</v>
      </c>
      <c r="V36" s="774" t="s">
        <v>17</v>
      </c>
      <c r="W36" s="775">
        <f t="shared" si="14"/>
        <v>100</v>
      </c>
      <c r="X36" s="1810"/>
      <c r="Y36" s="3136"/>
      <c r="Z36" s="1811" t="str">
        <f t="shared" si="15"/>
        <v>公共部分装修</v>
      </c>
      <c r="AA36" s="1808">
        <f t="shared" si="3"/>
        <v>1</v>
      </c>
      <c r="AB36" s="1808">
        <f t="shared" si="4"/>
        <v>1</v>
      </c>
      <c r="AC36" s="2672">
        <f t="shared" si="5"/>
        <v>1</v>
      </c>
    </row>
    <row r="37" spans="1:29" ht="15">
      <c r="A37" s="472"/>
      <c r="B37" s="422" t="s">
        <v>2656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38"/>
      <c r="M37" s="1129"/>
      <c r="N37" s="1129"/>
      <c r="O37" s="1129"/>
      <c r="P37" s="3134"/>
      <c r="Q37" s="1807" t="str">
        <f t="shared" si="11"/>
        <v>成新度</v>
      </c>
      <c r="R37" s="774" t="s">
        <v>17</v>
      </c>
      <c r="S37" s="775">
        <f t="shared" si="12"/>
        <v>100</v>
      </c>
      <c r="T37" s="774" t="s">
        <v>17</v>
      </c>
      <c r="U37" s="775">
        <f t="shared" si="13"/>
        <v>100</v>
      </c>
      <c r="V37" s="774" t="s">
        <v>17</v>
      </c>
      <c r="W37" s="775">
        <f t="shared" si="14"/>
        <v>100</v>
      </c>
      <c r="X37" s="1810"/>
      <c r="Y37" s="3136"/>
      <c r="Z37" s="1811" t="str">
        <f t="shared" si="15"/>
        <v>成新度</v>
      </c>
      <c r="AA37" s="1808">
        <f t="shared" si="3"/>
        <v>1</v>
      </c>
      <c r="AB37" s="1808">
        <f t="shared" si="4"/>
        <v>1</v>
      </c>
      <c r="AC37" s="2672">
        <f t="shared" si="5"/>
        <v>1</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1</v>
      </c>
      <c r="L38" s="1130"/>
      <c r="M38" s="1131"/>
      <c r="N38" s="1131"/>
      <c r="O38" s="1131"/>
      <c r="P38" s="3134"/>
      <c r="Q38" s="1792" t="str">
        <f t="shared" si="11"/>
        <v>写字楼等级</v>
      </c>
      <c r="R38" s="770" t="s">
        <v>17</v>
      </c>
      <c r="S38" s="771">
        <f t="shared" si="12"/>
        <v>100</v>
      </c>
      <c r="T38" s="770" t="s">
        <v>17</v>
      </c>
      <c r="U38" s="771">
        <f t="shared" si="13"/>
        <v>100</v>
      </c>
      <c r="V38" s="770" t="s">
        <v>17</v>
      </c>
      <c r="W38" s="771">
        <f t="shared" si="14"/>
        <v>100</v>
      </c>
      <c r="X38" s="772"/>
      <c r="Y38" s="3136"/>
      <c r="Z38" s="55" t="str">
        <f t="shared" si="15"/>
        <v>写字楼等级</v>
      </c>
      <c r="AA38" s="773">
        <f t="shared" si="3"/>
        <v>1</v>
      </c>
      <c r="AB38" s="773">
        <f t="shared" si="4"/>
        <v>1</v>
      </c>
      <c r="AC38" s="2669">
        <f t="shared" si="5"/>
        <v>1</v>
      </c>
    </row>
    <row r="39" spans="1:29" ht="15">
      <c r="A39" s="472"/>
      <c r="B39" s="422" t="s">
        <v>2689</v>
      </c>
      <c r="C39" s="460" t="s">
        <v>4592</v>
      </c>
      <c r="D39" s="435">
        <v>100</v>
      </c>
      <c r="E39" s="460" t="s">
        <v>4592</v>
      </c>
      <c r="F39" s="461">
        <f>SUMIF(115:115,E39,116:116)-SUMIF(115:115,C39,116:116)+100</f>
        <v>100</v>
      </c>
      <c r="G39" s="460" t="s">
        <v>4592</v>
      </c>
      <c r="H39" s="435">
        <f>SUMIF(115:115,G39,116:116)-SUMIF(115:115,C39,116:116)+100</f>
        <v>100</v>
      </c>
      <c r="I39" s="460" t="s">
        <v>4592</v>
      </c>
      <c r="J39" s="435">
        <f>SUMIF(115:115,I39,116:116)-SUMIF(115:115,C39,116:116)+100</f>
        <v>100</v>
      </c>
      <c r="K39" s="612">
        <v>1</v>
      </c>
      <c r="L39" s="1138"/>
      <c r="M39" s="1129"/>
      <c r="N39" s="1129"/>
      <c r="O39" s="1129"/>
      <c r="P39" s="3134" t="s">
        <v>2559</v>
      </c>
      <c r="Q39" s="1807" t="str">
        <f t="shared" si="11"/>
        <v>物业管理</v>
      </c>
      <c r="R39" s="774" t="s">
        <v>17</v>
      </c>
      <c r="S39" s="775">
        <f t="shared" si="12"/>
        <v>100</v>
      </c>
      <c r="T39" s="774" t="s">
        <v>17</v>
      </c>
      <c r="U39" s="775">
        <f t="shared" si="13"/>
        <v>100</v>
      </c>
      <c r="V39" s="774" t="s">
        <v>17</v>
      </c>
      <c r="W39" s="775">
        <f t="shared" si="14"/>
        <v>100</v>
      </c>
      <c r="X39" s="1810"/>
      <c r="Y39" s="3136" t="s">
        <v>2559</v>
      </c>
      <c r="Z39" s="1811" t="str">
        <f t="shared" si="15"/>
        <v>物业管理</v>
      </c>
      <c r="AA39" s="1808">
        <f t="shared" si="3"/>
        <v>1</v>
      </c>
      <c r="AB39" s="1808">
        <f t="shared" si="4"/>
        <v>1</v>
      </c>
      <c r="AC39" s="2672">
        <f t="shared" si="5"/>
        <v>1</v>
      </c>
    </row>
    <row r="40" spans="1:29" ht="15">
      <c r="A40" s="472"/>
      <c r="B40" s="422" t="s">
        <v>2657</v>
      </c>
      <c r="C40" s="460" t="s">
        <v>4588</v>
      </c>
      <c r="D40" s="435">
        <v>100</v>
      </c>
      <c r="E40" s="460" t="s">
        <v>4588</v>
      </c>
      <c r="F40" s="461">
        <f>SUMIF(117:117,E40,118:118)-SUMIF(117:117,C40,118:118)+100</f>
        <v>100</v>
      </c>
      <c r="G40" s="460" t="s">
        <v>4588</v>
      </c>
      <c r="H40" s="435">
        <f>SUMIF(117:117,G40,118:118)-SUMIF(117:117,C40,118:118)+100</f>
        <v>100</v>
      </c>
      <c r="I40" s="460" t="s">
        <v>4588</v>
      </c>
      <c r="J40" s="435">
        <f>SUMIF(117:117,I40,118:118)-SUMIF(117:117,C40,118:118)+100</f>
        <v>100</v>
      </c>
      <c r="K40" s="612">
        <v>1</v>
      </c>
      <c r="L40" s="1138"/>
      <c r="M40" s="1129"/>
      <c r="N40" s="1129"/>
      <c r="O40" s="1129"/>
      <c r="P40" s="3134"/>
      <c r="Q40" s="1807" t="str">
        <f t="shared" si="11"/>
        <v>市政基础设施</v>
      </c>
      <c r="R40" s="774" t="s">
        <v>17</v>
      </c>
      <c r="S40" s="775">
        <f t="shared" si="12"/>
        <v>100</v>
      </c>
      <c r="T40" s="774" t="s">
        <v>17</v>
      </c>
      <c r="U40" s="775">
        <f t="shared" si="13"/>
        <v>100</v>
      </c>
      <c r="V40" s="774" t="s">
        <v>17</v>
      </c>
      <c r="W40" s="775">
        <f t="shared" si="14"/>
        <v>100</v>
      </c>
      <c r="X40" s="1810"/>
      <c r="Y40" s="3136"/>
      <c r="Z40" s="1811" t="str">
        <f t="shared" si="15"/>
        <v>市政基础设施</v>
      </c>
      <c r="AA40" s="1808">
        <f t="shared" si="3"/>
        <v>1</v>
      </c>
      <c r="AB40" s="1808">
        <f t="shared" si="4"/>
        <v>1</v>
      </c>
      <c r="AC40" s="2672">
        <f t="shared" si="5"/>
        <v>1</v>
      </c>
    </row>
    <row r="41" spans="1:29" ht="15">
      <c r="A41" s="472"/>
      <c r="B41" s="422" t="s">
        <v>2659</v>
      </c>
      <c r="C41" s="616" t="s">
        <v>4644</v>
      </c>
      <c r="D41" s="435">
        <v>100</v>
      </c>
      <c r="E41" s="616" t="s">
        <v>4644</v>
      </c>
      <c r="F41" s="461">
        <f>SUMIF(119:119,E41,120:120)-SUMIF(119:119,C41,120:120)+100</f>
        <v>100</v>
      </c>
      <c r="G41" s="616" t="s">
        <v>4644</v>
      </c>
      <c r="H41" s="435">
        <f>SUMIF(119:119,G41,120:120)-SUMIF(119:119,C41,120:120)+100</f>
        <v>100</v>
      </c>
      <c r="I41" s="616" t="s">
        <v>4644</v>
      </c>
      <c r="J41" s="435">
        <f>SUMIF(119:119,I41,120:120)-SUMIF(119:119,C41,120:120)+100</f>
        <v>100</v>
      </c>
      <c r="K41" s="612">
        <v>1</v>
      </c>
      <c r="L41" s="1138"/>
      <c r="M41" s="1129"/>
      <c r="N41" s="1129"/>
      <c r="O41" s="1129"/>
      <c r="P41" s="3134"/>
      <c r="Q41" s="1807" t="str">
        <f t="shared" si="11"/>
        <v>层高</v>
      </c>
      <c r="R41" s="774" t="s">
        <v>17</v>
      </c>
      <c r="S41" s="775">
        <f t="shared" si="12"/>
        <v>100</v>
      </c>
      <c r="T41" s="774" t="s">
        <v>17</v>
      </c>
      <c r="U41" s="775">
        <f t="shared" si="13"/>
        <v>100</v>
      </c>
      <c r="V41" s="774" t="s">
        <v>17</v>
      </c>
      <c r="W41" s="775">
        <f t="shared" si="14"/>
        <v>100</v>
      </c>
      <c r="X41" s="1810"/>
      <c r="Y41" s="3136"/>
      <c r="Z41" s="1811" t="str">
        <f t="shared" si="15"/>
        <v>层高</v>
      </c>
      <c r="AA41" s="1808">
        <f t="shared" si="3"/>
        <v>1</v>
      </c>
      <c r="AB41" s="1808">
        <f t="shared" si="4"/>
        <v>1</v>
      </c>
      <c r="AC41" s="2672">
        <f t="shared" si="5"/>
        <v>1</v>
      </c>
    </row>
    <row r="42" spans="1:29" s="471" customFormat="1" ht="15">
      <c r="A42" s="468"/>
      <c r="B42" s="1809"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34"/>
      <c r="Q42" s="776" t="str">
        <f t="shared" si="11"/>
        <v>单套建筑面积</v>
      </c>
      <c r="R42" s="777" t="s">
        <v>17</v>
      </c>
      <c r="S42" s="778">
        <f t="shared" si="12"/>
        <v>100</v>
      </c>
      <c r="T42" s="777" t="s">
        <v>17</v>
      </c>
      <c r="U42" s="778">
        <f t="shared" si="13"/>
        <v>100</v>
      </c>
      <c r="V42" s="777" t="s">
        <v>17</v>
      </c>
      <c r="W42" s="778">
        <f t="shared" si="14"/>
        <v>100</v>
      </c>
      <c r="X42" s="779"/>
      <c r="Y42" s="3136"/>
      <c r="Z42" s="780" t="str">
        <f t="shared" si="15"/>
        <v>单套建筑面积</v>
      </c>
      <c r="AA42" s="1808">
        <f t="shared" si="3"/>
        <v>1</v>
      </c>
      <c r="AB42" s="1808">
        <f t="shared" si="4"/>
        <v>1</v>
      </c>
      <c r="AC42" s="2672">
        <f t="shared" si="5"/>
        <v>1</v>
      </c>
    </row>
    <row r="43" spans="1:29" ht="15">
      <c r="A43" s="472"/>
      <c r="B43" s="422" t="s">
        <v>2662</v>
      </c>
      <c r="C43" s="460" t="s">
        <v>3185</v>
      </c>
      <c r="D43" s="435">
        <v>100</v>
      </c>
      <c r="E43" s="460" t="s">
        <v>3185</v>
      </c>
      <c r="F43" s="461">
        <f>SUMIF(123:123,E43,124:124)-SUMIF(123:123,C43,124:124)+100</f>
        <v>100</v>
      </c>
      <c r="G43" s="460" t="s">
        <v>3185</v>
      </c>
      <c r="H43" s="435">
        <f>SUMIF(123:123,G43,124:124)-SUMIF(123:123,C43,124:124)+100</f>
        <v>100</v>
      </c>
      <c r="I43" s="460" t="s">
        <v>4649</v>
      </c>
      <c r="J43" s="435">
        <f>SUMIF(123:123,I43,124:124)-SUMIF(123:123,C43,124:124)+100</f>
        <v>103</v>
      </c>
      <c r="K43" s="612">
        <v>1.5</v>
      </c>
      <c r="L43" s="1138"/>
      <c r="M43" s="1129"/>
      <c r="N43" s="1129"/>
      <c r="O43" s="1129"/>
      <c r="P43" s="3134"/>
      <c r="Q43" s="1807" t="str">
        <f t="shared" si="11"/>
        <v>内部装修</v>
      </c>
      <c r="R43" s="774" t="s">
        <v>17</v>
      </c>
      <c r="S43" s="775">
        <f t="shared" si="12"/>
        <v>100</v>
      </c>
      <c r="T43" s="774" t="s">
        <v>17</v>
      </c>
      <c r="U43" s="775">
        <f t="shared" si="13"/>
        <v>100</v>
      </c>
      <c r="V43" s="774" t="s">
        <v>17</v>
      </c>
      <c r="W43" s="775">
        <f t="shared" si="14"/>
        <v>103</v>
      </c>
      <c r="X43" s="1810"/>
      <c r="Y43" s="3136"/>
      <c r="Z43" s="1811" t="str">
        <f t="shared" si="15"/>
        <v>内部装修</v>
      </c>
      <c r="AA43" s="1808">
        <f t="shared" si="3"/>
        <v>1</v>
      </c>
      <c r="AB43" s="1808">
        <f t="shared" si="4"/>
        <v>1</v>
      </c>
      <c r="AC43" s="2672">
        <f t="shared" si="5"/>
        <v>0.970873786407767</v>
      </c>
    </row>
    <row r="44" spans="1:29" ht="15">
      <c r="A44" s="472"/>
      <c r="B44" s="422" t="s">
        <v>2570</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8"/>
      <c r="M44" s="1129"/>
      <c r="N44" s="1129"/>
      <c r="O44" s="1129"/>
      <c r="P44" s="3134"/>
      <c r="Q44" s="1807" t="str">
        <f t="shared" si="11"/>
        <v>内部装修维护情况</v>
      </c>
      <c r="R44" s="774" t="s">
        <v>17</v>
      </c>
      <c r="S44" s="775">
        <f t="shared" si="12"/>
        <v>100</v>
      </c>
      <c r="T44" s="774" t="s">
        <v>17</v>
      </c>
      <c r="U44" s="775">
        <f t="shared" si="13"/>
        <v>100</v>
      </c>
      <c r="V44" s="774" t="s">
        <v>17</v>
      </c>
      <c r="W44" s="775">
        <f t="shared" si="14"/>
        <v>100</v>
      </c>
      <c r="X44" s="1810"/>
      <c r="Y44" s="3136"/>
      <c r="Z44" s="1811" t="str">
        <f t="shared" si="15"/>
        <v>内部装修维护情况</v>
      </c>
      <c r="AA44" s="1808">
        <f t="shared" si="3"/>
        <v>1</v>
      </c>
      <c r="AB44" s="1808">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34"/>
      <c r="Q45" s="1792">
        <f t="shared" si="11"/>
        <v>111</v>
      </c>
      <c r="R45" s="770" t="s">
        <v>17</v>
      </c>
      <c r="S45" s="771">
        <f t="shared" si="12"/>
        <v>100</v>
      </c>
      <c r="T45" s="770" t="s">
        <v>17</v>
      </c>
      <c r="U45" s="771">
        <f t="shared" si="13"/>
        <v>100</v>
      </c>
      <c r="V45" s="770" t="s">
        <v>17</v>
      </c>
      <c r="W45" s="771">
        <f t="shared" si="14"/>
        <v>100</v>
      </c>
      <c r="X45" s="772"/>
      <c r="Y45" s="3136"/>
      <c r="Z45" s="55">
        <f t="shared" si="15"/>
        <v>111</v>
      </c>
      <c r="AA45" s="773">
        <f t="shared" si="3"/>
        <v>1</v>
      </c>
      <c r="AB45" s="773">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34"/>
      <c r="Q46" s="1807">
        <f t="shared" si="11"/>
        <v>111</v>
      </c>
      <c r="R46" s="774" t="s">
        <v>17</v>
      </c>
      <c r="S46" s="775">
        <f t="shared" si="12"/>
        <v>100</v>
      </c>
      <c r="T46" s="774" t="s">
        <v>17</v>
      </c>
      <c r="U46" s="775">
        <f t="shared" si="13"/>
        <v>100</v>
      </c>
      <c r="V46" s="774" t="s">
        <v>17</v>
      </c>
      <c r="W46" s="775">
        <f t="shared" si="14"/>
        <v>100</v>
      </c>
      <c r="X46" s="1810"/>
      <c r="Y46" s="3136"/>
      <c r="Z46" s="1811">
        <f t="shared" si="15"/>
        <v>111</v>
      </c>
      <c r="AA46" s="1808">
        <f t="shared" si="3"/>
        <v>1</v>
      </c>
      <c r="AB46" s="1808">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35"/>
      <c r="Q47" s="1807">
        <f t="shared" si="11"/>
        <v>111</v>
      </c>
      <c r="R47" s="774" t="s">
        <v>17</v>
      </c>
      <c r="S47" s="775">
        <f t="shared" si="12"/>
        <v>100</v>
      </c>
      <c r="T47" s="774" t="s">
        <v>17</v>
      </c>
      <c r="U47" s="775">
        <f t="shared" si="13"/>
        <v>100</v>
      </c>
      <c r="V47" s="774" t="s">
        <v>17</v>
      </c>
      <c r="W47" s="775">
        <f t="shared" si="14"/>
        <v>100</v>
      </c>
      <c r="X47" s="1810"/>
      <c r="Y47" s="3137"/>
      <c r="Z47" s="1811">
        <f t="shared" si="15"/>
        <v>111</v>
      </c>
      <c r="AA47" s="1808">
        <f t="shared" si="3"/>
        <v>1</v>
      </c>
      <c r="AB47" s="1808">
        <f t="shared" si="4"/>
        <v>1</v>
      </c>
      <c r="AC47" s="2672">
        <f t="shared" si="5"/>
        <v>1</v>
      </c>
    </row>
    <row r="48" spans="1:29" ht="15">
      <c r="A48" s="479" t="s">
        <v>2571</v>
      </c>
      <c r="B48" s="480"/>
      <c r="C48" s="1405" t="s">
        <v>1</v>
      </c>
      <c r="D48" s="1406"/>
      <c r="E48" s="1407">
        <v>29124</v>
      </c>
      <c r="F48" s="1408"/>
      <c r="G48" s="1409">
        <v>31210</v>
      </c>
      <c r="H48" s="1410"/>
      <c r="I48" s="1407">
        <v>28830</v>
      </c>
      <c r="J48" s="485"/>
      <c r="K48" s="783"/>
      <c r="L48" s="1141"/>
      <c r="M48" s="1129"/>
      <c r="N48" s="1129"/>
      <c r="O48" s="1129"/>
      <c r="P48" s="3140" t="str">
        <f>A48</f>
        <v>成交单价（元/平方米）</v>
      </c>
      <c r="Q48" s="3129"/>
      <c r="R48" s="3130">
        <f>E48</f>
        <v>29124</v>
      </c>
      <c r="S48" s="3130"/>
      <c r="T48" s="3130">
        <f>G48</f>
        <v>31210</v>
      </c>
      <c r="U48" s="3130"/>
      <c r="V48" s="3130">
        <f>I48</f>
        <v>28830</v>
      </c>
      <c r="W48" s="3130"/>
      <c r="X48" s="446"/>
      <c r="Y48" s="781"/>
      <c r="Z48" s="446"/>
      <c r="AA48" s="446"/>
      <c r="AB48" s="446"/>
      <c r="AC48" s="630"/>
    </row>
    <row r="49" spans="1:29" ht="15.75" thickBot="1">
      <c r="A49" s="486" t="s">
        <v>2663</v>
      </c>
      <c r="B49" s="487"/>
      <c r="C49" s="1411">
        <f>R50</f>
        <v>29247</v>
      </c>
      <c r="D49" s="1412"/>
      <c r="E49" s="1413">
        <f>R49</f>
        <v>28836</v>
      </c>
      <c r="F49" s="1413"/>
      <c r="G49" s="1411">
        <f>T49</f>
        <v>30910</v>
      </c>
      <c r="H49" s="1412"/>
      <c r="I49" s="1413">
        <f>V49</f>
        <v>27996</v>
      </c>
      <c r="J49" s="489"/>
      <c r="K49" s="784"/>
      <c r="L49" s="1141"/>
      <c r="M49" s="1129"/>
      <c r="N49" s="1129"/>
      <c r="O49" s="1129"/>
      <c r="P49" s="3140" t="str">
        <f>A49</f>
        <v>比较价值（元/平方米）</v>
      </c>
      <c r="Q49" s="3129"/>
      <c r="R49" s="3130">
        <f>IF(F1="售价",ROUND(PRODUCT(R48,AA7:AA47),0),ROUND(PRODUCT(R48,AA7:AA47),1))</f>
        <v>28836</v>
      </c>
      <c r="S49" s="3130"/>
      <c r="T49" s="3130">
        <f>IF(F1="售价",ROUND(PRODUCT(T48,AB7:AB47),0),ROUND(PRODUCT(T48,AB7:AB47),1))</f>
        <v>30910</v>
      </c>
      <c r="U49" s="3130"/>
      <c r="V49" s="3130">
        <f>IF(F1="售价",ROUND(PRODUCT(V48,AC7:AC47),0),ROUND(PRODUCT(V48,AC7:AC47),1))</f>
        <v>27996</v>
      </c>
      <c r="W49" s="3130"/>
      <c r="X49" s="446"/>
      <c r="Y49" s="446"/>
      <c r="Z49" s="446"/>
      <c r="AA49" s="446"/>
      <c r="AB49" s="446"/>
      <c r="AC49" s="630"/>
    </row>
    <row r="50" spans="1:29" ht="15.75" thickBot="1">
      <c r="A50" s="492" t="s">
        <v>2664</v>
      </c>
      <c r="B50" s="493"/>
      <c r="C50" s="1415">
        <f>R50</f>
        <v>29247</v>
      </c>
      <c r="D50" s="1415"/>
      <c r="E50" s="1415"/>
      <c r="F50" s="1415"/>
      <c r="G50" s="1415"/>
      <c r="H50" s="1415"/>
      <c r="I50" s="1415"/>
      <c r="J50" s="494"/>
      <c r="K50" s="785"/>
      <c r="L50" s="1141"/>
      <c r="M50" s="1129"/>
      <c r="N50" s="1129"/>
      <c r="O50" s="1129"/>
      <c r="P50" s="3271" t="str">
        <f>A50</f>
        <v>估价对象XX用房的比较价值（楼面单价，元/平方米）</v>
      </c>
      <c r="Q50" s="3272"/>
      <c r="R50" s="3273">
        <f>IF(F1="售价",ROUND(AVERAGE(R49:V49),0),ROUND(AVERAGE(R49:V49),1))</f>
        <v>29247</v>
      </c>
      <c r="S50" s="3273"/>
      <c r="T50" s="3273"/>
      <c r="U50" s="3273"/>
      <c r="V50" s="3273"/>
      <c r="W50" s="3273"/>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2665</v>
      </c>
      <c r="D53" s="498"/>
      <c r="E53" s="499">
        <f>IF(E48&lt;E49,E49/E48-1,E48/E49-1)</f>
        <v>9.987515605493158E-3</v>
      </c>
      <c r="F53" s="500" t="str">
        <f>IF(OR(E53&gt;=0.3,E53&lt;=-0.3),"超过30%","")</f>
        <v/>
      </c>
      <c r="G53" s="499">
        <f>IF(G48&lt;G49,G49/G48-1,G48/G49-1)</f>
        <v>9.7055968942090232E-3</v>
      </c>
      <c r="H53" s="500" t="str">
        <f>IF(OR(G53&gt;=0.3,G53&lt;=-0.3),"超过30%","")</f>
        <v/>
      </c>
      <c r="I53" s="499">
        <f>IF(I48&lt;I49,I49/I48-1,I48/I49-1)</f>
        <v>2.9789969995713594E-2</v>
      </c>
      <c r="J53" s="500" t="str">
        <f>IF(OR(I53&gt;=0.3,I53&lt;=-0.3),"超过30%","")</f>
        <v/>
      </c>
      <c r="K53" s="1103"/>
      <c r="L53" s="1104"/>
      <c r="M53" s="1142"/>
      <c r="N53" s="1142"/>
      <c r="O53" s="1142"/>
    </row>
    <row r="54" spans="1:29" ht="13.5" customHeight="1">
      <c r="A54" s="1142"/>
      <c r="B54" s="1142"/>
      <c r="C54" s="497" t="s">
        <v>2666</v>
      </c>
      <c r="D54" s="501"/>
      <c r="E54" s="499">
        <f>IF(E49&lt;G49,G49/E49-1,E49/G49-1)</f>
        <v>7.1923983909002676E-2</v>
      </c>
      <c r="F54" s="500" t="str">
        <f>IF(OR(E54&gt;=0.2,E54&lt;=-0.2),"超过20%","")</f>
        <v/>
      </c>
      <c r="G54" s="499">
        <f>IF(G49&lt;I49,I49/G49-1,G49/I49-1)</f>
        <v>0.10408629804257741</v>
      </c>
      <c r="H54" s="500" t="str">
        <f>IF(OR(G54&gt;=0.2,G54&lt;=-0.2),"超过20%","")</f>
        <v/>
      </c>
      <c r="I54" s="499">
        <f>IF(I49&lt;E49,E49/I49-1,I49/E49-1)</f>
        <v>3.0004286326618113E-2</v>
      </c>
      <c r="J54" s="500" t="str">
        <f>IF(OR(I54&gt;=0.2,I54&lt;=-0.2),"超过20%","")</f>
        <v/>
      </c>
      <c r="K54" s="1103"/>
      <c r="L54" s="1104"/>
      <c r="M54" s="1142"/>
      <c r="N54" s="1142"/>
      <c r="O54" s="1142"/>
    </row>
    <row r="55" spans="1:29" s="502" customFormat="1" ht="13.5" customHeight="1">
      <c r="A55" s="1143"/>
      <c r="B55" s="1143"/>
      <c r="C55" s="497" t="s">
        <v>2667</v>
      </c>
      <c r="D55" s="501"/>
      <c r="E55" s="499">
        <f>IF(E48&lt;G48,G48/E48-1,E48/G48-1)</f>
        <v>7.1624776816371361E-2</v>
      </c>
      <c r="F55" s="500" t="str">
        <f>IF(OR(E55&gt;=0.3,E55&lt;=-0.3),"超过30%","")</f>
        <v/>
      </c>
      <c r="G55" s="499">
        <f>IF(G48&lt;I48,I48/G48-1,G48/I48-1)</f>
        <v>8.2552896288588196E-2</v>
      </c>
      <c r="H55" s="500" t="str">
        <f>IF(OR(G55&gt;=0.3,G55&lt;=-0.3),"超过30%","")</f>
        <v/>
      </c>
      <c r="I55" s="499">
        <f>IF(I48&lt;E48,E48/I48-1,I48/E48-1)</f>
        <v>1.0197710718002018E-2</v>
      </c>
      <c r="J55" s="500" t="str">
        <f>IF(OR(I55&gt;=0.3,I55&lt;=-0.3),"超过30%","")</f>
        <v/>
      </c>
      <c r="K55" s="1146"/>
      <c r="L55" s="1147"/>
      <c r="M55" s="1143"/>
      <c r="N55" s="1143"/>
      <c r="O55" s="1143"/>
      <c r="P55" s="2678"/>
    </row>
    <row r="56" spans="1:29" s="502"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63" t="s">
        <v>2668</v>
      </c>
      <c r="B58" s="759"/>
      <c r="C58" s="764"/>
      <c r="D58" s="764"/>
      <c r="E58" s="764"/>
      <c r="F58" s="765"/>
      <c r="G58" s="765"/>
      <c r="H58" s="764"/>
      <c r="I58" s="764"/>
      <c r="J58" s="764"/>
      <c r="K58" s="766"/>
      <c r="L58" s="1159"/>
      <c r="M58" s="1157"/>
      <c r="N58" s="1157"/>
      <c r="O58" s="1157"/>
      <c r="P58" s="2679"/>
      <c r="Q58" s="504"/>
    </row>
    <row r="59" spans="1:29" s="508" customFormat="1" ht="15">
      <c r="A59" s="505" t="s">
        <v>2542</v>
      </c>
      <c r="B59" s="506"/>
      <c r="C59" s="1572" t="str">
        <f>YEAR(C7)&amp;"-"&amp;MONTH(C7)</f>
        <v>2019-1</v>
      </c>
      <c r="D59" s="1573">
        <f>EDATE(C59,-1)</f>
        <v>43435</v>
      </c>
      <c r="E59" s="1573">
        <f>EDATE(D59,-1)</f>
        <v>43405</v>
      </c>
      <c r="F59" s="1573">
        <f t="shared" ref="F59:O59" si="16">EDATE(E59,-1)</f>
        <v>43374</v>
      </c>
      <c r="G59" s="1573">
        <f t="shared" si="16"/>
        <v>43344</v>
      </c>
      <c r="H59" s="1573">
        <f t="shared" si="16"/>
        <v>43313</v>
      </c>
      <c r="I59" s="1573">
        <f t="shared" si="16"/>
        <v>43282</v>
      </c>
      <c r="J59" s="1573">
        <f t="shared" si="16"/>
        <v>43252</v>
      </c>
      <c r="K59" s="1573">
        <f t="shared" si="16"/>
        <v>43221</v>
      </c>
      <c r="L59" s="1573">
        <f t="shared" si="16"/>
        <v>43191</v>
      </c>
      <c r="M59" s="1573">
        <f t="shared" si="16"/>
        <v>43160</v>
      </c>
      <c r="N59" s="1573">
        <f t="shared" si="16"/>
        <v>43132</v>
      </c>
      <c r="O59" s="1573">
        <f t="shared" si="16"/>
        <v>43101</v>
      </c>
      <c r="P59" s="1569"/>
    </row>
    <row r="60" spans="1:29" s="117" customFormat="1" ht="15">
      <c r="A60" s="509"/>
      <c r="B60" s="510"/>
      <c r="C60" s="1571">
        <v>100</v>
      </c>
      <c r="D60" s="512">
        <v>100</v>
      </c>
      <c r="E60" s="512">
        <v>100</v>
      </c>
      <c r="F60" s="512">
        <v>100</v>
      </c>
      <c r="G60" s="512"/>
      <c r="H60" s="512"/>
      <c r="I60" s="512"/>
      <c r="J60" s="512"/>
      <c r="K60" s="512"/>
      <c r="L60" s="512"/>
      <c r="M60" s="513"/>
      <c r="N60" s="512"/>
      <c r="O60" s="513"/>
      <c r="P60" s="2680"/>
    </row>
    <row r="61" spans="1:29" s="117" customFormat="1" ht="15.75" thickBot="1">
      <c r="A61" s="515" t="s">
        <v>2579</v>
      </c>
      <c r="B61" s="516"/>
      <c r="C61" s="517"/>
      <c r="D61" s="518"/>
      <c r="E61" s="518"/>
      <c r="F61" s="518"/>
      <c r="G61" s="518"/>
      <c r="H61" s="518"/>
      <c r="I61" s="518"/>
      <c r="J61" s="518"/>
      <c r="K61" s="518"/>
      <c r="L61" s="518"/>
      <c r="M61" s="519"/>
      <c r="N61" s="518"/>
      <c r="O61" s="519"/>
      <c r="P61" s="2680"/>
      <c r="Q61" s="504"/>
    </row>
    <row r="62" spans="1:29" s="117" customFormat="1" ht="15">
      <c r="A62" s="521" t="s">
        <v>2544</v>
      </c>
      <c r="B62" s="510"/>
      <c r="C62" s="522" t="s">
        <v>2646</v>
      </c>
      <c r="D62" s="523"/>
      <c r="E62" s="523"/>
      <c r="F62" s="523"/>
      <c r="G62" s="523"/>
      <c r="H62" s="523"/>
      <c r="I62" s="523"/>
      <c r="J62" s="523"/>
      <c r="K62" s="523"/>
      <c r="L62" s="524"/>
      <c r="M62" s="525"/>
      <c r="N62" s="1149"/>
      <c r="O62" s="1149"/>
      <c r="P62" s="2681"/>
      <c r="Q62" s="504"/>
    </row>
    <row r="63" spans="1:29" s="117" customFormat="1" ht="15.75" thickBot="1">
      <c r="A63" s="521"/>
      <c r="B63" s="510"/>
      <c r="C63" s="511">
        <v>100</v>
      </c>
      <c r="D63" s="512"/>
      <c r="E63" s="512"/>
      <c r="F63" s="512"/>
      <c r="G63" s="512"/>
      <c r="H63" s="512"/>
      <c r="I63" s="512"/>
      <c r="J63" s="512"/>
      <c r="K63" s="512"/>
      <c r="L63" s="512"/>
      <c r="M63" s="514"/>
      <c r="N63" s="1149"/>
      <c r="O63" s="1149"/>
      <c r="P63" s="2680"/>
      <c r="Q63" s="504"/>
    </row>
    <row r="64" spans="1:29">
      <c r="A64" s="527" t="s">
        <v>2582</v>
      </c>
      <c r="B64" s="528" t="s">
        <v>2548</v>
      </c>
      <c r="C64" s="529" t="str">
        <f>C9</f>
        <v>办公</v>
      </c>
      <c r="D64" s="530"/>
      <c r="E64" s="530"/>
      <c r="F64" s="530"/>
      <c r="G64" s="530"/>
      <c r="H64" s="530"/>
      <c r="I64" s="530"/>
      <c r="J64" s="530"/>
      <c r="K64" s="531"/>
      <c r="L64" s="532"/>
      <c r="M64" s="533"/>
      <c r="N64" s="1150"/>
      <c r="O64" s="1150"/>
      <c r="P64" s="2682"/>
      <c r="Q64" s="504"/>
    </row>
    <row r="65" spans="1:17" ht="15.75" thickBot="1">
      <c r="A65" s="534"/>
      <c r="B65" s="535"/>
      <c r="C65" s="536">
        <v>100</v>
      </c>
      <c r="D65" s="536"/>
      <c r="E65" s="536"/>
      <c r="F65" s="536"/>
      <c r="G65" s="536"/>
      <c r="H65" s="536"/>
      <c r="I65" s="536"/>
      <c r="J65" s="536"/>
      <c r="K65" s="536"/>
      <c r="L65" s="536"/>
      <c r="M65" s="537"/>
      <c r="N65" s="1151"/>
      <c r="O65" s="1151"/>
      <c r="P65" s="2682"/>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0"/>
      <c r="O66" s="1150"/>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2"/>
      <c r="Q67" s="504"/>
    </row>
    <row r="68" spans="1:17" ht="15.75" thickTop="1">
      <c r="A68" s="534"/>
      <c r="B68" s="546" t="s">
        <v>2552</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2"/>
      <c r="Q68" s="504"/>
    </row>
    <row r="69" spans="1:17" ht="15">
      <c r="A69" s="534"/>
      <c r="B69" s="548"/>
      <c r="C69" s="549">
        <v>1</v>
      </c>
      <c r="D69" s="549"/>
      <c r="E69" s="549"/>
      <c r="F69" s="549"/>
      <c r="G69" s="549"/>
      <c r="H69" s="549"/>
      <c r="I69" s="549"/>
      <c r="J69" s="549"/>
      <c r="K69" s="550"/>
      <c r="L69" s="551"/>
      <c r="M69" s="552"/>
      <c r="N69" s="1150"/>
      <c r="O69" s="1150"/>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2"/>
      <c r="Q70" s="504"/>
    </row>
    <row r="71" spans="1:17" s="471" customFormat="1" ht="15.75" thickTop="1">
      <c r="A71" s="553"/>
      <c r="B71" s="538">
        <f>B12</f>
        <v>111</v>
      </c>
      <c r="C71" s="554"/>
      <c r="D71" s="554"/>
      <c r="E71" s="554"/>
      <c r="F71" s="554"/>
      <c r="G71" s="554"/>
      <c r="H71" s="555"/>
      <c r="I71" s="555"/>
      <c r="J71" s="555"/>
      <c r="K71" s="555"/>
      <c r="L71" s="556"/>
      <c r="M71" s="557"/>
      <c r="N71" s="1152"/>
      <c r="O71" s="1152"/>
      <c r="P71" s="2683"/>
      <c r="Q71" s="559"/>
    </row>
    <row r="72" spans="1:17" s="471" customFormat="1" ht="15.75" thickBot="1">
      <c r="A72" s="553"/>
      <c r="B72" s="543"/>
      <c r="C72" s="560"/>
      <c r="D72" s="536"/>
      <c r="E72" s="536"/>
      <c r="F72" s="536"/>
      <c r="G72" s="536"/>
      <c r="H72" s="536"/>
      <c r="I72" s="536"/>
      <c r="J72" s="536"/>
      <c r="K72" s="536"/>
      <c r="L72" s="536"/>
      <c r="M72" s="537"/>
      <c r="N72" s="1151"/>
      <c r="O72" s="1151"/>
      <c r="P72" s="2683"/>
      <c r="Q72" s="559"/>
    </row>
    <row r="73" spans="1:17" s="471" customFormat="1" ht="15.75" thickTop="1">
      <c r="A73" s="553"/>
      <c r="B73" s="538">
        <f>B13</f>
        <v>111</v>
      </c>
      <c r="C73" s="554"/>
      <c r="D73" s="554"/>
      <c r="E73" s="554"/>
      <c r="F73" s="554"/>
      <c r="G73" s="554"/>
      <c r="H73" s="555"/>
      <c r="I73" s="555"/>
      <c r="J73" s="555"/>
      <c r="K73" s="555"/>
      <c r="L73" s="556"/>
      <c r="M73" s="557"/>
      <c r="N73" s="1152"/>
      <c r="O73" s="1152"/>
      <c r="P73" s="2684"/>
      <c r="Q73" s="561"/>
    </row>
    <row r="74" spans="1:17" s="471" customFormat="1" ht="15.75" thickBot="1">
      <c r="A74" s="553"/>
      <c r="B74" s="543"/>
      <c r="C74" s="560"/>
      <c r="D74" s="560"/>
      <c r="E74" s="560"/>
      <c r="F74" s="560"/>
      <c r="G74" s="560"/>
      <c r="H74" s="562"/>
      <c r="I74" s="562"/>
      <c r="J74" s="562"/>
      <c r="K74" s="562"/>
      <c r="L74" s="562"/>
      <c r="M74" s="563"/>
      <c r="N74" s="1152"/>
      <c r="O74" s="1152"/>
      <c r="P74" s="2683"/>
      <c r="Q74" s="559"/>
    </row>
    <row r="75" spans="1:17" s="471" customFormat="1" ht="15.75" thickTop="1">
      <c r="A75" s="553"/>
      <c r="B75" s="546">
        <f>B14</f>
        <v>111</v>
      </c>
      <c r="C75" s="523"/>
      <c r="D75" s="523"/>
      <c r="E75" s="523"/>
      <c r="F75" s="523"/>
      <c r="G75" s="523"/>
      <c r="H75" s="564"/>
      <c r="I75" s="564"/>
      <c r="J75" s="564"/>
      <c r="K75" s="564"/>
      <c r="L75" s="565"/>
      <c r="M75" s="566"/>
      <c r="N75" s="1152"/>
      <c r="O75" s="1152"/>
      <c r="P75" s="2685"/>
      <c r="Q75" s="559"/>
    </row>
    <row r="76" spans="1:17" s="471" customFormat="1" ht="15.75" thickBot="1">
      <c r="A76" s="568"/>
      <c r="B76" s="569"/>
      <c r="C76" s="570"/>
      <c r="D76" s="570"/>
      <c r="E76" s="570"/>
      <c r="F76" s="570"/>
      <c r="G76" s="570"/>
      <c r="H76" s="571"/>
      <c r="I76" s="571"/>
      <c r="J76" s="571"/>
      <c r="K76" s="571"/>
      <c r="L76" s="571"/>
      <c r="M76" s="572"/>
      <c r="N76" s="1152"/>
      <c r="O76" s="1152"/>
      <c r="P76" s="2683"/>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0"/>
      <c r="O77" s="1150"/>
      <c r="P77" s="2686"/>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2"/>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0"/>
      <c r="O79" s="1150"/>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2"/>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0"/>
      <c r="O81" s="1150"/>
      <c r="P81" s="2682"/>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1"/>
      <c r="O82" s="1151"/>
      <c r="P82" s="2682"/>
      <c r="Q82" s="504"/>
    </row>
    <row r="83" spans="1:17" ht="15.75" thickTop="1">
      <c r="A83" s="534"/>
      <c r="B83" s="546" t="s">
        <v>2683</v>
      </c>
      <c r="C83" s="660" t="s">
        <v>2669</v>
      </c>
      <c r="D83" s="660" t="s">
        <v>2670</v>
      </c>
      <c r="E83" s="660" t="s">
        <v>2671</v>
      </c>
      <c r="F83" s="660" t="s">
        <v>2672</v>
      </c>
      <c r="G83" s="660" t="s">
        <v>2673</v>
      </c>
      <c r="H83" s="539"/>
      <c r="I83" s="539"/>
      <c r="J83" s="539"/>
      <c r="K83" s="539"/>
      <c r="L83" s="539"/>
      <c r="M83" s="1380"/>
      <c r="N83" s="1151"/>
      <c r="O83" s="1151"/>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2"/>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0"/>
      <c r="O85" s="1150"/>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2"/>
      <c r="Q86" s="504"/>
    </row>
    <row r="87" spans="1:17" s="117" customFormat="1" ht="27.75" thickTop="1">
      <c r="A87" s="579"/>
      <c r="B87" s="538" t="s">
        <v>2693</v>
      </c>
      <c r="C87" s="2976" t="s">
        <v>4675</v>
      </c>
      <c r="D87" s="2976" t="s">
        <v>4677</v>
      </c>
      <c r="E87" s="2976" t="s">
        <v>4679</v>
      </c>
      <c r="F87" s="554"/>
      <c r="G87" s="554"/>
      <c r="H87" s="554"/>
      <c r="I87" s="554"/>
      <c r="J87" s="554"/>
      <c r="K87" s="554"/>
      <c r="L87" s="580"/>
      <c r="M87" s="581"/>
      <c r="N87" s="1149"/>
      <c r="O87" s="1149"/>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2"/>
      <c r="Q88" s="504"/>
    </row>
    <row r="89" spans="1:17" s="117" customFormat="1" ht="15.75" thickTop="1">
      <c r="A89" s="579"/>
      <c r="B89" s="538" t="str">
        <f>B27</f>
        <v>楼层</v>
      </c>
      <c r="C89" s="554"/>
      <c r="D89" s="554"/>
      <c r="E89" s="554"/>
      <c r="F89" s="2633"/>
      <c r="G89" s="554"/>
      <c r="H89" s="554"/>
      <c r="I89" s="554"/>
      <c r="J89" s="554"/>
      <c r="K89" s="554"/>
      <c r="L89" s="554"/>
      <c r="M89" s="581"/>
      <c r="N89" s="1149"/>
      <c r="O89" s="1149"/>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2"/>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3"/>
      <c r="Q92" s="559"/>
    </row>
    <row r="93" spans="1:17" ht="15.75" thickTop="1">
      <c r="A93" s="534"/>
      <c r="B93" s="538">
        <f>B29</f>
        <v>111</v>
      </c>
      <c r="C93" s="554"/>
      <c r="D93" s="554"/>
      <c r="E93" s="554"/>
      <c r="F93" s="554"/>
      <c r="G93" s="554"/>
      <c r="H93" s="554"/>
      <c r="I93" s="554"/>
      <c r="J93" s="554"/>
      <c r="K93" s="554"/>
      <c r="L93" s="580"/>
      <c r="M93" s="581"/>
      <c r="N93" s="1150"/>
      <c r="O93" s="1150"/>
      <c r="P93" s="2682"/>
      <c r="Q93" s="504"/>
    </row>
    <row r="94" spans="1:17" ht="15.75" thickBot="1">
      <c r="A94" s="534"/>
      <c r="B94" s="543"/>
      <c r="C94" s="560"/>
      <c r="D94" s="536"/>
      <c r="E94" s="536"/>
      <c r="F94" s="536"/>
      <c r="G94" s="536"/>
      <c r="H94" s="536"/>
      <c r="I94" s="536"/>
      <c r="J94" s="536"/>
      <c r="K94" s="536"/>
      <c r="L94" s="536"/>
      <c r="M94" s="537"/>
      <c r="N94" s="1151"/>
      <c r="O94" s="1151"/>
      <c r="P94" s="2682"/>
      <c r="Q94" s="504"/>
    </row>
    <row r="95" spans="1:17" ht="15.75" thickTop="1">
      <c r="A95" s="534"/>
      <c r="B95" s="538">
        <f>B30</f>
        <v>111</v>
      </c>
      <c r="C95" s="554"/>
      <c r="D95" s="554"/>
      <c r="E95" s="554"/>
      <c r="F95" s="554"/>
      <c r="G95" s="583"/>
      <c r="H95" s="583"/>
      <c r="I95" s="583"/>
      <c r="J95" s="583"/>
      <c r="K95" s="584"/>
      <c r="L95" s="585"/>
      <c r="M95" s="586"/>
      <c r="N95" s="1150"/>
      <c r="O95" s="1150"/>
      <c r="P95" s="2682"/>
      <c r="Q95" s="504"/>
    </row>
    <row r="96" spans="1:17" ht="15.75" thickBot="1">
      <c r="A96" s="534"/>
      <c r="B96" s="543"/>
      <c r="C96" s="560"/>
      <c r="D96" s="560"/>
      <c r="E96" s="560"/>
      <c r="F96" s="560"/>
      <c r="G96" s="536"/>
      <c r="H96" s="536"/>
      <c r="I96" s="536"/>
      <c r="J96" s="536"/>
      <c r="K96" s="536"/>
      <c r="L96" s="536"/>
      <c r="M96" s="537"/>
      <c r="N96" s="1151"/>
      <c r="O96" s="1151"/>
      <c r="P96" s="2682"/>
      <c r="Q96" s="504"/>
    </row>
    <row r="97" spans="1:17" ht="15.75" thickTop="1">
      <c r="A97" s="534"/>
      <c r="B97" s="538">
        <f>B31</f>
        <v>111</v>
      </c>
      <c r="C97" s="554"/>
      <c r="D97" s="554"/>
      <c r="E97" s="554"/>
      <c r="F97" s="554"/>
      <c r="G97" s="583"/>
      <c r="H97" s="583"/>
      <c r="I97" s="583"/>
      <c r="J97" s="583"/>
      <c r="K97" s="584"/>
      <c r="L97" s="585"/>
      <c r="M97" s="586"/>
      <c r="N97" s="1150"/>
      <c r="O97" s="1150"/>
      <c r="P97" s="2682"/>
      <c r="Q97" s="504"/>
    </row>
    <row r="98" spans="1:17" ht="15.75" thickBot="1">
      <c r="A98" s="534"/>
      <c r="B98" s="543"/>
      <c r="C98" s="560"/>
      <c r="D98" s="536"/>
      <c r="E98" s="536"/>
      <c r="F98" s="536"/>
      <c r="G98" s="536"/>
      <c r="H98" s="536"/>
      <c r="I98" s="536"/>
      <c r="J98" s="536"/>
      <c r="K98" s="536"/>
      <c r="L98" s="536"/>
      <c r="M98" s="537"/>
      <c r="N98" s="1151"/>
      <c r="O98" s="1151"/>
      <c r="P98" s="2682"/>
      <c r="Q98" s="504"/>
    </row>
    <row r="99" spans="1:17" ht="15.75" thickTop="1">
      <c r="A99" s="534"/>
      <c r="B99" s="546">
        <f>B32</f>
        <v>111</v>
      </c>
      <c r="C99" s="523"/>
      <c r="D99" s="523"/>
      <c r="E99" s="523"/>
      <c r="F99" s="523"/>
      <c r="G99" s="587"/>
      <c r="H99" s="587"/>
      <c r="I99" s="587"/>
      <c r="J99" s="587"/>
      <c r="K99" s="588"/>
      <c r="L99" s="589"/>
      <c r="M99" s="590"/>
      <c r="N99" s="1150"/>
      <c r="O99" s="1150"/>
      <c r="P99" s="2682"/>
      <c r="Q99" s="504"/>
    </row>
    <row r="100" spans="1:17" ht="15.75" thickBot="1">
      <c r="A100" s="2634"/>
      <c r="B100" s="569"/>
      <c r="C100" s="570"/>
      <c r="D100" s="570"/>
      <c r="E100" s="570"/>
      <c r="F100" s="570"/>
      <c r="G100" s="591"/>
      <c r="H100" s="591"/>
      <c r="I100" s="591"/>
      <c r="J100" s="591"/>
      <c r="K100" s="591"/>
      <c r="L100" s="591"/>
      <c r="M100" s="592"/>
      <c r="N100" s="1151"/>
      <c r="O100" s="1151"/>
      <c r="P100" s="2682"/>
      <c r="Q100" s="504"/>
    </row>
    <row r="101" spans="1:17">
      <c r="A101" s="527" t="s">
        <v>2557</v>
      </c>
      <c r="B101" s="528" t="s">
        <v>2606</v>
      </c>
      <c r="C101" s="530"/>
      <c r="D101" s="530"/>
      <c r="E101" s="530"/>
      <c r="F101" s="530"/>
      <c r="G101" s="530"/>
      <c r="H101" s="530"/>
      <c r="I101" s="530"/>
      <c r="J101" s="530"/>
      <c r="K101" s="531"/>
      <c r="L101" s="532"/>
      <c r="M101" s="533"/>
      <c r="N101" s="1150"/>
      <c r="O101" s="1150"/>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2"/>
      <c r="Q102" s="504"/>
    </row>
    <row r="103" spans="1:17" ht="15.75" thickTop="1">
      <c r="A103" s="534"/>
      <c r="B103" s="538" t="s">
        <v>2607</v>
      </c>
      <c r="C103" s="578" t="str">
        <f>C104&amp;"(含)"&amp;"-"&amp;D104</f>
        <v>0(含)-50</v>
      </c>
      <c r="D103" s="578" t="str">
        <f t="shared" ref="D103:L103" si="23">D104&amp;"(含)"&amp;"-"&amp;E104</f>
        <v>50(含)-100</v>
      </c>
      <c r="E103" s="578" t="str">
        <f t="shared" si="23"/>
        <v>100(含)-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2"/>
      <c r="Q103" s="504"/>
    </row>
    <row r="104" spans="1:17" s="471" customFormat="1">
      <c r="A104" s="593"/>
      <c r="B104" s="594"/>
      <c r="C104" s="595">
        <v>0</v>
      </c>
      <c r="D104" s="595">
        <v>50</v>
      </c>
      <c r="E104" s="595">
        <v>100</v>
      </c>
      <c r="F104" s="595"/>
      <c r="G104" s="595"/>
      <c r="H104" s="595"/>
      <c r="I104" s="595"/>
      <c r="J104" s="596"/>
      <c r="K104" s="596"/>
      <c r="L104" s="597"/>
      <c r="M104" s="598"/>
      <c r="N104" s="1152"/>
      <c r="O104" s="1152"/>
      <c r="P104" s="2683"/>
      <c r="Q104" s="559"/>
    </row>
    <row r="105" spans="1:17" s="471" customFormat="1" ht="15.75" thickBot="1">
      <c r="A105" s="553"/>
      <c r="B105" s="543"/>
      <c r="C105" s="560">
        <v>100</v>
      </c>
      <c r="D105" s="536">
        <v>99</v>
      </c>
      <c r="E105" s="536">
        <v>98</v>
      </c>
      <c r="F105" s="536"/>
      <c r="G105" s="536"/>
      <c r="H105" s="536"/>
      <c r="I105" s="536"/>
      <c r="J105" s="536"/>
      <c r="K105" s="536"/>
      <c r="L105" s="536"/>
      <c r="M105" s="537"/>
      <c r="N105" s="1151"/>
      <c r="O105" s="1151"/>
      <c r="P105" s="2683"/>
      <c r="Q105" s="559"/>
    </row>
    <row r="106" spans="1:17" ht="15" thickTop="1">
      <c r="A106" s="599"/>
      <c r="B106" s="538" t="s">
        <v>2608</v>
      </c>
      <c r="C106" s="2976" t="s">
        <v>4680</v>
      </c>
      <c r="D106" s="554"/>
      <c r="E106" s="583"/>
      <c r="F106" s="583"/>
      <c r="G106" s="583"/>
      <c r="H106" s="583"/>
      <c r="I106" s="583"/>
      <c r="J106" s="583"/>
      <c r="K106" s="584"/>
      <c r="L106" s="585"/>
      <c r="M106" s="586"/>
      <c r="N106" s="1150"/>
      <c r="O106" s="1150"/>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2"/>
      <c r="Q107" s="504"/>
    </row>
    <row r="108" spans="1:17" ht="15" thickTop="1">
      <c r="A108" s="599"/>
      <c r="B108" s="538" t="s">
        <v>2610</v>
      </c>
      <c r="C108" s="2976" t="s">
        <v>4681</v>
      </c>
      <c r="D108" s="554"/>
      <c r="E108" s="554"/>
      <c r="F108" s="583"/>
      <c r="G108" s="583"/>
      <c r="H108" s="583"/>
      <c r="I108" s="583"/>
      <c r="J108" s="583"/>
      <c r="K108" s="584"/>
      <c r="L108" s="585"/>
      <c r="M108" s="586"/>
      <c r="N108" s="1150"/>
      <c r="O108" s="1150"/>
      <c r="P108" s="2682"/>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2"/>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2"/>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2"/>
      <c r="Q112" s="504"/>
    </row>
    <row r="113" spans="1:17" s="471" customFormat="1" ht="15" thickTop="1">
      <c r="A113" s="593"/>
      <c r="B113" s="538" t="s">
        <v>2694</v>
      </c>
      <c r="C113" s="554"/>
      <c r="D113" s="554"/>
      <c r="E113" s="554"/>
      <c r="F113" s="554"/>
      <c r="G113" s="554"/>
      <c r="H113" s="583"/>
      <c r="I113" s="583"/>
      <c r="J113" s="583"/>
      <c r="K113" s="584"/>
      <c r="L113" s="585"/>
      <c r="M113" s="586"/>
      <c r="N113" s="1152"/>
      <c r="O113" s="1152"/>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2"/>
      <c r="O114" s="1152"/>
      <c r="P114" s="2683"/>
      <c r="Q114" s="559"/>
    </row>
    <row r="115" spans="1:17" ht="15" thickTop="1">
      <c r="A115" s="599"/>
      <c r="B115" s="538" t="s">
        <v>2611</v>
      </c>
      <c r="C115" s="2976" t="s">
        <v>4682</v>
      </c>
      <c r="D115" s="554"/>
      <c r="E115" s="583"/>
      <c r="F115" s="583"/>
      <c r="G115" s="583"/>
      <c r="H115" s="583"/>
      <c r="I115" s="583"/>
      <c r="J115" s="583"/>
      <c r="K115" s="584"/>
      <c r="L115" s="585"/>
      <c r="M115" s="586"/>
      <c r="N115" s="1150"/>
      <c r="O115" s="1150"/>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1"/>
      <c r="O116" s="1151"/>
      <c r="P116" s="2682"/>
      <c r="Q116" s="504"/>
    </row>
    <row r="117" spans="1:17" ht="15" thickTop="1">
      <c r="A117" s="599"/>
      <c r="B117" s="538" t="s">
        <v>2612</v>
      </c>
      <c r="C117" s="2976" t="s">
        <v>4683</v>
      </c>
      <c r="D117" s="554"/>
      <c r="E117" s="554"/>
      <c r="F117" s="554"/>
      <c r="G117" s="554"/>
      <c r="H117" s="583"/>
      <c r="I117" s="583"/>
      <c r="J117" s="583"/>
      <c r="K117" s="584"/>
      <c r="L117" s="585"/>
      <c r="M117" s="586"/>
      <c r="N117" s="1150"/>
      <c r="O117" s="1150"/>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2"/>
      <c r="Q118" s="504"/>
    </row>
    <row r="119" spans="1:17" ht="15" thickTop="1">
      <c r="A119" s="599"/>
      <c r="B119" s="636" t="s">
        <v>2695</v>
      </c>
      <c r="C119" s="2996" t="s">
        <v>4684</v>
      </c>
      <c r="D119" s="583"/>
      <c r="E119" s="583"/>
      <c r="F119" s="583"/>
      <c r="G119" s="583"/>
      <c r="H119" s="583"/>
      <c r="I119" s="583"/>
      <c r="J119" s="583"/>
      <c r="K119" s="583"/>
      <c r="L119" s="2687"/>
      <c r="M119" s="2688"/>
      <c r="N119" s="1151"/>
      <c r="O119" s="1151"/>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1"/>
      <c r="O120" s="1151"/>
      <c r="P120" s="2682"/>
      <c r="Q120" s="504"/>
    </row>
    <row r="121" spans="1:17" s="471" customFormat="1" ht="15" thickTop="1">
      <c r="A121" s="593"/>
      <c r="B121" s="538" t="s">
        <v>2678</v>
      </c>
      <c r="C121" s="554"/>
      <c r="D121" s="554"/>
      <c r="E121" s="554"/>
      <c r="F121" s="583"/>
      <c r="G121" s="555"/>
      <c r="H121" s="555"/>
      <c r="I121" s="555"/>
      <c r="J121" s="555"/>
      <c r="K121" s="555"/>
      <c r="L121" s="556"/>
      <c r="M121" s="557"/>
      <c r="N121" s="1152"/>
      <c r="O121" s="1152"/>
      <c r="P121" s="2683"/>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3"/>
      <c r="Q122" s="559"/>
    </row>
    <row r="123" spans="1:17" ht="15" thickTop="1">
      <c r="A123" s="599"/>
      <c r="B123" s="538" t="s">
        <v>2614</v>
      </c>
      <c r="C123" s="2976" t="s">
        <v>4687</v>
      </c>
      <c r="D123" s="2976" t="s">
        <v>4688</v>
      </c>
      <c r="E123" s="2976" t="s">
        <v>4685</v>
      </c>
      <c r="F123" s="2996"/>
      <c r="G123" s="583"/>
      <c r="H123" s="583"/>
      <c r="I123" s="583"/>
      <c r="J123" s="583"/>
      <c r="K123" s="584"/>
      <c r="L123" s="585"/>
      <c r="M123" s="586"/>
      <c r="N123" s="1150"/>
      <c r="O123" s="1150"/>
      <c r="P123" s="2682"/>
      <c r="Q123" s="504"/>
    </row>
    <row r="124" spans="1:17" ht="15.75" thickBot="1">
      <c r="A124" s="534"/>
      <c r="B124" s="543"/>
      <c r="C124" s="544">
        <v>100</v>
      </c>
      <c r="D124" s="544">
        <f t="shared" ref="D124:M124" si="30">C124-$K43</f>
        <v>98.5</v>
      </c>
      <c r="E124" s="544">
        <f t="shared" si="30"/>
        <v>97</v>
      </c>
      <c r="F124" s="544">
        <f t="shared" si="30"/>
        <v>95.5</v>
      </c>
      <c r="G124" s="544">
        <f t="shared" si="30"/>
        <v>94</v>
      </c>
      <c r="H124" s="544">
        <f t="shared" si="30"/>
        <v>92.5</v>
      </c>
      <c r="I124" s="544">
        <f t="shared" si="30"/>
        <v>91</v>
      </c>
      <c r="J124" s="544">
        <f t="shared" si="30"/>
        <v>89.5</v>
      </c>
      <c r="K124" s="544">
        <f t="shared" si="30"/>
        <v>88</v>
      </c>
      <c r="L124" s="544">
        <f t="shared" si="30"/>
        <v>86.5</v>
      </c>
      <c r="M124" s="545">
        <f t="shared" si="30"/>
        <v>85</v>
      </c>
      <c r="N124" s="1151"/>
      <c r="O124" s="1151"/>
      <c r="P124" s="2682"/>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0"/>
      <c r="O125" s="1150"/>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2"/>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3"/>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3"/>
      <c r="Q128" s="559"/>
    </row>
    <row r="129" spans="1:17" ht="15" thickTop="1">
      <c r="A129" s="599"/>
      <c r="B129" s="538">
        <f>B46</f>
        <v>111</v>
      </c>
      <c r="C129" s="554"/>
      <c r="D129" s="554"/>
      <c r="E129" s="554"/>
      <c r="F129" s="554"/>
      <c r="G129" s="583"/>
      <c r="H129" s="583"/>
      <c r="I129" s="583"/>
      <c r="J129" s="583"/>
      <c r="K129" s="584"/>
      <c r="L129" s="585"/>
      <c r="M129" s="586"/>
      <c r="N129" s="1150"/>
      <c r="O129" s="1150"/>
      <c r="P129" s="2682"/>
      <c r="Q129" s="504"/>
    </row>
    <row r="130" spans="1:17" ht="15.75" thickBot="1">
      <c r="A130" s="534"/>
      <c r="B130" s="543"/>
      <c r="C130" s="560"/>
      <c r="D130" s="560"/>
      <c r="E130" s="560"/>
      <c r="F130" s="560"/>
      <c r="G130" s="536"/>
      <c r="H130" s="536"/>
      <c r="I130" s="536"/>
      <c r="J130" s="536"/>
      <c r="K130" s="536"/>
      <c r="L130" s="536"/>
      <c r="M130" s="537"/>
      <c r="N130" s="1151"/>
      <c r="O130" s="1151"/>
      <c r="P130" s="2682"/>
      <c r="Q130" s="504"/>
    </row>
    <row r="131" spans="1:17" ht="15" thickTop="1">
      <c r="A131" s="599"/>
      <c r="B131" s="546">
        <f>B47</f>
        <v>111</v>
      </c>
      <c r="C131" s="523"/>
      <c r="D131" s="523"/>
      <c r="E131" s="523"/>
      <c r="F131" s="523"/>
      <c r="G131" s="587"/>
      <c r="H131" s="587"/>
      <c r="I131" s="587"/>
      <c r="J131" s="587"/>
      <c r="K131" s="523"/>
      <c r="L131" s="524"/>
      <c r="M131" s="590"/>
      <c r="N131" s="1150"/>
      <c r="O131" s="1150"/>
      <c r="P131" s="2682"/>
      <c r="Q131" s="504"/>
    </row>
    <row r="132" spans="1:17" ht="15.75" thickBot="1">
      <c r="A132" s="2634"/>
      <c r="B132" s="569"/>
      <c r="C132" s="570"/>
      <c r="D132" s="570"/>
      <c r="E132" s="570"/>
      <c r="F132" s="570"/>
      <c r="G132" s="591"/>
      <c r="H132" s="591"/>
      <c r="I132" s="591"/>
      <c r="J132" s="591"/>
      <c r="K132" s="591"/>
      <c r="L132" s="591"/>
      <c r="M132" s="592"/>
      <c r="N132" s="1151"/>
      <c r="O132" s="1151"/>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7" t="s">
        <v>2696</v>
      </c>
      <c r="C1" s="1618" t="s">
        <v>2524</v>
      </c>
      <c r="D1" s="1619"/>
      <c r="E1" s="1628"/>
      <c r="F1" s="2582"/>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IF(C2="——",ROUND(C43*D3/10000,0),ROUND(C43*D3/10000,0)-D2)</f>
        <v>#DIV/0!</v>
      </c>
      <c r="C2" s="2584"/>
      <c r="D2" s="1122" t="e">
        <f ca="1">SUMIF(INDIRECT("'"&amp;F2&amp;"'"&amp;"!A:A"),"承租人权益价值",INDIRECT("'"&amp;F2&amp;"'"&amp;"!c:c"))</f>
        <v>#REF!</v>
      </c>
      <c r="E2" s="2585" t="s">
        <v>2322</v>
      </c>
      <c r="F2" s="2586"/>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61370.239999998797</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54" t="s">
        <v>2641</v>
      </c>
      <c r="S4" s="3155"/>
      <c r="T4" s="3154" t="s">
        <v>2642</v>
      </c>
      <c r="U4" s="3155"/>
      <c r="V4" s="3160" t="s">
        <v>2643</v>
      </c>
      <c r="W4" s="3160"/>
      <c r="X4" s="1810"/>
      <c r="Y4" s="3154" t="s">
        <v>2645</v>
      </c>
      <c r="Z4" s="3155"/>
      <c r="AA4" s="3141" t="s">
        <v>2641</v>
      </c>
      <c r="AB4" s="3142" t="s">
        <v>2642</v>
      </c>
      <c r="AC4" s="3141" t="s">
        <v>2643</v>
      </c>
    </row>
    <row r="5" spans="1:29" ht="15">
      <c r="A5" s="404"/>
      <c r="B5" s="405"/>
      <c r="C5" s="3163" t="s">
        <v>2536</v>
      </c>
      <c r="D5" s="3164"/>
      <c r="E5" s="3170" t="s">
        <v>2537</v>
      </c>
      <c r="F5" s="3171"/>
      <c r="G5" s="3163" t="s">
        <v>2538</v>
      </c>
      <c r="H5" s="3164"/>
      <c r="I5" s="3163" t="s">
        <v>2539</v>
      </c>
      <c r="J5" s="3164"/>
      <c r="K5" s="610"/>
      <c r="L5" s="1128"/>
      <c r="M5" s="1129"/>
      <c r="N5" s="1129"/>
      <c r="O5" s="1129"/>
      <c r="P5" s="3150"/>
      <c r="Q5" s="3151"/>
      <c r="R5" s="3156"/>
      <c r="S5" s="3157"/>
      <c r="T5" s="3156"/>
      <c r="U5" s="3157"/>
      <c r="V5" s="3160"/>
      <c r="W5" s="3160"/>
      <c r="X5" s="1810"/>
      <c r="Y5" s="3156"/>
      <c r="Z5" s="3157"/>
      <c r="AA5" s="3142"/>
      <c r="AB5" s="3142"/>
      <c r="AC5" s="3142"/>
    </row>
    <row r="6" spans="1:29" ht="15.75" thickBot="1">
      <c r="A6" s="406"/>
      <c r="B6" s="407"/>
      <c r="C6" s="3161" t="s">
        <v>2540</v>
      </c>
      <c r="D6" s="3162"/>
      <c r="E6" s="3168" t="s">
        <v>2540</v>
      </c>
      <c r="F6" s="3169"/>
      <c r="G6" s="3161" t="s">
        <v>2540</v>
      </c>
      <c r="H6" s="3162"/>
      <c r="I6" s="3161" t="s">
        <v>2540</v>
      </c>
      <c r="J6" s="3162"/>
      <c r="K6" s="610" t="s">
        <v>2541</v>
      </c>
      <c r="L6" s="1128"/>
      <c r="M6" s="1129"/>
      <c r="N6" s="1129"/>
      <c r="O6" s="1129"/>
      <c r="P6" s="3152"/>
      <c r="Q6" s="3153"/>
      <c r="R6" s="3156"/>
      <c r="S6" s="3157"/>
      <c r="T6" s="3158"/>
      <c r="U6" s="3159"/>
      <c r="V6" s="3160"/>
      <c r="W6" s="3160"/>
      <c r="X6" s="1810"/>
      <c r="Y6" s="3158"/>
      <c r="Z6" s="3159"/>
      <c r="AA6" s="3143"/>
      <c r="AB6" s="3143"/>
      <c r="AC6" s="3143"/>
    </row>
    <row r="7" spans="1:29" s="117" customFormat="1" ht="15.75" thickBot="1">
      <c r="A7" s="408" t="s">
        <v>2542</v>
      </c>
      <c r="B7" s="409"/>
      <c r="C7" s="410">
        <f>'数据-取费表'!B2</f>
        <v>43494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65" t="s">
        <v>2543</v>
      </c>
      <c r="Q7" s="3167"/>
      <c r="R7" s="770" t="s">
        <v>17</v>
      </c>
      <c r="S7" s="771">
        <f t="shared" ref="S7:S15" si="0">F7</f>
        <v>0</v>
      </c>
      <c r="T7" s="770" t="s">
        <v>17</v>
      </c>
      <c r="U7" s="771">
        <f t="shared" ref="U7:U15" si="1">H7</f>
        <v>0</v>
      </c>
      <c r="V7" s="770" t="s">
        <v>17</v>
      </c>
      <c r="W7" s="771">
        <f t="shared" ref="W7:W15" si="2">J7</f>
        <v>0</v>
      </c>
      <c r="X7" s="772"/>
      <c r="Y7" s="3165" t="s">
        <v>2543</v>
      </c>
      <c r="Z7" s="3166"/>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65" t="s">
        <v>2546</v>
      </c>
      <c r="Q8" s="3166"/>
      <c r="R8" s="770" t="s">
        <v>17</v>
      </c>
      <c r="S8" s="771">
        <f t="shared" si="0"/>
        <v>0</v>
      </c>
      <c r="T8" s="770" t="s">
        <v>17</v>
      </c>
      <c r="U8" s="771">
        <f t="shared" si="1"/>
        <v>0</v>
      </c>
      <c r="V8" s="770" t="s">
        <v>17</v>
      </c>
      <c r="W8" s="771">
        <f t="shared" si="2"/>
        <v>0</v>
      </c>
      <c r="X8" s="772"/>
      <c r="Y8" s="3165" t="s">
        <v>2546</v>
      </c>
      <c r="Z8" s="3166"/>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29" t="s">
        <v>2549</v>
      </c>
      <c r="Q9" s="1792" t="str">
        <f t="shared" ref="Q9:Q15" si="6">B9</f>
        <v>用途</v>
      </c>
      <c r="R9" s="770" t="s">
        <v>17</v>
      </c>
      <c r="S9" s="771">
        <f t="shared" si="0"/>
        <v>100</v>
      </c>
      <c r="T9" s="770" t="s">
        <v>17</v>
      </c>
      <c r="U9" s="771">
        <f t="shared" si="1"/>
        <v>100</v>
      </c>
      <c r="V9" s="770" t="s">
        <v>17</v>
      </c>
      <c r="W9" s="771">
        <f t="shared" si="2"/>
        <v>100</v>
      </c>
      <c r="X9" s="772"/>
      <c r="Y9" s="3047"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29"/>
      <c r="Q10" s="1792"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29"/>
      <c r="Q11" s="1792"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0"/>
      <c r="M12" s="1131"/>
      <c r="N12" s="1131"/>
      <c r="O12" s="1132"/>
      <c r="P12" s="3129"/>
      <c r="Q12" s="1792">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8"/>
      <c r="M13" s="1129"/>
      <c r="N13" s="1129"/>
      <c r="O13" s="1137"/>
      <c r="P13" s="3129"/>
      <c r="Q13" s="1792">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8"/>
      <c r="M14" s="1129"/>
      <c r="N14" s="1129"/>
      <c r="O14" s="1137"/>
      <c r="P14" s="3129"/>
      <c r="Q14" s="1792">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57">
      <c r="A15" s="440" t="s">
        <v>2553</v>
      </c>
      <c r="B15" s="69" t="s">
        <v>2697</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31" t="s">
        <v>2554</v>
      </c>
      <c r="Q15" s="1807" t="str">
        <f t="shared" si="6"/>
        <v>产业集聚程度</v>
      </c>
      <c r="R15" s="774" t="s">
        <v>17</v>
      </c>
      <c r="S15" s="775">
        <f t="shared" si="0"/>
        <v>100</v>
      </c>
      <c r="T15" s="774" t="s">
        <v>17</v>
      </c>
      <c r="U15" s="775">
        <f t="shared" si="1"/>
        <v>100</v>
      </c>
      <c r="V15" s="774" t="s">
        <v>17</v>
      </c>
      <c r="W15" s="775">
        <f t="shared" si="2"/>
        <v>100</v>
      </c>
      <c r="X15" s="1810"/>
      <c r="Y15" s="3131" t="s">
        <v>2554</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32"/>
      <c r="Q16" s="1807"/>
      <c r="R16" s="774"/>
      <c r="S16" s="775"/>
      <c r="T16" s="774"/>
      <c r="U16" s="775"/>
      <c r="V16" s="774"/>
      <c r="W16" s="775"/>
      <c r="X16" s="1810"/>
      <c r="Y16" s="3132"/>
      <c r="Z16" s="1811"/>
      <c r="AA16" s="1808">
        <v>1</v>
      </c>
      <c r="AB16" s="1808">
        <v>1</v>
      </c>
      <c r="AC16" s="1808">
        <v>1</v>
      </c>
    </row>
    <row r="17" spans="1:29" ht="85.5">
      <c r="A17" s="428"/>
      <c r="B17" s="451" t="s">
        <v>2090</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32"/>
      <c r="Q17" s="1807" t="str">
        <f>B17</f>
        <v>交通便捷度</v>
      </c>
      <c r="R17" s="774" t="s">
        <v>17</v>
      </c>
      <c r="S17" s="775">
        <f>F17</f>
        <v>100</v>
      </c>
      <c r="T17" s="774" t="s">
        <v>17</v>
      </c>
      <c r="U17" s="775">
        <f>H17</f>
        <v>100</v>
      </c>
      <c r="V17" s="774" t="s">
        <v>17</v>
      </c>
      <c r="W17" s="775">
        <f>J17</f>
        <v>100</v>
      </c>
      <c r="X17" s="1810"/>
      <c r="Y17" s="3132"/>
      <c r="Z17" s="1811" t="str">
        <f>Q17</f>
        <v>交通便捷度</v>
      </c>
      <c r="AA17" s="1808">
        <f t="shared" si="3"/>
        <v>1</v>
      </c>
      <c r="AB17" s="1808">
        <f t="shared" si="4"/>
        <v>1</v>
      </c>
      <c r="AC17" s="1808">
        <f t="shared" si="5"/>
        <v>1</v>
      </c>
    </row>
    <row r="18" spans="1:29" ht="15">
      <c r="A18" s="428"/>
      <c r="B18" s="456"/>
      <c r="C18" s="2606"/>
      <c r="D18" s="450"/>
      <c r="E18" s="2608"/>
      <c r="F18" s="453"/>
      <c r="G18" s="2607"/>
      <c r="H18" s="448"/>
      <c r="I18" s="2608"/>
      <c r="J18" s="448"/>
      <c r="K18" s="615"/>
      <c r="L18" s="1138"/>
      <c r="M18" s="1129"/>
      <c r="N18" s="1129"/>
      <c r="O18" s="1137"/>
      <c r="P18" s="3132"/>
      <c r="Q18" s="1807"/>
      <c r="R18" s="774"/>
      <c r="S18" s="775"/>
      <c r="T18" s="774"/>
      <c r="U18" s="775"/>
      <c r="V18" s="774"/>
      <c r="W18" s="775"/>
      <c r="X18" s="1810"/>
      <c r="Y18" s="3132"/>
      <c r="Z18" s="1811"/>
      <c r="AA18" s="1808">
        <v>1</v>
      </c>
      <c r="AB18" s="1808">
        <v>1</v>
      </c>
      <c r="AC18" s="1808">
        <v>1</v>
      </c>
    </row>
    <row r="19" spans="1:29" ht="42.75">
      <c r="A19" s="428"/>
      <c r="B19" s="451" t="s">
        <v>2682</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32"/>
      <c r="Q19" s="1807" t="str">
        <f>B19</f>
        <v>公共配套设施</v>
      </c>
      <c r="R19" s="774" t="s">
        <v>17</v>
      </c>
      <c r="S19" s="775">
        <f>F19</f>
        <v>100</v>
      </c>
      <c r="T19" s="774" t="s">
        <v>17</v>
      </c>
      <c r="U19" s="775">
        <f>H19</f>
        <v>100</v>
      </c>
      <c r="V19" s="774" t="s">
        <v>17</v>
      </c>
      <c r="W19" s="775">
        <f>J19</f>
        <v>100</v>
      </c>
      <c r="X19" s="1810"/>
      <c r="Y19" s="3132"/>
      <c r="Z19" s="1811" t="str">
        <f>Q19</f>
        <v>公共配套设施</v>
      </c>
      <c r="AA19" s="1808">
        <f t="shared" si="3"/>
        <v>1</v>
      </c>
      <c r="AB19" s="1808">
        <f t="shared" si="4"/>
        <v>1</v>
      </c>
      <c r="AC19" s="1808">
        <f t="shared" si="5"/>
        <v>1</v>
      </c>
    </row>
    <row r="20" spans="1:29" ht="15">
      <c r="A20" s="428"/>
      <c r="B20" s="456"/>
      <c r="C20" s="447"/>
      <c r="D20" s="448"/>
      <c r="E20" s="2603"/>
      <c r="F20" s="449"/>
      <c r="G20" s="2602"/>
      <c r="H20" s="448"/>
      <c r="I20" s="2603"/>
      <c r="J20" s="448"/>
      <c r="K20" s="615"/>
      <c r="L20" s="1138"/>
      <c r="M20" s="1129"/>
      <c r="N20" s="1129"/>
      <c r="O20" s="1137"/>
      <c r="P20" s="3132"/>
      <c r="Q20" s="1807"/>
      <c r="R20" s="774"/>
      <c r="S20" s="775"/>
      <c r="T20" s="774"/>
      <c r="U20" s="775"/>
      <c r="V20" s="774"/>
      <c r="W20" s="775"/>
      <c r="X20" s="1810"/>
      <c r="Y20" s="3132"/>
      <c r="Z20" s="1811"/>
      <c r="AA20" s="1808">
        <v>1</v>
      </c>
      <c r="AB20" s="1808">
        <v>1</v>
      </c>
      <c r="AC20" s="1808">
        <v>1</v>
      </c>
    </row>
    <row r="21" spans="1:29" ht="28.5">
      <c r="A21" s="428"/>
      <c r="B21" s="1382" t="s">
        <v>2683</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32"/>
      <c r="Q21" s="1807" t="str">
        <f>B21</f>
        <v>基础设施水平</v>
      </c>
      <c r="R21" s="774" t="s">
        <v>17</v>
      </c>
      <c r="S21" s="775">
        <f>F21</f>
        <v>100</v>
      </c>
      <c r="T21" s="774" t="s">
        <v>17</v>
      </c>
      <c r="U21" s="775">
        <f>H21</f>
        <v>100</v>
      </c>
      <c r="V21" s="774" t="s">
        <v>17</v>
      </c>
      <c r="W21" s="775">
        <f>J21</f>
        <v>100</v>
      </c>
      <c r="X21" s="1810"/>
      <c r="Y21" s="3132"/>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9"/>
      <c r="G22" s="447"/>
      <c r="H22" s="448"/>
      <c r="I22" s="447"/>
      <c r="J22" s="448"/>
      <c r="K22" s="1381"/>
      <c r="L22" s="1138"/>
      <c r="M22" s="1129"/>
      <c r="N22" s="1129"/>
      <c r="O22" s="1137"/>
      <c r="P22" s="3132"/>
      <c r="Q22" s="1807"/>
      <c r="R22" s="774"/>
      <c r="S22" s="775"/>
      <c r="T22" s="774"/>
      <c r="U22" s="775"/>
      <c r="V22" s="774"/>
      <c r="W22" s="775"/>
      <c r="X22" s="1810"/>
      <c r="Y22" s="3132"/>
      <c r="Z22" s="1811"/>
      <c r="AA22" s="1808">
        <v>1</v>
      </c>
      <c r="AB22" s="1808">
        <v>1</v>
      </c>
      <c r="AC22" s="1808">
        <v>1</v>
      </c>
    </row>
    <row r="23" spans="1:29" ht="71.25">
      <c r="A23" s="428"/>
      <c r="B23" s="451" t="s">
        <v>2684</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32"/>
      <c r="Q23" s="1807" t="str">
        <f>B23</f>
        <v>环境质量</v>
      </c>
      <c r="R23" s="774" t="s">
        <v>17</v>
      </c>
      <c r="S23" s="775">
        <f>F23</f>
        <v>100</v>
      </c>
      <c r="T23" s="774" t="s">
        <v>17</v>
      </c>
      <c r="U23" s="775">
        <f>H23</f>
        <v>100</v>
      </c>
      <c r="V23" s="774" t="s">
        <v>17</v>
      </c>
      <c r="W23" s="775">
        <f>J23</f>
        <v>100</v>
      </c>
      <c r="X23" s="1810"/>
      <c r="Y23" s="3132"/>
      <c r="Z23" s="1811" t="str">
        <f>Q23</f>
        <v>环境质量</v>
      </c>
      <c r="AA23" s="1808">
        <f t="shared" si="3"/>
        <v>1</v>
      </c>
      <c r="AB23" s="1808">
        <f t="shared" si="4"/>
        <v>1</v>
      </c>
      <c r="AC23" s="1808">
        <f t="shared" si="5"/>
        <v>1</v>
      </c>
    </row>
    <row r="24" spans="1:29" ht="15">
      <c r="A24" s="428"/>
      <c r="B24" s="1382"/>
      <c r="C24" s="447"/>
      <c r="D24" s="448"/>
      <c r="E24" s="2603"/>
      <c r="F24" s="449"/>
      <c r="G24" s="2602"/>
      <c r="H24" s="448"/>
      <c r="I24" s="2603"/>
      <c r="J24" s="448"/>
      <c r="K24" s="615"/>
      <c r="L24" s="1138"/>
      <c r="M24" s="1129"/>
      <c r="N24" s="1129"/>
      <c r="O24" s="1137"/>
      <c r="P24" s="3132"/>
      <c r="Q24" s="1807"/>
      <c r="R24" s="774"/>
      <c r="S24" s="775"/>
      <c r="T24" s="774"/>
      <c r="U24" s="775"/>
      <c r="V24" s="774"/>
      <c r="W24" s="775"/>
      <c r="X24" s="1810"/>
      <c r="Y24" s="3132"/>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32"/>
      <c r="Q25" s="1807">
        <f>B25</f>
        <v>111</v>
      </c>
      <c r="R25" s="774" t="s">
        <v>17</v>
      </c>
      <c r="S25" s="775">
        <f>F25</f>
        <v>100</v>
      </c>
      <c r="T25" s="774" t="s">
        <v>17</v>
      </c>
      <c r="U25" s="775">
        <f>H25</f>
        <v>100</v>
      </c>
      <c r="V25" s="774" t="s">
        <v>17</v>
      </c>
      <c r="W25" s="775">
        <f>J25</f>
        <v>100</v>
      </c>
      <c r="X25" s="1810"/>
      <c r="Y25" s="3132"/>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32"/>
      <c r="Q26" s="1807">
        <f t="shared" ref="Q26:Q40" si="11">B26</f>
        <v>111</v>
      </c>
      <c r="R26" s="774" t="s">
        <v>17</v>
      </c>
      <c r="S26" s="775">
        <f>F26</f>
        <v>100</v>
      </c>
      <c r="T26" s="774" t="s">
        <v>17</v>
      </c>
      <c r="U26" s="775">
        <f>H26</f>
        <v>100</v>
      </c>
      <c r="V26" s="774" t="s">
        <v>17</v>
      </c>
      <c r="W26" s="775">
        <f>J26</f>
        <v>100</v>
      </c>
      <c r="X26" s="1810"/>
      <c r="Y26" s="3132"/>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32"/>
      <c r="Q27" s="1792">
        <f t="shared" si="11"/>
        <v>111</v>
      </c>
      <c r="R27" s="770" t="s">
        <v>17</v>
      </c>
      <c r="S27" s="771">
        <f>F27</f>
        <v>100</v>
      </c>
      <c r="T27" s="770" t="s">
        <v>17</v>
      </c>
      <c r="U27" s="771">
        <f>H27</f>
        <v>100</v>
      </c>
      <c r="V27" s="770" t="s">
        <v>17</v>
      </c>
      <c r="W27" s="771">
        <f>J27</f>
        <v>100</v>
      </c>
      <c r="X27" s="772"/>
      <c r="Y27" s="3132"/>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32"/>
      <c r="Q28" s="1807">
        <f t="shared" si="11"/>
        <v>111</v>
      </c>
      <c r="R28" s="774" t="s">
        <v>17</v>
      </c>
      <c r="S28" s="775">
        <f t="shared" ref="S28:S40" si="12">F28</f>
        <v>100</v>
      </c>
      <c r="T28" s="774" t="s">
        <v>17</v>
      </c>
      <c r="U28" s="775">
        <f t="shared" ref="U28:U40" si="13">H28</f>
        <v>100</v>
      </c>
      <c r="V28" s="774" t="s">
        <v>17</v>
      </c>
      <c r="W28" s="775">
        <f t="shared" ref="W28:W40" si="14">J28</f>
        <v>100</v>
      </c>
      <c r="X28" s="1810"/>
      <c r="Y28" s="3132"/>
      <c r="Z28" s="1811">
        <f t="shared" ref="Z28:Z40" si="15">Q28</f>
        <v>111</v>
      </c>
      <c r="AA28" s="1808">
        <f t="shared" si="3"/>
        <v>1</v>
      </c>
      <c r="AB28" s="1808">
        <f t="shared" si="4"/>
        <v>1</v>
      </c>
      <c r="AC28" s="1808">
        <f t="shared" si="5"/>
        <v>1</v>
      </c>
    </row>
    <row r="29" spans="1:29" ht="28.5">
      <c r="A29" s="466" t="s">
        <v>2557</v>
      </c>
      <c r="B29" s="71" t="s">
        <v>2687</v>
      </c>
      <c r="C29" s="2677"/>
      <c r="D29" s="467">
        <v>100</v>
      </c>
      <c r="E29" s="2677"/>
      <c r="F29" s="461">
        <f>SUMIF(88:88,E29,89:89)-SUMIF(88:88,C29,89:89)+100</f>
        <v>100</v>
      </c>
      <c r="G29" s="2677"/>
      <c r="H29" s="435">
        <f>SUMIF(88:88,G29,89:89)-SUMIF(88:88,C29,89:89)+100</f>
        <v>100</v>
      </c>
      <c r="I29" s="2677"/>
      <c r="J29" s="467">
        <f>SUMIF(88:88,I29,89:89)-SUMIF(88:88,C29,89:89)+100</f>
        <v>100</v>
      </c>
      <c r="K29" s="612"/>
      <c r="L29" s="1138"/>
      <c r="M29" s="1129"/>
      <c r="N29" s="1129"/>
      <c r="O29" s="1137"/>
      <c r="P29" s="3288" t="s">
        <v>2559</v>
      </c>
      <c r="Q29" s="1807" t="str">
        <f t="shared" si="11"/>
        <v>建筑类型</v>
      </c>
      <c r="R29" s="774" t="s">
        <v>17</v>
      </c>
      <c r="S29" s="775">
        <f t="shared" si="12"/>
        <v>100</v>
      </c>
      <c r="T29" s="774" t="s">
        <v>17</v>
      </c>
      <c r="U29" s="775">
        <f t="shared" si="13"/>
        <v>100</v>
      </c>
      <c r="V29" s="774" t="s">
        <v>17</v>
      </c>
      <c r="W29" s="775">
        <f t="shared" si="14"/>
        <v>100</v>
      </c>
      <c r="X29" s="1810"/>
      <c r="Y29" s="3136" t="s">
        <v>2559</v>
      </c>
      <c r="Z29" s="1811" t="str">
        <f t="shared" si="15"/>
        <v>建筑类型</v>
      </c>
      <c r="AA29" s="1808">
        <f t="shared" si="3"/>
        <v>1</v>
      </c>
      <c r="AB29" s="1808">
        <f t="shared" si="4"/>
        <v>1</v>
      </c>
      <c r="AC29" s="1808">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36"/>
      <c r="Q30" s="776" t="str">
        <f t="shared" si="11"/>
        <v>项目建筑规模</v>
      </c>
      <c r="R30" s="777" t="s">
        <v>17</v>
      </c>
      <c r="S30" s="778" t="e">
        <f t="shared" si="12"/>
        <v>#N/A</v>
      </c>
      <c r="T30" s="777" t="s">
        <v>17</v>
      </c>
      <c r="U30" s="778" t="e">
        <f t="shared" si="13"/>
        <v>#N/A</v>
      </c>
      <c r="V30" s="777" t="s">
        <v>17</v>
      </c>
      <c r="W30" s="778" t="e">
        <f t="shared" si="14"/>
        <v>#N/A</v>
      </c>
      <c r="X30" s="779"/>
      <c r="Y30" s="3136"/>
      <c r="Z30" s="780" t="str">
        <f t="shared" si="15"/>
        <v>项目建筑规模</v>
      </c>
      <c r="AA30" s="1808" t="e">
        <f t="shared" si="3"/>
        <v>#N/A</v>
      </c>
      <c r="AB30" s="1808" t="e">
        <f t="shared" si="4"/>
        <v>#N/A</v>
      </c>
      <c r="AC30" s="1808"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36"/>
      <c r="Q31" s="1807" t="str">
        <f t="shared" si="11"/>
        <v>建筑结构</v>
      </c>
      <c r="R31" s="774" t="s">
        <v>17</v>
      </c>
      <c r="S31" s="775">
        <f t="shared" si="12"/>
        <v>100</v>
      </c>
      <c r="T31" s="774" t="s">
        <v>17</v>
      </c>
      <c r="U31" s="775">
        <f t="shared" si="13"/>
        <v>100</v>
      </c>
      <c r="V31" s="774" t="s">
        <v>17</v>
      </c>
      <c r="W31" s="775">
        <f t="shared" si="14"/>
        <v>100</v>
      </c>
      <c r="X31" s="1810"/>
      <c r="Y31" s="3136"/>
      <c r="Z31" s="1811" t="str">
        <f t="shared" si="15"/>
        <v>建筑结构</v>
      </c>
      <c r="AA31" s="1808">
        <f t="shared" si="3"/>
        <v>1</v>
      </c>
      <c r="AB31" s="1808">
        <f t="shared" si="4"/>
        <v>1</v>
      </c>
      <c r="AC31" s="1808">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36"/>
      <c r="Q32" s="1807" t="str">
        <f t="shared" si="11"/>
        <v>公共部分装修</v>
      </c>
      <c r="R32" s="774" t="s">
        <v>17</v>
      </c>
      <c r="S32" s="775">
        <f t="shared" si="12"/>
        <v>100</v>
      </c>
      <c r="T32" s="774" t="s">
        <v>17</v>
      </c>
      <c r="U32" s="775">
        <f t="shared" si="13"/>
        <v>100</v>
      </c>
      <c r="V32" s="774" t="s">
        <v>17</v>
      </c>
      <c r="W32" s="775">
        <f t="shared" si="14"/>
        <v>100</v>
      </c>
      <c r="X32" s="1810"/>
      <c r="Y32" s="3136"/>
      <c r="Z32" s="1811" t="str">
        <f t="shared" si="15"/>
        <v>公共部分装修</v>
      </c>
      <c r="AA32" s="1808">
        <f t="shared" si="3"/>
        <v>1</v>
      </c>
      <c r="AB32" s="1808">
        <f t="shared" si="4"/>
        <v>1</v>
      </c>
      <c r="AC32" s="1808">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36"/>
      <c r="Q33" s="1807" t="str">
        <f t="shared" si="11"/>
        <v>成新度</v>
      </c>
      <c r="R33" s="774" t="s">
        <v>17</v>
      </c>
      <c r="S33" s="775" t="e">
        <f t="shared" si="12"/>
        <v>#N/A</v>
      </c>
      <c r="T33" s="774" t="s">
        <v>17</v>
      </c>
      <c r="U33" s="775" t="e">
        <f t="shared" si="13"/>
        <v>#N/A</v>
      </c>
      <c r="V33" s="774" t="s">
        <v>17</v>
      </c>
      <c r="W33" s="775" t="e">
        <f t="shared" si="14"/>
        <v>#N/A</v>
      </c>
      <c r="X33" s="1810"/>
      <c r="Y33" s="3136"/>
      <c r="Z33" s="1811" t="str">
        <f t="shared" si="15"/>
        <v>成新度</v>
      </c>
      <c r="AA33" s="1808" t="e">
        <f t="shared" si="3"/>
        <v>#N/A</v>
      </c>
      <c r="AB33" s="1808" t="e">
        <f t="shared" si="4"/>
        <v>#N/A</v>
      </c>
      <c r="AC33" s="1808"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36"/>
      <c r="Q34" s="1792" t="str">
        <f t="shared" si="11"/>
        <v>物业管理</v>
      </c>
      <c r="R34" s="770" t="s">
        <v>17</v>
      </c>
      <c r="S34" s="771">
        <f t="shared" si="12"/>
        <v>100</v>
      </c>
      <c r="T34" s="770" t="s">
        <v>17</v>
      </c>
      <c r="U34" s="771">
        <f t="shared" si="13"/>
        <v>100</v>
      </c>
      <c r="V34" s="770" t="s">
        <v>17</v>
      </c>
      <c r="W34" s="771">
        <f t="shared" si="14"/>
        <v>100</v>
      </c>
      <c r="X34" s="772"/>
      <c r="Y34" s="3136"/>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36" t="s">
        <v>2559</v>
      </c>
      <c r="Q35" s="1807" t="str">
        <f t="shared" si="11"/>
        <v>市政基础设施</v>
      </c>
      <c r="R35" s="774" t="s">
        <v>17</v>
      </c>
      <c r="S35" s="775">
        <f t="shared" si="12"/>
        <v>100</v>
      </c>
      <c r="T35" s="774" t="s">
        <v>17</v>
      </c>
      <c r="U35" s="775">
        <f t="shared" si="13"/>
        <v>100</v>
      </c>
      <c r="V35" s="774" t="s">
        <v>17</v>
      </c>
      <c r="W35" s="775">
        <f t="shared" si="14"/>
        <v>100</v>
      </c>
      <c r="X35" s="1810"/>
      <c r="Y35" s="3136" t="s">
        <v>2559</v>
      </c>
      <c r="Z35" s="1811" t="str">
        <f t="shared" si="15"/>
        <v>市政基础设施</v>
      </c>
      <c r="AA35" s="1808">
        <f t="shared" si="3"/>
        <v>1</v>
      </c>
      <c r="AB35" s="1808">
        <f t="shared" si="4"/>
        <v>1</v>
      </c>
      <c r="AC35" s="1808">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36"/>
      <c r="Q36" s="1807" t="str">
        <f t="shared" si="11"/>
        <v>内部装修</v>
      </c>
      <c r="R36" s="774" t="s">
        <v>17</v>
      </c>
      <c r="S36" s="775">
        <f t="shared" si="12"/>
        <v>100</v>
      </c>
      <c r="T36" s="774" t="s">
        <v>17</v>
      </c>
      <c r="U36" s="775">
        <f t="shared" si="13"/>
        <v>100</v>
      </c>
      <c r="V36" s="774" t="s">
        <v>17</v>
      </c>
      <c r="W36" s="775">
        <f t="shared" si="14"/>
        <v>100</v>
      </c>
      <c r="X36" s="1810"/>
      <c r="Y36" s="3136"/>
      <c r="Z36" s="1811" t="str">
        <f t="shared" si="15"/>
        <v>内部装修</v>
      </c>
      <c r="AA36" s="1808">
        <f t="shared" si="3"/>
        <v>1</v>
      </c>
      <c r="AB36" s="1808">
        <f t="shared" si="4"/>
        <v>1</v>
      </c>
      <c r="AC36" s="1808">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36"/>
      <c r="Q37" s="1807" t="str">
        <f t="shared" si="11"/>
        <v>内部装修状况</v>
      </c>
      <c r="R37" s="774" t="s">
        <v>17</v>
      </c>
      <c r="S37" s="775">
        <f t="shared" si="12"/>
        <v>100</v>
      </c>
      <c r="T37" s="774" t="s">
        <v>17</v>
      </c>
      <c r="U37" s="775">
        <f t="shared" si="13"/>
        <v>100</v>
      </c>
      <c r="V37" s="774" t="s">
        <v>17</v>
      </c>
      <c r="W37" s="775">
        <f t="shared" si="14"/>
        <v>100</v>
      </c>
      <c r="X37" s="1810"/>
      <c r="Y37" s="3136"/>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36"/>
      <c r="Q38" s="776">
        <f t="shared" si="11"/>
        <v>111</v>
      </c>
      <c r="R38" s="777" t="s">
        <v>17</v>
      </c>
      <c r="S38" s="778">
        <f t="shared" si="12"/>
        <v>100</v>
      </c>
      <c r="T38" s="777" t="s">
        <v>17</v>
      </c>
      <c r="U38" s="778">
        <f t="shared" si="13"/>
        <v>100</v>
      </c>
      <c r="V38" s="777" t="s">
        <v>17</v>
      </c>
      <c r="W38" s="778">
        <f t="shared" si="14"/>
        <v>100</v>
      </c>
      <c r="X38" s="779"/>
      <c r="Y38" s="3136"/>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36"/>
      <c r="Q39" s="1807">
        <f t="shared" si="11"/>
        <v>111</v>
      </c>
      <c r="R39" s="774" t="s">
        <v>17</v>
      </c>
      <c r="S39" s="775">
        <f t="shared" si="12"/>
        <v>100</v>
      </c>
      <c r="T39" s="774" t="s">
        <v>17</v>
      </c>
      <c r="U39" s="775">
        <f t="shared" si="13"/>
        <v>100</v>
      </c>
      <c r="V39" s="774" t="s">
        <v>17</v>
      </c>
      <c r="W39" s="775">
        <f t="shared" si="14"/>
        <v>100</v>
      </c>
      <c r="X39" s="1810"/>
      <c r="Y39" s="3136"/>
      <c r="Z39" s="1811">
        <f t="shared" si="15"/>
        <v>111</v>
      </c>
      <c r="AA39" s="1808">
        <f t="shared" si="3"/>
        <v>1</v>
      </c>
      <c r="AB39" s="1808">
        <f t="shared" si="4"/>
        <v>1</v>
      </c>
      <c r="AC39" s="1808">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37"/>
      <c r="Q40" s="1807">
        <f t="shared" si="11"/>
        <v>111</v>
      </c>
      <c r="R40" s="774" t="s">
        <v>17</v>
      </c>
      <c r="S40" s="775">
        <f t="shared" si="12"/>
        <v>100</v>
      </c>
      <c r="T40" s="774" t="s">
        <v>17</v>
      </c>
      <c r="U40" s="775">
        <f t="shared" si="13"/>
        <v>100</v>
      </c>
      <c r="V40" s="774" t="s">
        <v>17</v>
      </c>
      <c r="W40" s="775">
        <f t="shared" si="14"/>
        <v>100</v>
      </c>
      <c r="X40" s="1810"/>
      <c r="Y40" s="3137"/>
      <c r="Z40" s="1811">
        <f t="shared" si="15"/>
        <v>111</v>
      </c>
      <c r="AA40" s="1808">
        <f t="shared" si="3"/>
        <v>1</v>
      </c>
      <c r="AB40" s="1808">
        <f t="shared" si="4"/>
        <v>1</v>
      </c>
      <c r="AC40" s="1808">
        <f t="shared" si="5"/>
        <v>1</v>
      </c>
    </row>
    <row r="41" spans="1:29" ht="15">
      <c r="A41" s="479" t="s">
        <v>2571</v>
      </c>
      <c r="B41" s="480"/>
      <c r="C41" s="1405" t="s">
        <v>1</v>
      </c>
      <c r="D41" s="1406"/>
      <c r="E41" s="1407"/>
      <c r="F41" s="1408"/>
      <c r="G41" s="1409"/>
      <c r="H41" s="1410"/>
      <c r="I41" s="1407"/>
      <c r="J41" s="1410"/>
      <c r="K41" s="783"/>
      <c r="L41" s="1141"/>
      <c r="M41" s="1142"/>
      <c r="N41" s="1129"/>
      <c r="O41" s="1142"/>
      <c r="P41" s="3129" t="str">
        <f>A41</f>
        <v>成交单价（元/平方米）</v>
      </c>
      <c r="Q41" s="3129"/>
      <c r="R41" s="3130">
        <f>E41</f>
        <v>0</v>
      </c>
      <c r="S41" s="3130"/>
      <c r="T41" s="3130">
        <f>G41</f>
        <v>0</v>
      </c>
      <c r="U41" s="3130"/>
      <c r="V41" s="3130">
        <f>I41</f>
        <v>0</v>
      </c>
      <c r="W41" s="3130"/>
      <c r="X41" s="759"/>
      <c r="Y41" s="781"/>
      <c r="Z41" s="759"/>
      <c r="AA41" s="759"/>
      <c r="AB41" s="759"/>
      <c r="AC41" s="759"/>
    </row>
    <row r="42" spans="1:29" ht="15.75" thickBot="1">
      <c r="A42" s="486" t="s">
        <v>2663</v>
      </c>
      <c r="B42" s="487"/>
      <c r="C42" s="1411" t="e">
        <f>R43</f>
        <v>#DIV/0!</v>
      </c>
      <c r="D42" s="1412"/>
      <c r="E42" s="1413" t="e">
        <f>R42</f>
        <v>#DIV/0!</v>
      </c>
      <c r="F42" s="1413"/>
      <c r="G42" s="1411" t="e">
        <f>T42</f>
        <v>#DIV/0!</v>
      </c>
      <c r="H42" s="1412"/>
      <c r="I42" s="1413" t="e">
        <f>V42</f>
        <v>#DIV/0!</v>
      </c>
      <c r="J42" s="1412"/>
      <c r="K42" s="784"/>
      <c r="L42" s="1141"/>
      <c r="M42" s="1142"/>
      <c r="N42" s="1129"/>
      <c r="O42" s="1142"/>
      <c r="P42" s="3129" t="str">
        <f>A42</f>
        <v>比较价值（元/平方米）</v>
      </c>
      <c r="Q42" s="3129"/>
      <c r="R42" s="3130" t="e">
        <f>IF(F1="售价",ROUND(PRODUCT(R41,AA7:AA40),0),ROUND(PRODUCT(R41,AA7:AA40),1))</f>
        <v>#DIV/0!</v>
      </c>
      <c r="S42" s="3130"/>
      <c r="T42" s="3130" t="e">
        <f>IF(F1="售价",ROUND(PRODUCT(T41,AB7:AB40),0),ROUND(PRODUCT(T41,AB7:AB40),1))</f>
        <v>#DIV/0!</v>
      </c>
      <c r="U42" s="3130"/>
      <c r="V42" s="3130" t="e">
        <f>IF(F1="售价",ROUND(PRODUCT(V41,AC7:AC40),0),ROUND(PRODUCT(V41,AC7:AC40),1))</f>
        <v>#DIV/0!</v>
      </c>
      <c r="W42" s="3130"/>
      <c r="X42" s="759"/>
      <c r="Y42" s="759"/>
      <c r="Z42" s="759"/>
      <c r="AA42" s="759"/>
      <c r="AB42" s="759"/>
      <c r="AC42" s="759"/>
    </row>
    <row r="43" spans="1:29" ht="15.75" thickBot="1">
      <c r="A43" s="492" t="s">
        <v>2664</v>
      </c>
      <c r="B43" s="493"/>
      <c r="C43" s="1415" t="e">
        <f>R43</f>
        <v>#DIV/0!</v>
      </c>
      <c r="D43" s="1415"/>
      <c r="E43" s="1415"/>
      <c r="F43" s="1415"/>
      <c r="G43" s="1415"/>
      <c r="H43" s="1415"/>
      <c r="I43" s="1415"/>
      <c r="J43" s="1415"/>
      <c r="K43" s="785"/>
      <c r="L43" s="1141"/>
      <c r="M43" s="1142"/>
      <c r="N43" s="1142"/>
      <c r="O43" s="1142"/>
      <c r="P43" s="3126" t="str">
        <f>A43</f>
        <v>估价对象XX用房的比较价值（楼面单价，元/平方米）</v>
      </c>
      <c r="Q43" s="3127"/>
      <c r="R43" s="3128" t="e">
        <f>IF(F1="售价",ROUND(AVERAGE(R42:V42),0),ROUND(AVERAGE(R42:V42),1))</f>
        <v>#DIV/0!</v>
      </c>
      <c r="S43" s="3128"/>
      <c r="T43" s="3128"/>
      <c r="U43" s="3128"/>
      <c r="V43" s="3128"/>
      <c r="W43" s="3128"/>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2668</v>
      </c>
      <c r="B51" s="759"/>
      <c r="C51" s="764"/>
      <c r="D51" s="764"/>
      <c r="E51" s="764"/>
      <c r="F51" s="765"/>
      <c r="G51" s="765"/>
      <c r="H51" s="764"/>
      <c r="I51" s="764"/>
      <c r="J51" s="764"/>
      <c r="K51" s="1158"/>
      <c r="L51" s="1159"/>
      <c r="M51" s="1157"/>
      <c r="N51" s="1157"/>
      <c r="O51" s="1157"/>
      <c r="P51" s="503"/>
      <c r="Q51" s="504"/>
    </row>
    <row r="52" spans="1:17" s="508" customFormat="1" ht="15">
      <c r="A52" s="505" t="s">
        <v>2542</v>
      </c>
      <c r="B52" s="506"/>
      <c r="C52" s="1572" t="str">
        <f>YEAR(C7)&amp;"-"&amp;MONTH(C7)</f>
        <v>2019-1</v>
      </c>
      <c r="D52" s="1573">
        <f>EDATE(C52,-1)</f>
        <v>43435</v>
      </c>
      <c r="E52" s="1573">
        <f t="shared" ref="E52:O52" si="16">EDATE(D52,-1)</f>
        <v>43405</v>
      </c>
      <c r="F52" s="1573">
        <f t="shared" si="16"/>
        <v>43374</v>
      </c>
      <c r="G52" s="1573">
        <f t="shared" si="16"/>
        <v>43344</v>
      </c>
      <c r="H52" s="1573">
        <f t="shared" si="16"/>
        <v>43313</v>
      </c>
      <c r="I52" s="1573">
        <f t="shared" si="16"/>
        <v>43282</v>
      </c>
      <c r="J52" s="1573">
        <f t="shared" si="16"/>
        <v>43252</v>
      </c>
      <c r="K52" s="1573">
        <f t="shared" si="16"/>
        <v>43221</v>
      </c>
      <c r="L52" s="1573">
        <f t="shared" si="16"/>
        <v>43191</v>
      </c>
      <c r="M52" s="1573">
        <f t="shared" si="16"/>
        <v>43160</v>
      </c>
      <c r="N52" s="1573">
        <f t="shared" si="16"/>
        <v>43132</v>
      </c>
      <c r="O52" s="1573">
        <f t="shared" si="16"/>
        <v>43101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2582</v>
      </c>
      <c r="B57" s="528" t="s">
        <v>2548</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4"/>
      <c r="B87" s="569"/>
      <c r="C87" s="570"/>
      <c r="D87" s="570"/>
      <c r="E87" s="570"/>
      <c r="F87" s="570"/>
      <c r="G87" s="591"/>
      <c r="H87" s="591"/>
      <c r="I87" s="591"/>
      <c r="J87" s="591"/>
      <c r="K87" s="591"/>
      <c r="L87" s="591"/>
      <c r="M87" s="592"/>
      <c r="N87" s="1151"/>
      <c r="O87" s="1151"/>
      <c r="P87" s="45"/>
      <c r="Q87" s="504"/>
    </row>
    <row r="88" spans="1:17">
      <c r="A88" s="527" t="s">
        <v>2557</v>
      </c>
      <c r="B88" s="528" t="s">
        <v>2606</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2608</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2610</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2611</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2612</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2614</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4"/>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37" sqref="D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4671</v>
      </c>
      <c r="D1" s="1817" t="s">
        <v>70</v>
      </c>
      <c r="E1" s="1818" t="s">
        <v>1383</v>
      </c>
      <c r="F1" s="1281">
        <f ca="1">J53</f>
        <v>46.53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108</v>
      </c>
      <c r="C2" s="1842" t="s">
        <v>1512</v>
      </c>
      <c r="D2" s="1842"/>
      <c r="E2" s="1843"/>
      <c r="F2" s="1844"/>
      <c r="G2" s="1845"/>
      <c r="H2" s="1837"/>
      <c r="I2" s="1837"/>
      <c r="J2" s="1837"/>
      <c r="K2" s="1838"/>
      <c r="L2" s="1837"/>
      <c r="M2" s="1837"/>
    </row>
    <row r="3" spans="1:37" ht="18" customHeight="1" thickBot="1">
      <c r="A3" s="1846" t="s">
        <v>1513</v>
      </c>
      <c r="B3" s="1847">
        <f ca="1">IF(ISERROR(B2*10000/F43),0,ROUND(B2*10000/F43,0))</f>
        <v>22519</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5</v>
      </c>
      <c r="D5" s="1819" t="s">
        <v>1398</v>
      </c>
      <c r="E5" s="1291"/>
      <c r="F5" s="1292"/>
      <c r="G5" s="1848"/>
      <c r="H5" s="344">
        <v>1</v>
      </c>
      <c r="I5" s="345" t="s">
        <v>1397</v>
      </c>
      <c r="J5" s="1290">
        <f ca="1">J6+J10+J12</f>
        <v>0</v>
      </c>
      <c r="K5" s="1819" t="s">
        <v>1398</v>
      </c>
      <c r="L5" s="1291"/>
      <c r="M5" s="1292"/>
    </row>
    <row r="6" spans="1:37" ht="18" customHeight="1">
      <c r="A6" s="1289" t="s">
        <v>1032</v>
      </c>
      <c r="B6" s="3099" t="s">
        <v>1399</v>
      </c>
      <c r="C6" s="1294">
        <f ca="1">ROUND(F6*F8*F7*(1-F9)/10000,0)</f>
        <v>5</v>
      </c>
      <c r="D6" s="164" t="s">
        <v>3022</v>
      </c>
      <c r="E6" s="347" t="s">
        <v>1401</v>
      </c>
      <c r="F6" s="348">
        <f ca="1">INDIRECT("'数据-取费表'!u"&amp;$G$1)</f>
        <v>3</v>
      </c>
      <c r="G6" s="1848"/>
      <c r="H6" s="1289" t="s">
        <v>1032</v>
      </c>
      <c r="I6" s="3099" t="s">
        <v>1399</v>
      </c>
      <c r="J6" s="346">
        <f ca="1">ROUND(M6*M8*M7*(1-M9)/10000,0)</f>
        <v>0</v>
      </c>
      <c r="K6" s="164" t="s">
        <v>3021</v>
      </c>
      <c r="L6" s="347" t="s">
        <v>1401</v>
      </c>
      <c r="M6" s="348">
        <f ca="1">INDIRECT("'数据-取费表'!z"&amp;$G$1)</f>
        <v>0</v>
      </c>
    </row>
    <row r="7" spans="1:37" ht="18" customHeight="1">
      <c r="A7" s="1293"/>
      <c r="B7" s="3100"/>
      <c r="C7" s="1295"/>
      <c r="D7" s="352"/>
      <c r="E7" s="2950" t="s">
        <v>1402</v>
      </c>
      <c r="F7" s="348">
        <f ca="1">IF(INDIRECT("'数据-取费表'!ah"&amp;$G$1)="",INDIRECT("'数据-取费表'!k"&amp;$G$1),INDIRECT("'数据-取费表'!ah"&amp;$G$1))</f>
        <v>47.96</v>
      </c>
      <c r="G7" s="1848"/>
      <c r="H7" s="349"/>
      <c r="I7" s="3100"/>
      <c r="J7" s="351"/>
      <c r="K7" s="352"/>
      <c r="L7" s="347" t="s">
        <v>1402</v>
      </c>
      <c r="M7" s="348">
        <f ca="1">F7</f>
        <v>47.96</v>
      </c>
    </row>
    <row r="8" spans="1:37" ht="18" customHeight="1">
      <c r="A8" s="349"/>
      <c r="B8" s="3100"/>
      <c r="C8" s="351"/>
      <c r="D8" s="352"/>
      <c r="E8" s="347" t="s">
        <v>1403</v>
      </c>
      <c r="F8" s="348">
        <f ca="1">INDIRECT("'数据-取费表'!ai"&amp;$G$1)</f>
        <v>365</v>
      </c>
      <c r="G8" s="1848"/>
      <c r="H8" s="349"/>
      <c r="I8" s="3100"/>
      <c r="J8" s="351"/>
      <c r="K8" s="352"/>
      <c r="L8" s="347" t="s">
        <v>1403</v>
      </c>
      <c r="M8" s="348">
        <f ca="1">INDIRECT("'数据-取费表'!ai"&amp;$G$1)</f>
        <v>365</v>
      </c>
    </row>
    <row r="9" spans="1:37" ht="18" customHeight="1">
      <c r="A9" s="349"/>
      <c r="B9" s="3101"/>
      <c r="C9" s="351"/>
      <c r="D9" s="352"/>
      <c r="E9" s="347" t="s">
        <v>1404</v>
      </c>
      <c r="F9" s="357">
        <f ca="1">INDIRECT("'数据-取费表'!w"&amp;$G$1)</f>
        <v>0.1</v>
      </c>
      <c r="G9" s="1848"/>
      <c r="H9" s="349"/>
      <c r="I9" s="3101"/>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3030</v>
      </c>
      <c r="E10" s="358" t="s">
        <v>1406</v>
      </c>
      <c r="F10" s="1364" t="s">
        <v>4662</v>
      </c>
      <c r="G10" s="1848"/>
      <c r="H10" s="1289" t="s">
        <v>1036</v>
      </c>
      <c r="I10" s="1820" t="s">
        <v>1405</v>
      </c>
      <c r="J10" s="346">
        <f ca="1">ROUND(IF(M10="押一",J6/12*M11,IF(M10="押二",J6/12*2*M11,IF(M10="押三",J6/12*3*M11,J11*M11))),0)</f>
        <v>0</v>
      </c>
      <c r="K10" s="1821" t="s">
        <v>3030</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19</v>
      </c>
      <c r="D13" s="1329" t="s">
        <v>1411</v>
      </c>
      <c r="E13" s="1329" t="s">
        <v>1412</v>
      </c>
      <c r="F13" s="1330">
        <f ca="1">INDIRECT("'数据-取费表'!y"&amp;$G$1)</f>
        <v>1</v>
      </c>
      <c r="G13" s="1848"/>
      <c r="H13" s="1327">
        <v>2</v>
      </c>
      <c r="I13" s="1328" t="s">
        <v>1410</v>
      </c>
      <c r="J13" s="1288">
        <f ca="1">ROUND(J14*J15,0)</f>
        <v>0</v>
      </c>
      <c r="K13" s="1335" t="s">
        <v>1411</v>
      </c>
      <c r="L13" s="1849"/>
      <c r="M13" s="1850"/>
    </row>
    <row r="14" spans="1:37" ht="18" customHeight="1">
      <c r="A14" s="1199" t="s">
        <v>1031</v>
      </c>
      <c r="B14" s="347" t="s">
        <v>1413</v>
      </c>
      <c r="C14" s="363">
        <f ca="1">INDIRECT("'数据-取费表'!m"&amp;$G$1)+INDIRECT("'数据-取费表'!t"&amp;$G$1)</f>
        <v>14</v>
      </c>
      <c r="D14" s="2959" t="s">
        <v>1414</v>
      </c>
      <c r="E14" s="2958"/>
      <c r="F14" s="364"/>
      <c r="G14" s="1848"/>
      <c r="H14" s="1199" t="s">
        <v>1032</v>
      </c>
      <c r="I14" s="347" t="s">
        <v>1415</v>
      </c>
      <c r="J14" s="24">
        <f ca="1">C29</f>
        <v>19</v>
      </c>
      <c r="K14" s="2949"/>
      <c r="L14" s="977"/>
      <c r="M14" s="978"/>
    </row>
    <row r="15" spans="1:37" s="1855" customFormat="1" ht="18" customHeight="1" thickBot="1">
      <c r="A15" s="1199" t="s">
        <v>1033</v>
      </c>
      <c r="B15" s="347" t="s">
        <v>1416</v>
      </c>
      <c r="C15" s="24">
        <f ca="1">ROUND(C14*F15,0)</f>
        <v>0</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7" t="s">
        <v>1027</v>
      </c>
      <c r="I16" s="1328" t="s">
        <v>1420</v>
      </c>
      <c r="J16" s="355">
        <f ca="1">ROUND(J17+J22+J23+J24,0)</f>
        <v>1</v>
      </c>
      <c r="K16" s="1335" t="s">
        <v>1421</v>
      </c>
      <c r="L16" s="2962"/>
      <c r="M16" s="1292"/>
    </row>
    <row r="17" spans="1:37" s="1855" customFormat="1" ht="18" customHeight="1">
      <c r="A17" s="1199" t="s">
        <v>1386</v>
      </c>
      <c r="B17" s="347" t="s">
        <v>1422</v>
      </c>
      <c r="C17" s="24">
        <f ca="1">ROUND(F17*(F43+INDIRECT("'数据-取费表'!S"&amp;$G$1))/10000,0)</f>
        <v>1</v>
      </c>
      <c r="D17" s="347" t="s">
        <v>1423</v>
      </c>
      <c r="E17" s="347" t="s">
        <v>1424</v>
      </c>
      <c r="F17" s="26">
        <f>'数据-取费表'!B35</f>
        <v>200</v>
      </c>
      <c r="G17" s="1851"/>
      <c r="H17" s="1199" t="s">
        <v>1032</v>
      </c>
      <c r="I17" s="347" t="s">
        <v>1425</v>
      </c>
      <c r="J17" s="24">
        <f ca="1">ROUND(IF(项目基本情况!B11="自然人",J5*M17,J18+J19+J20),1)</f>
        <v>0.2</v>
      </c>
      <c r="K17" s="2959" t="s">
        <v>1426</v>
      </c>
      <c r="L17" s="2961"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ROUND(J5*M18/(1+'数据-取费表'!C42),2)</f>
        <v>0</v>
      </c>
      <c r="K18" s="2961"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15</v>
      </c>
      <c r="D19" s="140" t="s">
        <v>1432</v>
      </c>
      <c r="E19" s="2947"/>
      <c r="F19" s="26"/>
      <c r="G19" s="1848"/>
      <c r="H19" s="1199" t="s">
        <v>1033</v>
      </c>
      <c r="I19" s="347" t="s">
        <v>1433</v>
      </c>
      <c r="J19" s="24">
        <f ca="1">IF(K19="按租金收入计税",ROUND(J5*M19,2),ROUND(C29*M19*0.7,2))</f>
        <v>0.16</v>
      </c>
      <c r="K19" s="1825" t="s">
        <v>1434</v>
      </c>
      <c r="L19" s="347" t="s">
        <v>1418</v>
      </c>
      <c r="M19" s="367">
        <f>IF(K19="按租金收入计税",'数据-取费表'!B51,'数据-取费表'!B50)</f>
        <v>1.2E-2</v>
      </c>
    </row>
    <row r="20" spans="1:37" s="1855" customFormat="1" ht="18" customHeight="1">
      <c r="A20" s="1199" t="s">
        <v>1036</v>
      </c>
      <c r="B20" s="347" t="s">
        <v>1435</v>
      </c>
      <c r="C20" s="24">
        <f ca="1">ROUND(C19*F20,0)</f>
        <v>0</v>
      </c>
      <c r="D20" s="369" t="s">
        <v>1436</v>
      </c>
      <c r="E20" s="347" t="s">
        <v>1418</v>
      </c>
      <c r="F20" s="367">
        <f>'数据-取费表'!B37</f>
        <v>0.02</v>
      </c>
      <c r="G20" s="1851"/>
      <c r="H20" s="1199" t="s">
        <v>1385</v>
      </c>
      <c r="I20" s="164" t="s">
        <v>1437</v>
      </c>
      <c r="J20" s="25">
        <f ca="1">ROUND(M20*M21/10000,2)</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47"/>
      <c r="F22" s="26"/>
      <c r="G22" s="1848"/>
      <c r="H22" s="1199" t="s">
        <v>1036</v>
      </c>
      <c r="I22" s="347" t="s">
        <v>1445</v>
      </c>
      <c r="J22" s="24">
        <f ca="1">ROUND(J14*M22,1)</f>
        <v>0.3</v>
      </c>
      <c r="K22" s="2961" t="s">
        <v>1446</v>
      </c>
      <c r="L22" s="347" t="s">
        <v>1418</v>
      </c>
      <c r="M22" s="374">
        <f ca="1">INDIRECT("'数据-取费表'!Ak"&amp;$G$1)</f>
        <v>1.4999999999999999E-2</v>
      </c>
    </row>
    <row r="23" spans="1:37" s="1855" customFormat="1" ht="18" customHeight="1">
      <c r="A23" s="1199" t="s">
        <v>1031</v>
      </c>
      <c r="B23" s="347" t="s">
        <v>1447</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ROUND(J13*M23,1)</f>
        <v>0</v>
      </c>
      <c r="K23" s="2961"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1388</v>
      </c>
      <c r="I24" s="1338" t="s">
        <v>1435</v>
      </c>
      <c r="J24" s="1339">
        <f ca="1">ROUND(J5*M24,1)</f>
        <v>0</v>
      </c>
      <c r="K24" s="1340" t="s">
        <v>1455</v>
      </c>
      <c r="L24" s="1338" t="s">
        <v>1418</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2947"/>
      <c r="F25" s="26"/>
      <c r="G25" s="1848"/>
      <c r="H25" s="1327" t="s">
        <v>1028</v>
      </c>
      <c r="I25" s="1342" t="s">
        <v>1459</v>
      </c>
      <c r="J25" s="355">
        <f ca="1">J5-J16</f>
        <v>-1</v>
      </c>
      <c r="K25" s="1343" t="s">
        <v>1460</v>
      </c>
      <c r="L25" s="1344"/>
      <c r="M25" s="1345"/>
    </row>
    <row r="26" spans="1:37">
      <c r="A26" s="1199" t="s">
        <v>1031</v>
      </c>
      <c r="B26" s="347" t="s">
        <v>1461</v>
      </c>
      <c r="C26" s="24">
        <f ca="1">ROUND((C19+C20)*F26,0)</f>
        <v>2</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3.0000000000000001E-3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19</v>
      </c>
      <c r="D29" s="1340"/>
      <c r="E29" s="1338"/>
      <c r="F29" s="1341"/>
      <c r="G29" s="1851"/>
      <c r="H29" s="380" t="s">
        <v>1030</v>
      </c>
      <c r="I29" s="381" t="s">
        <v>1475</v>
      </c>
      <c r="J29" s="382">
        <f ca="1">ROUND(J26/(1+F40)^F41,0)</f>
        <v>0</v>
      </c>
      <c r="K29" s="383" t="s">
        <v>1476</v>
      </c>
      <c r="L29" s="384"/>
      <c r="M29" s="385">
        <f ca="1">INDIRECT("'数据-取费表'!k"&amp;$G$1)</f>
        <v>47.96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1</v>
      </c>
      <c r="D30" s="1335" t="s">
        <v>1421</v>
      </c>
      <c r="E30" s="2962"/>
      <c r="F30" s="1292"/>
      <c r="G30" s="1848"/>
      <c r="H30" s="745"/>
      <c r="I30" s="746"/>
      <c r="J30" s="747"/>
      <c r="K30" s="748"/>
      <c r="L30" s="749"/>
      <c r="M30" s="750"/>
    </row>
    <row r="31" spans="1:37" ht="18" customHeight="1">
      <c r="A31" s="1199" t="s">
        <v>1032</v>
      </c>
      <c r="B31" s="347" t="s">
        <v>1425</v>
      </c>
      <c r="C31" s="24">
        <f ca="1">ROUND(IF(项目基本情况!B11="自然人",C5*F31,C32+C33+C34),1)</f>
        <v>0.9</v>
      </c>
      <c r="D31" s="2959" t="s">
        <v>1426</v>
      </c>
      <c r="E31" s="2961"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IF(项目基本情况!B11="自然人","——",ROUND(C5*F32/(1+'数据-取费表'!C42),2))</f>
        <v>0.26</v>
      </c>
      <c r="D32" s="2961"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0.6</v>
      </c>
      <c r="D33" s="1825" t="s">
        <v>4604</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ROUND(C29*F36,1)</f>
        <v>0.3</v>
      </c>
      <c r="D36" s="2961" t="s">
        <v>1478</v>
      </c>
      <c r="E36" s="347" t="s">
        <v>1418</v>
      </c>
      <c r="F36" s="374">
        <f ca="1">INDIRECT("'数据-取费表'!Ak"&amp;$G$1)</f>
        <v>1.4999999999999999E-2</v>
      </c>
      <c r="G36" s="1848"/>
      <c r="H36" s="1856"/>
      <c r="I36" s="1857"/>
      <c r="J36" s="1858"/>
      <c r="K36" s="751"/>
      <c r="L36" s="1856"/>
      <c r="M36" s="1856"/>
    </row>
    <row r="37" spans="1:18" ht="18" customHeight="1">
      <c r="A37" s="1199" t="s">
        <v>1072</v>
      </c>
      <c r="B37" s="347" t="s">
        <v>1449</v>
      </c>
      <c r="C37" s="24">
        <f ca="1">ROUND(C13*F37,1)</f>
        <v>0</v>
      </c>
      <c r="D37" s="2961" t="s">
        <v>1450</v>
      </c>
      <c r="E37" s="347" t="s">
        <v>1418</v>
      </c>
      <c r="F37" s="376">
        <f ca="1">INDIRECT("'数据-取费表'!Al"&amp;$G$1)</f>
        <v>1.5E-3</v>
      </c>
      <c r="G37" s="1848"/>
      <c r="H37" s="1856"/>
      <c r="I37" s="1857"/>
      <c r="J37" s="1858"/>
      <c r="K37" s="751"/>
      <c r="L37" s="1856"/>
      <c r="M37" s="1856"/>
    </row>
    <row r="38" spans="1:18" ht="18" customHeight="1" thickBot="1">
      <c r="A38" s="1337" t="s">
        <v>1388</v>
      </c>
      <c r="B38" s="1338" t="s">
        <v>1435</v>
      </c>
      <c r="C38" s="1339">
        <f ca="1">ROUND(C5*F38,1)</f>
        <v>0.1</v>
      </c>
      <c r="D38" s="1340" t="s">
        <v>1455</v>
      </c>
      <c r="E38" s="1338" t="s">
        <v>1418</v>
      </c>
      <c r="F38" s="1334">
        <f ca="1">INDIRECT("'数据-取费表'!Am"&amp;$G$1)</f>
        <v>0.01</v>
      </c>
      <c r="G38" s="1848"/>
      <c r="H38" s="1856"/>
      <c r="I38" s="1857"/>
      <c r="J38" s="1858"/>
      <c r="K38" s="1862"/>
      <c r="L38" s="1856"/>
      <c r="M38" s="1856"/>
    </row>
    <row r="39" spans="1:18" ht="24.6" customHeight="1" thickTop="1">
      <c r="A39" s="1327" t="s">
        <v>1028</v>
      </c>
      <c r="B39" s="1342" t="s">
        <v>1459</v>
      </c>
      <c r="C39" s="355">
        <f ca="1">C5-C30</f>
        <v>4</v>
      </c>
      <c r="D39" s="1343" t="s">
        <v>1460</v>
      </c>
      <c r="E39" s="1344"/>
      <c r="F39" s="1345"/>
      <c r="G39" s="1848"/>
      <c r="H39" s="1856"/>
      <c r="I39" s="1857"/>
      <c r="J39" s="1858"/>
      <c r="K39" s="1862"/>
      <c r="L39" s="1856"/>
      <c r="M39" s="1856"/>
    </row>
    <row r="40" spans="1:18" ht="18" customHeight="1">
      <c r="A40" s="344" t="s">
        <v>1029</v>
      </c>
      <c r="B40" s="345" t="s">
        <v>1481</v>
      </c>
      <c r="C40" s="346">
        <f ca="1">ROUND(C39*(1-((1+F42)/(1+F40))^F41)/(F40-F42),0)</f>
        <v>108</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46.53</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f ca="1">ROUND(C40*10000/F43,0)</f>
        <v>22519</v>
      </c>
      <c r="D43" s="383" t="s">
        <v>1484</v>
      </c>
      <c r="E43" s="384" t="s">
        <v>1485</v>
      </c>
      <c r="F43" s="385">
        <f ca="1">INDIRECT("'数据-取费表'!k"&amp;$G$1)</f>
        <v>47.96</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-141</v>
      </c>
      <c r="D46" s="1869" t="str">
        <f>C2</f>
        <v>万元</v>
      </c>
      <c r="E46" s="1863"/>
      <c r="F46" s="1863"/>
      <c r="I46" s="1870" t="s">
        <v>1517</v>
      </c>
      <c r="J46" s="1871"/>
      <c r="K46" s="1872"/>
      <c r="L46" s="1873">
        <f ca="1">IF(M47="住宅",0,IF(L48&gt;J51,L60,J60))</f>
        <v>0</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4605</v>
      </c>
      <c r="K47" s="1879" t="s">
        <v>1523</v>
      </c>
      <c r="L47" s="1880">
        <f ca="1">INDIRECT("'数据-取费表'!d"&amp;$G$1)</f>
        <v>50</v>
      </c>
      <c r="M47" s="1835" t="str">
        <f>IF(ISNUMBER(FIND("住宅",C1)),"住宅","非住宅")</f>
        <v>非住宅</v>
      </c>
      <c r="O47" s="1881" t="s">
        <v>1037</v>
      </c>
      <c r="P47" s="1882" t="s">
        <v>1524</v>
      </c>
      <c r="Q47" s="1883">
        <f ca="1">C40+J29</f>
        <v>108</v>
      </c>
      <c r="R47" s="1883" t="s">
        <v>1525</v>
      </c>
    </row>
    <row r="48" spans="1:18" s="1839" customFormat="1" ht="28.5" thickBot="1">
      <c r="A48" s="1358" t="s">
        <v>1132</v>
      </c>
      <c r="B48" s="345" t="s">
        <v>1397</v>
      </c>
      <c r="C48" s="2946">
        <f ca="1">C49+C53+C55</f>
        <v>0</v>
      </c>
      <c r="D48" s="1360"/>
      <c r="E48" s="1361"/>
      <c r="F48" s="1179"/>
      <c r="G48" s="792"/>
      <c r="H48" s="793"/>
      <c r="I48" s="1884" t="s">
        <v>1526</v>
      </c>
      <c r="J48" s="1885" t="s">
        <v>4606</v>
      </c>
      <c r="K48" s="1886" t="s">
        <v>1527</v>
      </c>
      <c r="L48" s="1887">
        <f ca="1">INDIRECT("'数据-取费表'!f"&amp;$G$1)</f>
        <v>46.53</v>
      </c>
      <c r="O48" s="1881" t="s">
        <v>1038</v>
      </c>
      <c r="P48" s="1882" t="s">
        <v>1528</v>
      </c>
      <c r="Q48" s="1883">
        <f ca="1">J60</f>
        <v>0</v>
      </c>
      <c r="R48" s="1883" t="s">
        <v>1529</v>
      </c>
    </row>
    <row r="49" spans="1:18" s="1839" customFormat="1" ht="13.5" thickBot="1">
      <c r="A49" s="1192" t="s">
        <v>1133</v>
      </c>
      <c r="B49" s="1826" t="s">
        <v>1486</v>
      </c>
      <c r="C49" s="1362">
        <f ca="1">ROUND(F49*F51*F50*(1-F52)/10000,0)</f>
        <v>0</v>
      </c>
      <c r="D49" s="1274" t="s">
        <v>3021</v>
      </c>
      <c r="E49" s="1827" t="s">
        <v>1487</v>
      </c>
      <c r="F49" s="1279"/>
      <c r="G49" s="1888"/>
      <c r="H49" s="793"/>
      <c r="I49" s="1884" t="s">
        <v>1530</v>
      </c>
      <c r="J49" s="1889">
        <v>2018</v>
      </c>
      <c r="K49" s="1886" t="s">
        <v>1531</v>
      </c>
      <c r="L49" s="1890"/>
      <c r="O49" s="1891" t="s">
        <v>1039</v>
      </c>
      <c r="P49" s="1882" t="s">
        <v>1532</v>
      </c>
      <c r="Q49" s="1883">
        <f ca="1">C29</f>
        <v>19</v>
      </c>
      <c r="R49" s="1883" t="s">
        <v>1525</v>
      </c>
    </row>
    <row r="50" spans="1:18" s="1839" customFormat="1" ht="13.5" thickBot="1">
      <c r="A50" s="1193"/>
      <c r="B50" s="1196"/>
      <c r="C50" s="1366"/>
      <c r="D50" s="1170"/>
      <c r="E50" s="1275" t="s">
        <v>1402</v>
      </c>
      <c r="F50" s="1276">
        <f ca="1">F7</f>
        <v>47.96</v>
      </c>
      <c r="H50" s="793"/>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4"/>
      <c r="B51" s="1196"/>
      <c r="C51" s="1197"/>
      <c r="D51" s="1170"/>
      <c r="E51" s="1198" t="s">
        <v>1403</v>
      </c>
      <c r="F51" s="348">
        <f ca="1">F8</f>
        <v>365</v>
      </c>
      <c r="I51" s="1895" t="s">
        <v>1536</v>
      </c>
      <c r="J51" s="1896">
        <f>IF(J49="",J50,J49+J50-YEAR('数据-取费表'!B2))</f>
        <v>59</v>
      </c>
      <c r="K51" s="1897" t="s">
        <v>1537</v>
      </c>
      <c r="L51" s="1898">
        <f ca="1">ROUND(-PV(INDIRECT("'数据-取费表'!h"&amp;$G$1),L48,(C39-C13*C76),0),0)</f>
        <v>43</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46.53</v>
      </c>
      <c r="R52" s="1883" t="s">
        <v>1542</v>
      </c>
    </row>
    <row r="53" spans="1:18" s="1839" customFormat="1" ht="24.75" thickBot="1">
      <c r="A53" s="1403" t="s">
        <v>1134</v>
      </c>
      <c r="B53" s="1828" t="s">
        <v>1405</v>
      </c>
      <c r="C53" s="361">
        <f ca="1">ROUND(IF(F53="押一",C49/12*F11,IF(F53="押二",C49/12*2*F11,IF(F53="押三",C49/12*3*F11,C54*F11))),0)</f>
        <v>0</v>
      </c>
      <c r="D53" s="1821" t="s">
        <v>3030</v>
      </c>
      <c r="E53" s="358"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46.53</v>
      </c>
      <c r="K53" s="3102" t="s">
        <v>1544</v>
      </c>
      <c r="L53" s="3103"/>
      <c r="O53" s="1881" t="s">
        <v>1043</v>
      </c>
      <c r="P53" s="1882" t="s">
        <v>1545</v>
      </c>
      <c r="Q53" s="1883">
        <f ca="1">Q47+Q48</f>
        <v>108</v>
      </c>
      <c r="R53" s="1883" t="s">
        <v>1044</v>
      </c>
    </row>
    <row r="54" spans="1:18" s="1839" customFormat="1" ht="13.5" thickBot="1">
      <c r="A54" s="1404"/>
      <c r="B54" s="1822" t="s">
        <v>1384</v>
      </c>
      <c r="C54" s="1176"/>
      <c r="D54" s="1821"/>
      <c r="E54" s="295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2951"/>
      <c r="F55" s="1904"/>
      <c r="I55" s="1907" t="s">
        <v>1547</v>
      </c>
      <c r="J55" s="1908">
        <f ca="1">ROUND(IF(J47="钢混",J57/J50,1-(1-2%)*(J50-J57)/J50),3)</f>
        <v>0.20799999999999999</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19</v>
      </c>
      <c r="D56" s="1911"/>
      <c r="E56" s="1912"/>
      <c r="F56" s="1904"/>
      <c r="I56" s="1913" t="s">
        <v>1550</v>
      </c>
      <c r="J56" s="1914" t="s">
        <v>4596</v>
      </c>
      <c r="K56" s="1884" t="s">
        <v>1551</v>
      </c>
      <c r="L56" s="1887" t="str">
        <f ca="1">IF(L48&lt;J51,"——",L48-J53)</f>
        <v>——</v>
      </c>
      <c r="O56" s="1881" t="s">
        <v>1037</v>
      </c>
      <c r="P56" s="1882" t="s">
        <v>1524</v>
      </c>
      <c r="Q56" s="1883">
        <f ca="1">C40+J29</f>
        <v>108</v>
      </c>
      <c r="R56" s="1883" t="s">
        <v>1525</v>
      </c>
    </row>
    <row r="57" spans="1:18" s="1839" customFormat="1" ht="24.75" thickBot="1">
      <c r="A57" s="1915"/>
      <c r="B57" s="1167" t="s">
        <v>1474</v>
      </c>
      <c r="C57" s="282">
        <f ca="1">C29</f>
        <v>19</v>
      </c>
      <c r="D57" s="1916"/>
      <c r="E57" s="1917"/>
      <c r="F57" s="1918"/>
      <c r="I57" s="1919" t="s">
        <v>1552</v>
      </c>
      <c r="J57" s="1920">
        <f ca="1">IF(OR(M47="住宅",J51&lt;L48,J56="是"),"——",J51-L48)</f>
        <v>12.469999999999999</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2</v>
      </c>
      <c r="D58" s="1177" t="s">
        <v>1421</v>
      </c>
      <c r="E58" s="1178"/>
      <c r="F58" s="1179"/>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1.6</v>
      </c>
      <c r="D59" s="1180" t="s">
        <v>1426</v>
      </c>
      <c r="E59" s="1181" t="s">
        <v>1427</v>
      </c>
      <c r="F59" s="368" t="str">
        <f ca="1">IF(项目基本情况!B11="企业","",IF(INDIRECT("'数据-取费表'!c"&amp;$G$1)="住宅",5%,IF(F49*F50*F51/12/(1+'数据-取费表'!C42)&gt;20000,12%,7%)))</f>
        <v/>
      </c>
      <c r="I59" s="1919" t="s">
        <v>1559</v>
      </c>
      <c r="J59" s="1920">
        <f ca="1">IF(OR(M47="住宅",J51&lt;L48,J56="是"),"——",ROUND(C29*J58,0))</f>
        <v>8</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2" t="s">
        <v>1561</v>
      </c>
      <c r="J60" s="1923">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1433</v>
      </c>
      <c r="C61" s="24">
        <f ca="1">IF(项目基本情况!B11="自然人","——",IF(D61="按租金收入计税",ROUND(C48*F61,2),IF(D61="按房产原值计税",ROUND(C57*F61*0.7,2),INDIRECT("'数据-取费表'!Aj"&amp;$G$1))))</f>
        <v>1.6</v>
      </c>
      <c r="D61" s="1825" t="s">
        <v>1434</v>
      </c>
      <c r="E61" s="1167" t="s">
        <v>1418</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1437</v>
      </c>
      <c r="C62" s="25">
        <f ca="1">IF(项目基本情况!B11="自然人","——",ROUND(F62*F63/10000,2))</f>
        <v>0</v>
      </c>
      <c r="D62" s="1182" t="s">
        <v>1438</v>
      </c>
      <c r="E62" s="1167" t="s">
        <v>1439</v>
      </c>
      <c r="F62" s="371">
        <f t="shared" si="0"/>
        <v>1.5</v>
      </c>
      <c r="I62" s="1926" t="s">
        <v>1566</v>
      </c>
      <c r="J62" s="1927" t="s">
        <v>1567</v>
      </c>
      <c r="K62" s="1927" t="s">
        <v>1568</v>
      </c>
      <c r="L62" s="1927" t="s">
        <v>1569</v>
      </c>
      <c r="M62" s="1928" t="s">
        <v>1570</v>
      </c>
      <c r="O62" s="1881" t="s">
        <v>1043</v>
      </c>
      <c r="P62" s="1882" t="s">
        <v>1545</v>
      </c>
      <c r="Q62" s="1883">
        <f ca="1">Q56+Q57</f>
        <v>108</v>
      </c>
      <c r="R62" s="1883" t="s">
        <v>1044</v>
      </c>
    </row>
    <row r="63" spans="1:18" s="1839" customFormat="1" ht="13.5" thickBot="1">
      <c r="A63" s="372"/>
      <c r="B63" s="1173"/>
      <c r="C63" s="29"/>
      <c r="D63" s="1183"/>
      <c r="E63" s="1167" t="s">
        <v>1443</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1036</v>
      </c>
      <c r="B64" s="1167" t="s">
        <v>1445</v>
      </c>
      <c r="C64" s="24">
        <f ca="1">ROUND(C57*F64,1)</f>
        <v>0.3</v>
      </c>
      <c r="D64" s="1181" t="s">
        <v>1478</v>
      </c>
      <c r="E64" s="1167"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0</v>
      </c>
      <c r="D65" s="1181" t="s">
        <v>1450</v>
      </c>
      <c r="E65" s="1167" t="s">
        <v>1418</v>
      </c>
      <c r="F65" s="376">
        <f t="shared" ca="1" si="0"/>
        <v>1.5E-3</v>
      </c>
      <c r="I65" s="1926" t="s">
        <v>1575</v>
      </c>
      <c r="J65" s="1927">
        <v>40</v>
      </c>
      <c r="K65" s="1927">
        <v>30</v>
      </c>
      <c r="L65" s="1927">
        <v>50</v>
      </c>
      <c r="M65" s="1929">
        <v>0.02</v>
      </c>
      <c r="O65" s="1881" t="s">
        <v>1037</v>
      </c>
      <c r="P65" s="1882" t="s">
        <v>1524</v>
      </c>
      <c r="Q65" s="1883">
        <f ca="1">C40+J29</f>
        <v>108</v>
      </c>
      <c r="R65" s="1883" t="s">
        <v>1525</v>
      </c>
    </row>
    <row r="66" spans="1:18" s="1839" customFormat="1" ht="16.5" thickBot="1">
      <c r="A66" s="1199" t="s">
        <v>1500</v>
      </c>
      <c r="B66" s="1167" t="s">
        <v>1435</v>
      </c>
      <c r="C66" s="24">
        <f ca="1">ROUND(C48*F66,1)</f>
        <v>0</v>
      </c>
      <c r="D66" s="1181" t="s">
        <v>1455</v>
      </c>
      <c r="E66" s="1167" t="s">
        <v>1418</v>
      </c>
      <c r="F66" s="357">
        <f t="shared" ca="1" si="0"/>
        <v>0.01</v>
      </c>
      <c r="O66" s="1881" t="s">
        <v>1038</v>
      </c>
      <c r="P66" s="1882" t="s">
        <v>1554</v>
      </c>
      <c r="Q66" s="1883">
        <f ca="1">L60</f>
        <v>0</v>
      </c>
      <c r="R66" s="1883" t="s">
        <v>1577</v>
      </c>
    </row>
    <row r="67" spans="1:18" s="1839" customFormat="1" ht="16.5" thickBot="1">
      <c r="A67" s="1174" t="s">
        <v>1028</v>
      </c>
      <c r="B67" s="1184" t="s">
        <v>1459</v>
      </c>
      <c r="C67" s="361">
        <f ca="1">C48-C58</f>
        <v>-2</v>
      </c>
      <c r="D67" s="1180" t="s">
        <v>1460</v>
      </c>
      <c r="E67" s="1185"/>
      <c r="F67" s="1186"/>
      <c r="O67" s="1891" t="s">
        <v>1039</v>
      </c>
      <c r="P67" s="1882" t="s">
        <v>1558</v>
      </c>
      <c r="Q67" s="1930">
        <f ca="1">L51</f>
        <v>43</v>
      </c>
      <c r="R67" s="1883" t="s">
        <v>1578</v>
      </c>
    </row>
    <row r="68" spans="1:18" s="1839" customFormat="1" ht="16.5" thickBot="1">
      <c r="A68" s="1164" t="s">
        <v>1029</v>
      </c>
      <c r="B68" s="1165" t="s">
        <v>1481</v>
      </c>
      <c r="C68" s="346">
        <f ca="1">ROUND(C67*(1-((1+F70)/(1+F68))^F69)/(F68-F70),0)</f>
        <v>-33</v>
      </c>
      <c r="D68" s="1182" t="s">
        <v>1465</v>
      </c>
      <c r="E68" s="1167" t="s">
        <v>1466</v>
      </c>
      <c r="F68" s="357">
        <f ca="1">F40</f>
        <v>5.5E-2</v>
      </c>
      <c r="O68" s="1891" t="s">
        <v>1040</v>
      </c>
      <c r="P68" s="1931" t="s">
        <v>1579</v>
      </c>
      <c r="Q68" s="1883">
        <f ca="1">ROUND(Q69-Q70*Q71,0)</f>
        <v>2</v>
      </c>
      <c r="R68" s="1883" t="s">
        <v>1048</v>
      </c>
    </row>
    <row r="69" spans="1:18" s="1839" customFormat="1" ht="13.5" thickBot="1">
      <c r="A69" s="1168"/>
      <c r="B69" s="1169"/>
      <c r="C69" s="351"/>
      <c r="D69" s="1187" t="s">
        <v>1469</v>
      </c>
      <c r="E69" s="1167" t="s">
        <v>1470</v>
      </c>
      <c r="F69" s="379">
        <f ca="1">F41</f>
        <v>46.53</v>
      </c>
      <c r="O69" s="1891" t="s">
        <v>1045</v>
      </c>
      <c r="P69" s="1931" t="s">
        <v>1580</v>
      </c>
      <c r="Q69" s="1883">
        <f ca="1">C39</f>
        <v>4</v>
      </c>
      <c r="R69" s="1883" t="s">
        <v>1525</v>
      </c>
    </row>
    <row r="70" spans="1:18" s="1839" customFormat="1" ht="13.5" thickBot="1">
      <c r="A70" s="1171"/>
      <c r="B70" s="1172"/>
      <c r="C70" s="355"/>
      <c r="D70" s="1183"/>
      <c r="E70" s="1167" t="s">
        <v>1473</v>
      </c>
      <c r="F70" s="1273"/>
      <c r="O70" s="1891" t="s">
        <v>1046</v>
      </c>
      <c r="P70" s="1931" t="s">
        <v>1581</v>
      </c>
      <c r="Q70" s="1883">
        <f ca="1">C13</f>
        <v>19</v>
      </c>
      <c r="R70" s="1883" t="s">
        <v>1525</v>
      </c>
    </row>
    <row r="71" spans="1:18" s="1839" customFormat="1" ht="13.5" thickBot="1">
      <c r="A71" s="1188" t="s">
        <v>1030</v>
      </c>
      <c r="B71" s="1189" t="s">
        <v>1483</v>
      </c>
      <c r="C71" s="382">
        <f ca="1">ROUND(C68*10000/F71,0)</f>
        <v>-6881</v>
      </c>
      <c r="D71" s="1190" t="s">
        <v>1484</v>
      </c>
      <c r="E71" s="1191" t="s">
        <v>1485</v>
      </c>
      <c r="F71" s="385">
        <f ca="1">F43</f>
        <v>47.96</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2</v>
      </c>
      <c r="D75" s="1839"/>
      <c r="E75" s="1839"/>
      <c r="F75" s="1839"/>
      <c r="K75" s="1865"/>
      <c r="L75" s="1839"/>
      <c r="O75" s="1881" t="s">
        <v>1043</v>
      </c>
      <c r="P75" s="1882" t="s">
        <v>1545</v>
      </c>
      <c r="Q75" s="1883">
        <f ca="1">Q65+Q66</f>
        <v>108</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0.5</v>
      </c>
    </row>
    <row r="80" spans="1:18">
      <c r="B80" s="386" t="s">
        <v>1507</v>
      </c>
      <c r="C80" s="318">
        <f ca="1">ROUND(C75/C39,3)</f>
        <v>0.5</v>
      </c>
    </row>
    <row r="81" spans="2:3">
      <c r="B81" s="314" t="s">
        <v>1508</v>
      </c>
      <c r="C81" s="282"/>
    </row>
    <row r="82" spans="2:3">
      <c r="B82" s="317" t="s">
        <v>1509</v>
      </c>
      <c r="C82" s="319">
        <f ca="1">1-C83</f>
        <v>0.82400000000000007</v>
      </c>
    </row>
    <row r="83" spans="2:3">
      <c r="B83" s="317" t="s">
        <v>1510</v>
      </c>
      <c r="C83" s="318">
        <f ca="1">ROUND(C13/C40,3)</f>
        <v>0.17599999999999999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85" zoomScaleNormal="85" workbookViewId="0">
      <pane ySplit="24" topLeftCell="A68" activePane="bottomLeft" state="frozen"/>
      <selection activeCell="C50" sqref="C50"/>
      <selection pane="bottomLeft" activeCell="S22" sqref="S22"/>
    </sheetView>
  </sheetViews>
  <sheetFormatPr defaultColWidth="9" defaultRowHeight="12.75"/>
  <cols>
    <col min="1" max="1" width="36.375" style="139" customWidth="1"/>
    <col min="2" max="2" width="9.25" style="27" customWidth="1"/>
    <col min="3" max="3" width="7.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3000</v>
      </c>
      <c r="C1" s="3268" t="s">
        <v>3001</v>
      </c>
      <c r="D1" s="3269"/>
      <c r="E1" s="3269"/>
      <c r="F1" s="3269"/>
      <c r="G1" s="3269"/>
      <c r="H1" s="3269"/>
      <c r="I1" s="3269"/>
      <c r="J1" s="3269"/>
      <c r="K1" s="3269"/>
      <c r="L1" s="3269"/>
      <c r="M1" s="3269"/>
      <c r="N1" s="3269"/>
      <c r="O1" s="3269"/>
      <c r="P1" s="3269"/>
      <c r="Q1" s="3269"/>
      <c r="R1" s="3269"/>
      <c r="S1" s="3270"/>
      <c r="T1" s="1202" t="s">
        <v>2871</v>
      </c>
    </row>
    <row r="2" spans="1:45" s="707" customFormat="1" ht="38.25">
      <c r="A2" s="1203"/>
      <c r="B2" s="703" t="s">
        <v>1866</v>
      </c>
      <c r="C2" s="704" t="str">
        <f t="shared" ref="C2:R2" si="0">C3&amp;"(含)"&amp;"-"&amp;D3</f>
        <v>0(含)-50</v>
      </c>
      <c r="D2" s="705" t="str">
        <f t="shared" si="0"/>
        <v>50(含)-100</v>
      </c>
      <c r="E2" s="705" t="str">
        <f t="shared" si="0"/>
        <v>100(含)-150</v>
      </c>
      <c r="F2" s="705" t="str">
        <f t="shared" si="0"/>
        <v>150(含)-200</v>
      </c>
      <c r="G2" s="705" t="str">
        <f t="shared" si="0"/>
        <v>200(含)-250</v>
      </c>
      <c r="H2" s="705" t="str">
        <f t="shared" si="0"/>
        <v>250(含)-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v>50</v>
      </c>
      <c r="E3" s="710">
        <v>100</v>
      </c>
      <c r="F3" s="1702">
        <v>150</v>
      </c>
      <c r="G3" s="1702">
        <v>200</v>
      </c>
      <c r="H3" s="1702">
        <v>250</v>
      </c>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v>100</v>
      </c>
      <c r="D4" s="1209">
        <f>C4-1</f>
        <v>99</v>
      </c>
      <c r="E4" s="1209">
        <f t="shared" ref="E4:H4" si="1">D4-1</f>
        <v>98</v>
      </c>
      <c r="F4" s="1209">
        <f t="shared" si="1"/>
        <v>97</v>
      </c>
      <c r="G4" s="1209">
        <f t="shared" si="1"/>
        <v>96</v>
      </c>
      <c r="H4" s="1209">
        <f t="shared" si="1"/>
        <v>95</v>
      </c>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2988" t="s">
        <v>4663</v>
      </c>
      <c r="C5" s="2990" t="s">
        <v>4665</v>
      </c>
      <c r="D5" s="2991" t="s">
        <v>4666</v>
      </c>
      <c r="E5" s="1215"/>
      <c r="F5" s="1709"/>
      <c r="G5" s="1709"/>
      <c r="H5" s="1709"/>
      <c r="I5" s="1709"/>
      <c r="J5" s="1709"/>
      <c r="K5" s="1709"/>
      <c r="L5" s="1710"/>
      <c r="M5" s="1711"/>
      <c r="N5" s="1711"/>
      <c r="O5" s="1709"/>
      <c r="P5" s="1709"/>
      <c r="Q5" s="1709"/>
      <c r="R5" s="1709"/>
      <c r="S5" s="1712"/>
      <c r="T5" s="1217">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105</v>
      </c>
      <c r="E6" s="1117">
        <f t="shared" ref="E6:S6" si="2">D6-$T5</f>
        <v>110</v>
      </c>
      <c r="F6" s="1713">
        <f t="shared" si="2"/>
        <v>115</v>
      </c>
      <c r="G6" s="1713">
        <f t="shared" si="2"/>
        <v>120</v>
      </c>
      <c r="H6" s="1713">
        <f t="shared" si="2"/>
        <v>125</v>
      </c>
      <c r="I6" s="1713">
        <f t="shared" si="2"/>
        <v>130</v>
      </c>
      <c r="J6" s="1713">
        <f t="shared" si="2"/>
        <v>135</v>
      </c>
      <c r="K6" s="1713">
        <f t="shared" si="2"/>
        <v>140</v>
      </c>
      <c r="L6" s="1713">
        <f t="shared" si="2"/>
        <v>145</v>
      </c>
      <c r="M6" s="1713">
        <f t="shared" si="2"/>
        <v>150</v>
      </c>
      <c r="N6" s="1713">
        <f t="shared" si="2"/>
        <v>155</v>
      </c>
      <c r="O6" s="1713">
        <f t="shared" si="2"/>
        <v>160</v>
      </c>
      <c r="P6" s="1713">
        <f t="shared" si="2"/>
        <v>165</v>
      </c>
      <c r="Q6" s="1713">
        <f t="shared" si="2"/>
        <v>170</v>
      </c>
      <c r="R6" s="1713">
        <f t="shared" si="2"/>
        <v>175</v>
      </c>
      <c r="S6" s="1713">
        <f t="shared" si="2"/>
        <v>180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2989" t="s">
        <v>4664</v>
      </c>
      <c r="C7" s="2992" t="s">
        <v>4667</v>
      </c>
      <c r="D7" s="2993" t="s">
        <v>4668</v>
      </c>
      <c r="E7" s="2993" t="s">
        <v>4669</v>
      </c>
      <c r="F7" s="1714"/>
      <c r="G7" s="1714"/>
      <c r="H7" s="1714"/>
      <c r="I7" s="1714"/>
      <c r="J7" s="1714"/>
      <c r="K7" s="1714"/>
      <c r="L7" s="1714"/>
      <c r="M7" s="1715"/>
      <c r="N7" s="1716"/>
      <c r="O7" s="1717"/>
      <c r="P7" s="1718"/>
      <c r="Q7" s="1719"/>
      <c r="R7" s="1720"/>
      <c r="S7" s="1721"/>
      <c r="T7" s="713">
        <f>'比较法-商业'!K42</f>
        <v>1.5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98.5</v>
      </c>
      <c r="E8" s="1117">
        <f t="shared" ref="E8:S8" si="3">D8-$T7</f>
        <v>97</v>
      </c>
      <c r="F8" s="1713">
        <f t="shared" si="3"/>
        <v>95.5</v>
      </c>
      <c r="G8" s="1713">
        <f t="shared" si="3"/>
        <v>94</v>
      </c>
      <c r="H8" s="1713">
        <f t="shared" si="3"/>
        <v>92.5</v>
      </c>
      <c r="I8" s="1713">
        <f t="shared" si="3"/>
        <v>91</v>
      </c>
      <c r="J8" s="1713">
        <f t="shared" si="3"/>
        <v>89.5</v>
      </c>
      <c r="K8" s="1713">
        <f t="shared" si="3"/>
        <v>88</v>
      </c>
      <c r="L8" s="1713">
        <f t="shared" si="3"/>
        <v>86.5</v>
      </c>
      <c r="M8" s="1713">
        <f t="shared" si="3"/>
        <v>85</v>
      </c>
      <c r="N8" s="1713">
        <f t="shared" si="3"/>
        <v>83.5</v>
      </c>
      <c r="O8" s="1713">
        <f t="shared" si="3"/>
        <v>82</v>
      </c>
      <c r="P8" s="1713">
        <f t="shared" si="3"/>
        <v>80.5</v>
      </c>
      <c r="Q8" s="1713">
        <f t="shared" si="3"/>
        <v>79</v>
      </c>
      <c r="R8" s="1713">
        <f t="shared" si="3"/>
        <v>77.5</v>
      </c>
      <c r="S8" s="1713">
        <f t="shared" si="3"/>
        <v>76</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2989"/>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3006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3007</v>
      </c>
      <c r="B17" s="2915"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6" t="s">
        <v>3009</v>
      </c>
      <c r="E19" s="1789"/>
      <c r="F19" s="1789"/>
      <c r="G19" s="1789"/>
      <c r="H19" s="1278"/>
      <c r="I19" s="168"/>
      <c r="J19" s="168"/>
      <c r="K19" s="168"/>
      <c r="L19" s="168"/>
      <c r="M19" s="168"/>
      <c r="N19" s="168"/>
      <c r="O19" s="168"/>
      <c r="P19" s="168"/>
      <c r="Q19" s="168"/>
      <c r="R19" s="788"/>
      <c r="S19" s="138"/>
    </row>
    <row r="20" spans="1:45" ht="16.5" thickBot="1">
      <c r="A20" s="715" t="s">
        <v>3010</v>
      </c>
      <c r="B20" s="338">
        <f ca="1">IF(D20="——",S22,S22-F20)</f>
        <v>15551</v>
      </c>
      <c r="C20" s="168"/>
      <c r="D20" s="2917" t="s">
        <v>70</v>
      </c>
      <c r="E20" s="1790"/>
      <c r="F20" s="1202" t="e">
        <f ca="1">SUMIF(INDIRECT("'"&amp;H20&amp;"'"&amp;"!A:A"),"承租人权益价值",INDIRECT("'"&amp;H20&amp;"'"&amp;"!c:c"))</f>
        <v>#REF!</v>
      </c>
      <c r="G20" s="1202" t="s">
        <v>3011</v>
      </c>
      <c r="H20" s="2918"/>
      <c r="I20" s="168"/>
      <c r="J20" s="168"/>
      <c r="K20" s="168"/>
      <c r="L20" s="168"/>
      <c r="M20" s="168"/>
      <c r="N20" s="168"/>
      <c r="O20" s="168"/>
      <c r="P20" s="168"/>
      <c r="Q20" s="168"/>
      <c r="R20" s="788"/>
      <c r="S20" s="138"/>
    </row>
    <row r="21" spans="1:45" ht="15.75">
      <c r="A21" s="715" t="s">
        <v>3012</v>
      </c>
      <c r="B21" s="338">
        <f ca="1">R22</f>
        <v>27077</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5743.1999999999989</v>
      </c>
      <c r="C22" s="3210" t="s">
        <v>33</v>
      </c>
      <c r="D22" s="3211"/>
      <c r="E22" s="3211"/>
      <c r="F22" s="3211"/>
      <c r="G22" s="3211"/>
      <c r="H22" s="3211"/>
      <c r="I22" s="3211"/>
      <c r="J22" s="3211"/>
      <c r="K22" s="3211"/>
      <c r="L22" s="3211"/>
      <c r="M22" s="3211"/>
      <c r="N22" s="3211"/>
      <c r="O22" s="3211"/>
      <c r="P22" s="3211"/>
      <c r="Q22" s="3267"/>
      <c r="R22" s="716">
        <f ca="1">ROUND(S22*10000/B22,0)</f>
        <v>27077</v>
      </c>
      <c r="S22" s="24">
        <f ca="1">SUM(S24:S10000)</f>
        <v>15551</v>
      </c>
    </row>
    <row r="23" spans="1:45" s="12" customFormat="1" ht="24">
      <c r="A23" s="11" t="s">
        <v>3014</v>
      </c>
      <c r="B23" s="11" t="s">
        <v>3015</v>
      </c>
      <c r="C23" s="11" t="s">
        <v>3016</v>
      </c>
      <c r="D23" s="11" t="str">
        <f>B5</f>
        <v>层高</v>
      </c>
      <c r="E23" s="11" t="s">
        <v>3016</v>
      </c>
      <c r="F23" s="11" t="str">
        <f>B7</f>
        <v>装修</v>
      </c>
      <c r="G23" s="11" t="s">
        <v>3016</v>
      </c>
      <c r="H23" s="11">
        <f>B9</f>
        <v>0</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抵押物清单!E3</f>
        <v>北京恒大滨河左岸-二期-G15-101</v>
      </c>
      <c r="B24" s="718">
        <f>抵押物清单!G3</f>
        <v>47.96</v>
      </c>
      <c r="C24" s="719">
        <v>1</v>
      </c>
      <c r="D24" s="720"/>
      <c r="E24" s="719">
        <v>1</v>
      </c>
      <c r="F24" s="2994" t="s">
        <v>4670</v>
      </c>
      <c r="G24" s="719">
        <v>1</v>
      </c>
      <c r="H24" s="720"/>
      <c r="I24" s="719">
        <v>1</v>
      </c>
      <c r="J24" s="720"/>
      <c r="K24" s="719">
        <v>1</v>
      </c>
      <c r="L24" s="720"/>
      <c r="M24" s="719">
        <v>1</v>
      </c>
      <c r="N24" s="720"/>
      <c r="O24" s="719">
        <v>1</v>
      </c>
      <c r="P24" s="720"/>
      <c r="Q24" s="719">
        <v>1</v>
      </c>
      <c r="R24" s="721">
        <f ca="1">'结果表-办公'!G20</f>
        <v>27229</v>
      </c>
      <c r="S24" s="719">
        <f t="shared" ref="S24:S87" ca="1" si="6">ROUND(R24*B24/10000,0)</f>
        <v>131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764" t="str">
        <f>抵押物清单!E4</f>
        <v>北京恒大滨河左岸-二期-G15-102</v>
      </c>
      <c r="B25" s="2764">
        <f>抵押物清单!G4</f>
        <v>80.739999999999995</v>
      </c>
      <c r="C25" s="24">
        <f>IF(B25="",1,(LOOKUP(B25,$3:$3,$4:$4)-LOOKUP($B$24,$3:$3,$4:$4)+100)/100)</f>
        <v>0.99</v>
      </c>
      <c r="D25" s="720"/>
      <c r="E25" s="24">
        <f>(SUMIF($5:$5,D25,$6:$6)-SUMIF($5:$5,$D$24,$6:$6)+100)/100</f>
        <v>1</v>
      </c>
      <c r="F25" s="2994" t="s">
        <v>4670</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26957</v>
      </c>
      <c r="S25" s="361">
        <f t="shared" ca="1" si="6"/>
        <v>218</v>
      </c>
    </row>
    <row r="26" spans="1:45">
      <c r="A26" s="2764" t="str">
        <f>抵押物清单!E5</f>
        <v>北京恒大滨河左岸-二期-G15-103</v>
      </c>
      <c r="B26" s="2764">
        <f>抵押物清单!G5</f>
        <v>80.75</v>
      </c>
      <c r="C26" s="24">
        <f t="shared" ref="C26:C89" si="7">IF(B26="",1,(LOOKUP(B26,$3:$3,$4:$4)-LOOKUP($B$24,$3:$3,$4:$4)+100)/100)</f>
        <v>0.99</v>
      </c>
      <c r="D26" s="720"/>
      <c r="E26" s="24">
        <f t="shared" ref="E26:E89" si="8">(SUMIF($5:$5,D26,$6:$6)-SUMIF($5:$5,$D$24,$6:$6)+100)/100</f>
        <v>1</v>
      </c>
      <c r="F26" s="2994" t="s">
        <v>4670</v>
      </c>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ca="1" si="15">IF(B26="",0,ROUND($R$24*C26*E26*G26*I26*K26*M26*O26*Q26,0))</f>
        <v>26957</v>
      </c>
      <c r="S26" s="361">
        <f t="shared" ca="1" si="6"/>
        <v>218</v>
      </c>
    </row>
    <row r="27" spans="1:45">
      <c r="A27" s="2764" t="str">
        <f>抵押物清单!E6</f>
        <v>北京恒大滨河左岸-二期-G15-104</v>
      </c>
      <c r="B27" s="2764">
        <f>抵押物清单!G6</f>
        <v>80.739999999999995</v>
      </c>
      <c r="C27" s="24">
        <f t="shared" si="7"/>
        <v>0.99</v>
      </c>
      <c r="D27" s="720"/>
      <c r="E27" s="24">
        <f t="shared" si="8"/>
        <v>1</v>
      </c>
      <c r="F27" s="2994" t="s">
        <v>4670</v>
      </c>
      <c r="G27" s="24">
        <f t="shared" si="9"/>
        <v>1</v>
      </c>
      <c r="H27" s="720"/>
      <c r="I27" s="24">
        <f t="shared" si="10"/>
        <v>1</v>
      </c>
      <c r="J27" s="720"/>
      <c r="K27" s="24">
        <f t="shared" si="11"/>
        <v>1</v>
      </c>
      <c r="L27" s="720"/>
      <c r="M27" s="24">
        <f t="shared" si="12"/>
        <v>1</v>
      </c>
      <c r="N27" s="720"/>
      <c r="O27" s="24">
        <f t="shared" si="13"/>
        <v>1</v>
      </c>
      <c r="P27" s="720"/>
      <c r="Q27" s="24">
        <f t="shared" si="14"/>
        <v>1</v>
      </c>
      <c r="R27" s="716">
        <f t="shared" ca="1" si="15"/>
        <v>26957</v>
      </c>
      <c r="S27" s="361">
        <f t="shared" ca="1" si="6"/>
        <v>218</v>
      </c>
    </row>
    <row r="28" spans="1:45">
      <c r="A28" s="2764" t="str">
        <f>抵押物清单!E7</f>
        <v>北京恒大滨河左岸-二期-G15-105</v>
      </c>
      <c r="B28" s="2764">
        <f>抵押物清单!G7</f>
        <v>80.75</v>
      </c>
      <c r="C28" s="24">
        <f t="shared" si="7"/>
        <v>0.99</v>
      </c>
      <c r="D28" s="720"/>
      <c r="E28" s="24">
        <f t="shared" si="8"/>
        <v>1</v>
      </c>
      <c r="F28" s="2994" t="s">
        <v>4670</v>
      </c>
      <c r="G28" s="24">
        <f t="shared" si="9"/>
        <v>1</v>
      </c>
      <c r="H28" s="720"/>
      <c r="I28" s="24">
        <f t="shared" si="10"/>
        <v>1</v>
      </c>
      <c r="J28" s="720"/>
      <c r="K28" s="24">
        <f t="shared" si="11"/>
        <v>1</v>
      </c>
      <c r="L28" s="720"/>
      <c r="M28" s="24">
        <f t="shared" si="12"/>
        <v>1</v>
      </c>
      <c r="N28" s="720"/>
      <c r="O28" s="24">
        <f t="shared" si="13"/>
        <v>1</v>
      </c>
      <c r="P28" s="720"/>
      <c r="Q28" s="24">
        <f t="shared" si="14"/>
        <v>1</v>
      </c>
      <c r="R28" s="716">
        <f t="shared" ca="1" si="15"/>
        <v>26957</v>
      </c>
      <c r="S28" s="361">
        <f t="shared" ca="1" si="6"/>
        <v>218</v>
      </c>
    </row>
    <row r="29" spans="1:45">
      <c r="A29" s="2764" t="str">
        <f>抵押物清单!E8</f>
        <v>北京恒大滨河左岸-二期-G15-106</v>
      </c>
      <c r="B29" s="2764">
        <f>抵押物清单!G8</f>
        <v>80.739999999999995</v>
      </c>
      <c r="C29" s="24">
        <f t="shared" si="7"/>
        <v>0.99</v>
      </c>
      <c r="D29" s="720"/>
      <c r="E29" s="24">
        <f t="shared" si="8"/>
        <v>1</v>
      </c>
      <c r="F29" s="2994" t="s">
        <v>4670</v>
      </c>
      <c r="G29" s="24">
        <f t="shared" si="9"/>
        <v>1</v>
      </c>
      <c r="H29" s="720"/>
      <c r="I29" s="24">
        <f t="shared" si="10"/>
        <v>1</v>
      </c>
      <c r="J29" s="720"/>
      <c r="K29" s="24">
        <f t="shared" si="11"/>
        <v>1</v>
      </c>
      <c r="L29" s="720"/>
      <c r="M29" s="24">
        <f t="shared" si="12"/>
        <v>1</v>
      </c>
      <c r="N29" s="720"/>
      <c r="O29" s="24">
        <f t="shared" si="13"/>
        <v>1</v>
      </c>
      <c r="P29" s="720"/>
      <c r="Q29" s="24">
        <f t="shared" si="14"/>
        <v>1</v>
      </c>
      <c r="R29" s="716">
        <f t="shared" ca="1" si="15"/>
        <v>26957</v>
      </c>
      <c r="S29" s="361">
        <f t="shared" ca="1" si="6"/>
        <v>218</v>
      </c>
    </row>
    <row r="30" spans="1:45">
      <c r="A30" s="2764" t="str">
        <f>抵押物清单!E9</f>
        <v>北京恒大滨河左岸-二期-G15-107</v>
      </c>
      <c r="B30" s="2764">
        <f>抵押物清单!G9</f>
        <v>80.75</v>
      </c>
      <c r="C30" s="24">
        <f t="shared" si="7"/>
        <v>0.99</v>
      </c>
      <c r="D30" s="720"/>
      <c r="E30" s="24">
        <f t="shared" si="8"/>
        <v>1</v>
      </c>
      <c r="F30" s="2994" t="s">
        <v>4670</v>
      </c>
      <c r="G30" s="24">
        <f t="shared" si="9"/>
        <v>1</v>
      </c>
      <c r="H30" s="720"/>
      <c r="I30" s="24">
        <f t="shared" si="10"/>
        <v>1</v>
      </c>
      <c r="J30" s="720"/>
      <c r="K30" s="24">
        <f t="shared" si="11"/>
        <v>1</v>
      </c>
      <c r="L30" s="720"/>
      <c r="M30" s="24">
        <f t="shared" si="12"/>
        <v>1</v>
      </c>
      <c r="N30" s="720"/>
      <c r="O30" s="24">
        <f t="shared" si="13"/>
        <v>1</v>
      </c>
      <c r="P30" s="720"/>
      <c r="Q30" s="24">
        <f t="shared" si="14"/>
        <v>1</v>
      </c>
      <c r="R30" s="716">
        <f t="shared" ca="1" si="15"/>
        <v>26957</v>
      </c>
      <c r="S30" s="361">
        <f t="shared" ca="1" si="6"/>
        <v>218</v>
      </c>
    </row>
    <row r="31" spans="1:45">
      <c r="A31" s="2764" t="str">
        <f>抵押物清单!E10</f>
        <v>北京恒大滨河左岸-二期-G15-108</v>
      </c>
      <c r="B31" s="2764">
        <f>抵押物清单!G10</f>
        <v>80.739999999999995</v>
      </c>
      <c r="C31" s="24">
        <f t="shared" si="7"/>
        <v>0.99</v>
      </c>
      <c r="D31" s="720"/>
      <c r="E31" s="24">
        <f t="shared" si="8"/>
        <v>1</v>
      </c>
      <c r="F31" s="2994" t="s">
        <v>4670</v>
      </c>
      <c r="G31" s="24">
        <f t="shared" si="9"/>
        <v>1</v>
      </c>
      <c r="H31" s="720"/>
      <c r="I31" s="24">
        <f t="shared" si="10"/>
        <v>1</v>
      </c>
      <c r="J31" s="720"/>
      <c r="K31" s="24">
        <f t="shared" si="11"/>
        <v>1</v>
      </c>
      <c r="L31" s="720"/>
      <c r="M31" s="24">
        <f t="shared" si="12"/>
        <v>1</v>
      </c>
      <c r="N31" s="720"/>
      <c r="O31" s="24">
        <f t="shared" si="13"/>
        <v>1</v>
      </c>
      <c r="P31" s="720"/>
      <c r="Q31" s="24">
        <f t="shared" si="14"/>
        <v>1</v>
      </c>
      <c r="R31" s="716">
        <f t="shared" ca="1" si="15"/>
        <v>26957</v>
      </c>
      <c r="S31" s="361">
        <f t="shared" ca="1" si="6"/>
        <v>218</v>
      </c>
    </row>
    <row r="32" spans="1:45">
      <c r="A32" s="2764" t="str">
        <f>抵押物清单!E11</f>
        <v>北京恒大滨河左岸-二期-G15-109</v>
      </c>
      <c r="B32" s="2764">
        <f>抵押物清单!G11</f>
        <v>80.75</v>
      </c>
      <c r="C32" s="24">
        <f t="shared" si="7"/>
        <v>0.99</v>
      </c>
      <c r="D32" s="720"/>
      <c r="E32" s="24">
        <f t="shared" si="8"/>
        <v>1</v>
      </c>
      <c r="F32" s="2994" t="s">
        <v>4670</v>
      </c>
      <c r="G32" s="24">
        <f t="shared" si="9"/>
        <v>1</v>
      </c>
      <c r="H32" s="720"/>
      <c r="I32" s="24">
        <f t="shared" si="10"/>
        <v>1</v>
      </c>
      <c r="J32" s="720"/>
      <c r="K32" s="24">
        <f t="shared" si="11"/>
        <v>1</v>
      </c>
      <c r="L32" s="720"/>
      <c r="M32" s="24">
        <f t="shared" si="12"/>
        <v>1</v>
      </c>
      <c r="N32" s="720"/>
      <c r="O32" s="24">
        <f t="shared" si="13"/>
        <v>1</v>
      </c>
      <c r="P32" s="720"/>
      <c r="Q32" s="24">
        <f t="shared" si="14"/>
        <v>1</v>
      </c>
      <c r="R32" s="716">
        <f t="shared" ca="1" si="15"/>
        <v>26957</v>
      </c>
      <c r="S32" s="361">
        <f t="shared" ca="1" si="6"/>
        <v>218</v>
      </c>
    </row>
    <row r="33" spans="1:19">
      <c r="A33" s="2764" t="str">
        <f>抵押物清单!E12</f>
        <v>北京恒大滨河左岸-二期-G15-110</v>
      </c>
      <c r="B33" s="2764">
        <f>抵押物清单!G12</f>
        <v>47.96</v>
      </c>
      <c r="C33" s="24">
        <f t="shared" si="7"/>
        <v>1</v>
      </c>
      <c r="D33" s="720"/>
      <c r="E33" s="24">
        <f t="shared" si="8"/>
        <v>1</v>
      </c>
      <c r="F33" s="2994" t="s">
        <v>4670</v>
      </c>
      <c r="G33" s="24">
        <f t="shared" si="9"/>
        <v>1</v>
      </c>
      <c r="H33" s="720"/>
      <c r="I33" s="24">
        <f t="shared" si="10"/>
        <v>1</v>
      </c>
      <c r="J33" s="720"/>
      <c r="K33" s="24">
        <f t="shared" si="11"/>
        <v>1</v>
      </c>
      <c r="L33" s="720"/>
      <c r="M33" s="24">
        <f t="shared" si="12"/>
        <v>1</v>
      </c>
      <c r="N33" s="720"/>
      <c r="O33" s="24">
        <f t="shared" si="13"/>
        <v>1</v>
      </c>
      <c r="P33" s="720"/>
      <c r="Q33" s="24">
        <f t="shared" si="14"/>
        <v>1</v>
      </c>
      <c r="R33" s="716">
        <f t="shared" ca="1" si="15"/>
        <v>27229</v>
      </c>
      <c r="S33" s="361">
        <f t="shared" ca="1" si="6"/>
        <v>131</v>
      </c>
    </row>
    <row r="34" spans="1:19">
      <c r="A34" s="2764" t="str">
        <f>抵押物清单!E13</f>
        <v>北京恒大滨河左岸-二期-G15-111</v>
      </c>
      <c r="B34" s="2764">
        <f>抵押物清单!G13</f>
        <v>42.5</v>
      </c>
      <c r="C34" s="24">
        <f t="shared" si="7"/>
        <v>1</v>
      </c>
      <c r="D34" s="720"/>
      <c r="E34" s="24">
        <f t="shared" si="8"/>
        <v>1</v>
      </c>
      <c r="F34" s="2994" t="s">
        <v>4670</v>
      </c>
      <c r="G34" s="24">
        <f t="shared" si="9"/>
        <v>1</v>
      </c>
      <c r="H34" s="720"/>
      <c r="I34" s="24">
        <f t="shared" si="10"/>
        <v>1</v>
      </c>
      <c r="J34" s="720"/>
      <c r="K34" s="24">
        <f t="shared" si="11"/>
        <v>1</v>
      </c>
      <c r="L34" s="720"/>
      <c r="M34" s="24">
        <f t="shared" si="12"/>
        <v>1</v>
      </c>
      <c r="N34" s="720"/>
      <c r="O34" s="24">
        <f t="shared" si="13"/>
        <v>1</v>
      </c>
      <c r="P34" s="720"/>
      <c r="Q34" s="24">
        <f t="shared" si="14"/>
        <v>1</v>
      </c>
      <c r="R34" s="716">
        <f t="shared" ca="1" si="15"/>
        <v>27229</v>
      </c>
      <c r="S34" s="361">
        <f t="shared" ca="1" si="6"/>
        <v>116</v>
      </c>
    </row>
    <row r="35" spans="1:19">
      <c r="A35" s="2764" t="str">
        <f>抵押物清单!E14</f>
        <v>北京恒大滨河左岸-二期-G15-112</v>
      </c>
      <c r="B35" s="2764">
        <f>抵押物清单!G14</f>
        <v>42.69</v>
      </c>
      <c r="C35" s="24">
        <f t="shared" si="7"/>
        <v>1</v>
      </c>
      <c r="D35" s="720"/>
      <c r="E35" s="24">
        <f t="shared" si="8"/>
        <v>1</v>
      </c>
      <c r="F35" s="2994" t="s">
        <v>4670</v>
      </c>
      <c r="G35" s="24">
        <f t="shared" si="9"/>
        <v>1</v>
      </c>
      <c r="H35" s="720"/>
      <c r="I35" s="24">
        <f t="shared" si="10"/>
        <v>1</v>
      </c>
      <c r="J35" s="720"/>
      <c r="K35" s="24">
        <f t="shared" si="11"/>
        <v>1</v>
      </c>
      <c r="L35" s="720"/>
      <c r="M35" s="24">
        <f t="shared" si="12"/>
        <v>1</v>
      </c>
      <c r="N35" s="720"/>
      <c r="O35" s="24">
        <f t="shared" si="13"/>
        <v>1</v>
      </c>
      <c r="P35" s="720"/>
      <c r="Q35" s="24">
        <f t="shared" si="14"/>
        <v>1</v>
      </c>
      <c r="R35" s="716">
        <f t="shared" ca="1" si="15"/>
        <v>27229</v>
      </c>
      <c r="S35" s="361">
        <f t="shared" ca="1" si="6"/>
        <v>116</v>
      </c>
    </row>
    <row r="36" spans="1:19">
      <c r="A36" s="2764" t="str">
        <f>抵押物清单!E15</f>
        <v>北京恒大滨河左岸-二期-G15-113</v>
      </c>
      <c r="B36" s="2764">
        <f>抵押物清单!G15</f>
        <v>42.69</v>
      </c>
      <c r="C36" s="24">
        <f t="shared" si="7"/>
        <v>1</v>
      </c>
      <c r="D36" s="720"/>
      <c r="E36" s="24">
        <f t="shared" si="8"/>
        <v>1</v>
      </c>
      <c r="F36" s="2994" t="s">
        <v>4670</v>
      </c>
      <c r="G36" s="24">
        <f t="shared" si="9"/>
        <v>1</v>
      </c>
      <c r="H36" s="720"/>
      <c r="I36" s="24">
        <f t="shared" si="10"/>
        <v>1</v>
      </c>
      <c r="J36" s="720"/>
      <c r="K36" s="24">
        <f t="shared" si="11"/>
        <v>1</v>
      </c>
      <c r="L36" s="720"/>
      <c r="M36" s="24">
        <f t="shared" si="12"/>
        <v>1</v>
      </c>
      <c r="N36" s="720"/>
      <c r="O36" s="24">
        <f t="shared" si="13"/>
        <v>1</v>
      </c>
      <c r="P36" s="720"/>
      <c r="Q36" s="24">
        <f t="shared" si="14"/>
        <v>1</v>
      </c>
      <c r="R36" s="716">
        <f t="shared" ca="1" si="15"/>
        <v>27229</v>
      </c>
      <c r="S36" s="361">
        <f t="shared" ca="1" si="6"/>
        <v>116</v>
      </c>
    </row>
    <row r="37" spans="1:19">
      <c r="A37" s="2764" t="str">
        <f>抵押物清单!E16</f>
        <v>北京恒大滨河左岸-二期-G15-114</v>
      </c>
      <c r="B37" s="2764">
        <f>抵押物清单!G16</f>
        <v>42.68</v>
      </c>
      <c r="C37" s="24">
        <f t="shared" si="7"/>
        <v>1</v>
      </c>
      <c r="D37" s="720"/>
      <c r="E37" s="24">
        <f t="shared" si="8"/>
        <v>1</v>
      </c>
      <c r="F37" s="2994" t="s">
        <v>4670</v>
      </c>
      <c r="G37" s="24">
        <f t="shared" si="9"/>
        <v>1</v>
      </c>
      <c r="H37" s="720"/>
      <c r="I37" s="24">
        <f t="shared" si="10"/>
        <v>1</v>
      </c>
      <c r="J37" s="720"/>
      <c r="K37" s="24">
        <f t="shared" si="11"/>
        <v>1</v>
      </c>
      <c r="L37" s="720"/>
      <c r="M37" s="24">
        <f t="shared" si="12"/>
        <v>1</v>
      </c>
      <c r="N37" s="720"/>
      <c r="O37" s="24">
        <f t="shared" si="13"/>
        <v>1</v>
      </c>
      <c r="P37" s="720"/>
      <c r="Q37" s="24">
        <f t="shared" si="14"/>
        <v>1</v>
      </c>
      <c r="R37" s="716">
        <f t="shared" ca="1" si="15"/>
        <v>27229</v>
      </c>
      <c r="S37" s="361">
        <f t="shared" ca="1" si="6"/>
        <v>116</v>
      </c>
    </row>
    <row r="38" spans="1:19">
      <c r="A38" s="2764" t="str">
        <f>抵押物清单!E17</f>
        <v>北京恒大滨河左岸-二期-G15-115</v>
      </c>
      <c r="B38" s="2764">
        <f>抵押物清单!G17</f>
        <v>42.68</v>
      </c>
      <c r="C38" s="24">
        <f t="shared" si="7"/>
        <v>1</v>
      </c>
      <c r="D38" s="720"/>
      <c r="E38" s="24">
        <f t="shared" si="8"/>
        <v>1</v>
      </c>
      <c r="F38" s="2994" t="s">
        <v>4670</v>
      </c>
      <c r="G38" s="24">
        <f t="shared" si="9"/>
        <v>1</v>
      </c>
      <c r="H38" s="720"/>
      <c r="I38" s="24">
        <f t="shared" si="10"/>
        <v>1</v>
      </c>
      <c r="J38" s="720"/>
      <c r="K38" s="24">
        <f t="shared" si="11"/>
        <v>1</v>
      </c>
      <c r="L38" s="720"/>
      <c r="M38" s="24">
        <f t="shared" si="12"/>
        <v>1</v>
      </c>
      <c r="N38" s="720"/>
      <c r="O38" s="24">
        <f t="shared" si="13"/>
        <v>1</v>
      </c>
      <c r="P38" s="720"/>
      <c r="Q38" s="24">
        <f t="shared" si="14"/>
        <v>1</v>
      </c>
      <c r="R38" s="716">
        <f t="shared" ca="1" si="15"/>
        <v>27229</v>
      </c>
      <c r="S38" s="361">
        <f t="shared" ca="1" si="6"/>
        <v>116</v>
      </c>
    </row>
    <row r="39" spans="1:19">
      <c r="A39" s="2764" t="str">
        <f>抵押物清单!E18</f>
        <v>北京恒大滨河左岸-二期-G15-116</v>
      </c>
      <c r="B39" s="2764">
        <f>抵押物清单!G18</f>
        <v>41.66</v>
      </c>
      <c r="C39" s="24">
        <f t="shared" si="7"/>
        <v>1</v>
      </c>
      <c r="D39" s="720"/>
      <c r="E39" s="24">
        <f t="shared" si="8"/>
        <v>1</v>
      </c>
      <c r="F39" s="2994" t="s">
        <v>4670</v>
      </c>
      <c r="G39" s="24">
        <f t="shared" si="9"/>
        <v>1</v>
      </c>
      <c r="H39" s="720"/>
      <c r="I39" s="24">
        <f t="shared" si="10"/>
        <v>1</v>
      </c>
      <c r="J39" s="720"/>
      <c r="K39" s="24">
        <f t="shared" si="11"/>
        <v>1</v>
      </c>
      <c r="L39" s="720"/>
      <c r="M39" s="24">
        <f t="shared" si="12"/>
        <v>1</v>
      </c>
      <c r="N39" s="720"/>
      <c r="O39" s="24">
        <f t="shared" si="13"/>
        <v>1</v>
      </c>
      <c r="P39" s="720"/>
      <c r="Q39" s="24">
        <f t="shared" si="14"/>
        <v>1</v>
      </c>
      <c r="R39" s="716">
        <f t="shared" ca="1" si="15"/>
        <v>27229</v>
      </c>
      <c r="S39" s="361">
        <f t="shared" ca="1" si="6"/>
        <v>113</v>
      </c>
    </row>
    <row r="40" spans="1:19">
      <c r="A40" s="2764" t="str">
        <f>抵押物清单!E19</f>
        <v>北京恒大滨河左岸-二期-G15-201</v>
      </c>
      <c r="B40" s="2764">
        <f>抵押物清单!G19</f>
        <v>47.96</v>
      </c>
      <c r="C40" s="24">
        <f t="shared" si="7"/>
        <v>1</v>
      </c>
      <c r="D40" s="720"/>
      <c r="E40" s="24">
        <f t="shared" si="8"/>
        <v>1</v>
      </c>
      <c r="F40" s="2994" t="s">
        <v>4670</v>
      </c>
      <c r="G40" s="24">
        <f t="shared" si="9"/>
        <v>1</v>
      </c>
      <c r="H40" s="720"/>
      <c r="I40" s="24">
        <f t="shared" si="10"/>
        <v>1</v>
      </c>
      <c r="J40" s="720"/>
      <c r="K40" s="24">
        <f t="shared" si="11"/>
        <v>1</v>
      </c>
      <c r="L40" s="720"/>
      <c r="M40" s="24">
        <f t="shared" si="12"/>
        <v>1</v>
      </c>
      <c r="N40" s="720"/>
      <c r="O40" s="24">
        <f t="shared" si="13"/>
        <v>1</v>
      </c>
      <c r="P40" s="720"/>
      <c r="Q40" s="24">
        <f t="shared" si="14"/>
        <v>1</v>
      </c>
      <c r="R40" s="716">
        <f t="shared" ca="1" si="15"/>
        <v>27229</v>
      </c>
      <c r="S40" s="361">
        <f t="shared" ca="1" si="6"/>
        <v>131</v>
      </c>
    </row>
    <row r="41" spans="1:19">
      <c r="A41" s="2764" t="str">
        <f>抵押物清单!E20</f>
        <v>北京恒大滨河左岸-二期-G15-202</v>
      </c>
      <c r="B41" s="2764">
        <f>抵押物清单!G20</f>
        <v>80.739999999999995</v>
      </c>
      <c r="C41" s="24">
        <f t="shared" si="7"/>
        <v>0.99</v>
      </c>
      <c r="D41" s="720"/>
      <c r="E41" s="24">
        <f t="shared" si="8"/>
        <v>1</v>
      </c>
      <c r="F41" s="2994" t="s">
        <v>4670</v>
      </c>
      <c r="G41" s="24">
        <f t="shared" si="9"/>
        <v>1</v>
      </c>
      <c r="H41" s="720"/>
      <c r="I41" s="24">
        <f t="shared" si="10"/>
        <v>1</v>
      </c>
      <c r="J41" s="720"/>
      <c r="K41" s="24">
        <f t="shared" si="11"/>
        <v>1</v>
      </c>
      <c r="L41" s="720"/>
      <c r="M41" s="24">
        <f t="shared" si="12"/>
        <v>1</v>
      </c>
      <c r="N41" s="720"/>
      <c r="O41" s="24">
        <f t="shared" si="13"/>
        <v>1</v>
      </c>
      <c r="P41" s="720"/>
      <c r="Q41" s="24">
        <f t="shared" si="14"/>
        <v>1</v>
      </c>
      <c r="R41" s="716">
        <f t="shared" ca="1" si="15"/>
        <v>26957</v>
      </c>
      <c r="S41" s="361">
        <f t="shared" ca="1" si="6"/>
        <v>218</v>
      </c>
    </row>
    <row r="42" spans="1:19">
      <c r="A42" s="2764" t="str">
        <f>抵押物清单!E21</f>
        <v>北京恒大滨河左岸-二期-G15-203</v>
      </c>
      <c r="B42" s="2764">
        <f>抵押物清单!G21</f>
        <v>80.75</v>
      </c>
      <c r="C42" s="24">
        <f t="shared" si="7"/>
        <v>0.99</v>
      </c>
      <c r="D42" s="720"/>
      <c r="E42" s="24">
        <f t="shared" si="8"/>
        <v>1</v>
      </c>
      <c r="F42" s="2994" t="s">
        <v>4670</v>
      </c>
      <c r="G42" s="24">
        <f t="shared" si="9"/>
        <v>1</v>
      </c>
      <c r="H42" s="720"/>
      <c r="I42" s="24">
        <f t="shared" si="10"/>
        <v>1</v>
      </c>
      <c r="J42" s="720"/>
      <c r="K42" s="24">
        <f t="shared" si="11"/>
        <v>1</v>
      </c>
      <c r="L42" s="720"/>
      <c r="M42" s="24">
        <f t="shared" si="12"/>
        <v>1</v>
      </c>
      <c r="N42" s="720"/>
      <c r="O42" s="24">
        <f t="shared" si="13"/>
        <v>1</v>
      </c>
      <c r="P42" s="720"/>
      <c r="Q42" s="24">
        <f t="shared" si="14"/>
        <v>1</v>
      </c>
      <c r="R42" s="716">
        <f t="shared" ca="1" si="15"/>
        <v>26957</v>
      </c>
      <c r="S42" s="361">
        <f t="shared" ca="1" si="6"/>
        <v>218</v>
      </c>
    </row>
    <row r="43" spans="1:19">
      <c r="A43" s="2764" t="str">
        <f>抵押物清单!E22</f>
        <v>北京恒大滨河左岸-二期-G15-204</v>
      </c>
      <c r="B43" s="2764">
        <f>抵押物清单!G22</f>
        <v>80.739999999999995</v>
      </c>
      <c r="C43" s="24">
        <f t="shared" si="7"/>
        <v>0.99</v>
      </c>
      <c r="D43" s="720"/>
      <c r="E43" s="24">
        <f t="shared" si="8"/>
        <v>1</v>
      </c>
      <c r="F43" s="2994" t="s">
        <v>4670</v>
      </c>
      <c r="G43" s="24">
        <f t="shared" si="9"/>
        <v>1</v>
      </c>
      <c r="H43" s="720"/>
      <c r="I43" s="24">
        <f t="shared" si="10"/>
        <v>1</v>
      </c>
      <c r="J43" s="720"/>
      <c r="K43" s="24">
        <f t="shared" si="11"/>
        <v>1</v>
      </c>
      <c r="L43" s="720"/>
      <c r="M43" s="24">
        <f t="shared" si="12"/>
        <v>1</v>
      </c>
      <c r="N43" s="720"/>
      <c r="O43" s="24">
        <f t="shared" si="13"/>
        <v>1</v>
      </c>
      <c r="P43" s="720"/>
      <c r="Q43" s="24">
        <f t="shared" si="14"/>
        <v>1</v>
      </c>
      <c r="R43" s="716">
        <f t="shared" ca="1" si="15"/>
        <v>26957</v>
      </c>
      <c r="S43" s="361">
        <f t="shared" ca="1" si="6"/>
        <v>218</v>
      </c>
    </row>
    <row r="44" spans="1:19">
      <c r="A44" s="2764" t="str">
        <f>抵押物清单!E23</f>
        <v>北京恒大滨河左岸-二期-G15-205</v>
      </c>
      <c r="B44" s="2764">
        <f>抵押物清单!G23</f>
        <v>80.75</v>
      </c>
      <c r="C44" s="24">
        <f t="shared" si="7"/>
        <v>0.99</v>
      </c>
      <c r="D44" s="720"/>
      <c r="E44" s="24">
        <f t="shared" si="8"/>
        <v>1</v>
      </c>
      <c r="F44" s="2994" t="s">
        <v>4670</v>
      </c>
      <c r="G44" s="24">
        <f t="shared" si="9"/>
        <v>1</v>
      </c>
      <c r="H44" s="720"/>
      <c r="I44" s="24">
        <f t="shared" si="10"/>
        <v>1</v>
      </c>
      <c r="J44" s="720"/>
      <c r="K44" s="24">
        <f t="shared" si="11"/>
        <v>1</v>
      </c>
      <c r="L44" s="720"/>
      <c r="M44" s="24">
        <f t="shared" si="12"/>
        <v>1</v>
      </c>
      <c r="N44" s="720"/>
      <c r="O44" s="24">
        <f t="shared" si="13"/>
        <v>1</v>
      </c>
      <c r="P44" s="720"/>
      <c r="Q44" s="24">
        <f t="shared" si="14"/>
        <v>1</v>
      </c>
      <c r="R44" s="716">
        <f t="shared" ca="1" si="15"/>
        <v>26957</v>
      </c>
      <c r="S44" s="361">
        <f t="shared" ca="1" si="6"/>
        <v>218</v>
      </c>
    </row>
    <row r="45" spans="1:19">
      <c r="A45" s="2764" t="str">
        <f>抵押物清单!E24</f>
        <v>北京恒大滨河左岸-二期-G15-206</v>
      </c>
      <c r="B45" s="2764">
        <f>抵押物清单!G24</f>
        <v>80.739999999999995</v>
      </c>
      <c r="C45" s="24">
        <f t="shared" si="7"/>
        <v>0.99</v>
      </c>
      <c r="D45" s="720"/>
      <c r="E45" s="24">
        <f t="shared" si="8"/>
        <v>1</v>
      </c>
      <c r="F45" s="2994" t="s">
        <v>4670</v>
      </c>
      <c r="G45" s="24">
        <f t="shared" si="9"/>
        <v>1</v>
      </c>
      <c r="H45" s="720"/>
      <c r="I45" s="24">
        <f t="shared" si="10"/>
        <v>1</v>
      </c>
      <c r="J45" s="720"/>
      <c r="K45" s="24">
        <f t="shared" si="11"/>
        <v>1</v>
      </c>
      <c r="L45" s="720"/>
      <c r="M45" s="24">
        <f t="shared" si="12"/>
        <v>1</v>
      </c>
      <c r="N45" s="720"/>
      <c r="O45" s="24">
        <f t="shared" si="13"/>
        <v>1</v>
      </c>
      <c r="P45" s="720"/>
      <c r="Q45" s="24">
        <f t="shared" si="14"/>
        <v>1</v>
      </c>
      <c r="R45" s="716">
        <f t="shared" ca="1" si="15"/>
        <v>26957</v>
      </c>
      <c r="S45" s="361">
        <f t="shared" ca="1" si="6"/>
        <v>218</v>
      </c>
    </row>
    <row r="46" spans="1:19">
      <c r="A46" s="2764" t="str">
        <f>抵押物清单!E25</f>
        <v>北京恒大滨河左岸-二期-G15-207</v>
      </c>
      <c r="B46" s="2764">
        <f>抵押物清单!G25</f>
        <v>80.75</v>
      </c>
      <c r="C46" s="24">
        <f t="shared" si="7"/>
        <v>0.99</v>
      </c>
      <c r="D46" s="720"/>
      <c r="E46" s="24">
        <f t="shared" si="8"/>
        <v>1</v>
      </c>
      <c r="F46" s="2994" t="s">
        <v>4670</v>
      </c>
      <c r="G46" s="24">
        <f t="shared" si="9"/>
        <v>1</v>
      </c>
      <c r="H46" s="720"/>
      <c r="I46" s="24">
        <f t="shared" si="10"/>
        <v>1</v>
      </c>
      <c r="J46" s="720"/>
      <c r="K46" s="24">
        <f t="shared" si="11"/>
        <v>1</v>
      </c>
      <c r="L46" s="720"/>
      <c r="M46" s="24">
        <f t="shared" si="12"/>
        <v>1</v>
      </c>
      <c r="N46" s="720"/>
      <c r="O46" s="24">
        <f t="shared" si="13"/>
        <v>1</v>
      </c>
      <c r="P46" s="720"/>
      <c r="Q46" s="24">
        <f t="shared" si="14"/>
        <v>1</v>
      </c>
      <c r="R46" s="716">
        <f t="shared" ca="1" si="15"/>
        <v>26957</v>
      </c>
      <c r="S46" s="361">
        <f t="shared" ca="1" si="6"/>
        <v>218</v>
      </c>
    </row>
    <row r="47" spans="1:19">
      <c r="A47" s="2764" t="str">
        <f>抵押物清单!E26</f>
        <v>北京恒大滨河左岸-二期-G15-208</v>
      </c>
      <c r="B47" s="2764">
        <f>抵押物清单!G26</f>
        <v>80.739999999999995</v>
      </c>
      <c r="C47" s="24">
        <f t="shared" si="7"/>
        <v>0.99</v>
      </c>
      <c r="D47" s="720"/>
      <c r="E47" s="24">
        <f t="shared" si="8"/>
        <v>1</v>
      </c>
      <c r="F47" s="2994" t="s">
        <v>4670</v>
      </c>
      <c r="G47" s="24">
        <f t="shared" si="9"/>
        <v>1</v>
      </c>
      <c r="H47" s="720"/>
      <c r="I47" s="24">
        <f t="shared" si="10"/>
        <v>1</v>
      </c>
      <c r="J47" s="720"/>
      <c r="K47" s="24">
        <f t="shared" si="11"/>
        <v>1</v>
      </c>
      <c r="L47" s="720"/>
      <c r="M47" s="24">
        <f t="shared" si="12"/>
        <v>1</v>
      </c>
      <c r="N47" s="720"/>
      <c r="O47" s="24">
        <f t="shared" si="13"/>
        <v>1</v>
      </c>
      <c r="P47" s="720"/>
      <c r="Q47" s="24">
        <f t="shared" si="14"/>
        <v>1</v>
      </c>
      <c r="R47" s="716">
        <f t="shared" ca="1" si="15"/>
        <v>26957</v>
      </c>
      <c r="S47" s="361">
        <f t="shared" ca="1" si="6"/>
        <v>218</v>
      </c>
    </row>
    <row r="48" spans="1:19">
      <c r="A48" s="2764" t="str">
        <f>抵押物清单!E27</f>
        <v>北京恒大滨河左岸-二期-G15-209</v>
      </c>
      <c r="B48" s="2764">
        <f>抵押物清单!G27</f>
        <v>80.75</v>
      </c>
      <c r="C48" s="24">
        <f t="shared" si="7"/>
        <v>0.99</v>
      </c>
      <c r="D48" s="720"/>
      <c r="E48" s="24">
        <f t="shared" si="8"/>
        <v>1</v>
      </c>
      <c r="F48" s="2994" t="s">
        <v>4670</v>
      </c>
      <c r="G48" s="24">
        <f t="shared" si="9"/>
        <v>1</v>
      </c>
      <c r="H48" s="720"/>
      <c r="I48" s="24">
        <f t="shared" si="10"/>
        <v>1</v>
      </c>
      <c r="J48" s="720"/>
      <c r="K48" s="24">
        <f t="shared" si="11"/>
        <v>1</v>
      </c>
      <c r="L48" s="720"/>
      <c r="M48" s="24">
        <f t="shared" si="12"/>
        <v>1</v>
      </c>
      <c r="N48" s="720"/>
      <c r="O48" s="24">
        <f t="shared" si="13"/>
        <v>1</v>
      </c>
      <c r="P48" s="720"/>
      <c r="Q48" s="24">
        <f t="shared" si="14"/>
        <v>1</v>
      </c>
      <c r="R48" s="716">
        <f t="shared" ca="1" si="15"/>
        <v>26957</v>
      </c>
      <c r="S48" s="361">
        <f t="shared" ca="1" si="6"/>
        <v>218</v>
      </c>
    </row>
    <row r="49" spans="1:19">
      <c r="A49" s="2764" t="str">
        <f>抵押物清单!E28</f>
        <v>北京恒大滨河左岸-二期-G15-210</v>
      </c>
      <c r="B49" s="2764">
        <f>抵押物清单!G28</f>
        <v>47.96</v>
      </c>
      <c r="C49" s="24">
        <f t="shared" si="7"/>
        <v>1</v>
      </c>
      <c r="D49" s="720"/>
      <c r="E49" s="24">
        <f t="shared" si="8"/>
        <v>1</v>
      </c>
      <c r="F49" s="2994" t="s">
        <v>4670</v>
      </c>
      <c r="G49" s="24">
        <f t="shared" si="9"/>
        <v>1</v>
      </c>
      <c r="H49" s="720"/>
      <c r="I49" s="24">
        <f t="shared" si="10"/>
        <v>1</v>
      </c>
      <c r="J49" s="720"/>
      <c r="K49" s="24">
        <f t="shared" si="11"/>
        <v>1</v>
      </c>
      <c r="L49" s="720"/>
      <c r="M49" s="24">
        <f t="shared" si="12"/>
        <v>1</v>
      </c>
      <c r="N49" s="720"/>
      <c r="O49" s="24">
        <f t="shared" si="13"/>
        <v>1</v>
      </c>
      <c r="P49" s="720"/>
      <c r="Q49" s="24">
        <f t="shared" si="14"/>
        <v>1</v>
      </c>
      <c r="R49" s="716">
        <f t="shared" ca="1" si="15"/>
        <v>27229</v>
      </c>
      <c r="S49" s="361">
        <f t="shared" ca="1" si="6"/>
        <v>131</v>
      </c>
    </row>
    <row r="50" spans="1:19">
      <c r="A50" s="2764" t="str">
        <f>抵押物清单!E29</f>
        <v>北京恒大滨河左岸-二期-G15-211</v>
      </c>
      <c r="B50" s="2764">
        <f>抵押物清单!G29</f>
        <v>32.93</v>
      </c>
      <c r="C50" s="24">
        <f t="shared" si="7"/>
        <v>1</v>
      </c>
      <c r="D50" s="720"/>
      <c r="E50" s="24">
        <f t="shared" si="8"/>
        <v>1</v>
      </c>
      <c r="F50" s="2994" t="s">
        <v>4670</v>
      </c>
      <c r="G50" s="24">
        <f t="shared" si="9"/>
        <v>1</v>
      </c>
      <c r="H50" s="720"/>
      <c r="I50" s="24">
        <f t="shared" si="10"/>
        <v>1</v>
      </c>
      <c r="J50" s="720"/>
      <c r="K50" s="24">
        <f t="shared" si="11"/>
        <v>1</v>
      </c>
      <c r="L50" s="720"/>
      <c r="M50" s="24">
        <f t="shared" si="12"/>
        <v>1</v>
      </c>
      <c r="N50" s="720"/>
      <c r="O50" s="24">
        <f t="shared" si="13"/>
        <v>1</v>
      </c>
      <c r="P50" s="720"/>
      <c r="Q50" s="24">
        <f t="shared" si="14"/>
        <v>1</v>
      </c>
      <c r="R50" s="716">
        <f t="shared" ca="1" si="15"/>
        <v>27229</v>
      </c>
      <c r="S50" s="361">
        <f t="shared" ca="1" si="6"/>
        <v>90</v>
      </c>
    </row>
    <row r="51" spans="1:19">
      <c r="A51" s="2764" t="str">
        <f>抵押物清单!E30</f>
        <v>北京恒大滨河左岸-二期-G15-212</v>
      </c>
      <c r="B51" s="2764">
        <f>抵押物清单!G30</f>
        <v>40.4</v>
      </c>
      <c r="C51" s="24">
        <f t="shared" si="7"/>
        <v>1</v>
      </c>
      <c r="D51" s="720"/>
      <c r="E51" s="24">
        <f t="shared" si="8"/>
        <v>1</v>
      </c>
      <c r="F51" s="2994" t="s">
        <v>4670</v>
      </c>
      <c r="G51" s="24">
        <f t="shared" si="9"/>
        <v>1</v>
      </c>
      <c r="H51" s="720"/>
      <c r="I51" s="24">
        <f t="shared" si="10"/>
        <v>1</v>
      </c>
      <c r="J51" s="720"/>
      <c r="K51" s="24">
        <f t="shared" si="11"/>
        <v>1</v>
      </c>
      <c r="L51" s="720"/>
      <c r="M51" s="24">
        <f t="shared" si="12"/>
        <v>1</v>
      </c>
      <c r="N51" s="720"/>
      <c r="O51" s="24">
        <f t="shared" si="13"/>
        <v>1</v>
      </c>
      <c r="P51" s="720"/>
      <c r="Q51" s="24">
        <f t="shared" si="14"/>
        <v>1</v>
      </c>
      <c r="R51" s="716">
        <f t="shared" ca="1" si="15"/>
        <v>27229</v>
      </c>
      <c r="S51" s="361">
        <f t="shared" ca="1" si="6"/>
        <v>110</v>
      </c>
    </row>
    <row r="52" spans="1:19">
      <c r="A52" s="2764" t="str">
        <f>抵押物清单!E31</f>
        <v>北京恒大滨河左岸-二期-G15-213</v>
      </c>
      <c r="B52" s="2764">
        <f>抵押物清单!G31</f>
        <v>65.89</v>
      </c>
      <c r="C52" s="24">
        <f t="shared" si="7"/>
        <v>0.99</v>
      </c>
      <c r="D52" s="720"/>
      <c r="E52" s="24">
        <f t="shared" si="8"/>
        <v>1</v>
      </c>
      <c r="F52" s="2994" t="s">
        <v>4670</v>
      </c>
      <c r="G52" s="24">
        <f t="shared" si="9"/>
        <v>1</v>
      </c>
      <c r="H52" s="720"/>
      <c r="I52" s="24">
        <f t="shared" si="10"/>
        <v>1</v>
      </c>
      <c r="J52" s="720"/>
      <c r="K52" s="24">
        <f t="shared" si="11"/>
        <v>1</v>
      </c>
      <c r="L52" s="720"/>
      <c r="M52" s="24">
        <f t="shared" si="12"/>
        <v>1</v>
      </c>
      <c r="N52" s="720"/>
      <c r="O52" s="24">
        <f t="shared" si="13"/>
        <v>1</v>
      </c>
      <c r="P52" s="720"/>
      <c r="Q52" s="24">
        <f t="shared" si="14"/>
        <v>1</v>
      </c>
      <c r="R52" s="716">
        <f t="shared" ca="1" si="15"/>
        <v>26957</v>
      </c>
      <c r="S52" s="361">
        <f t="shared" ca="1" si="6"/>
        <v>178</v>
      </c>
    </row>
    <row r="53" spans="1:19">
      <c r="A53" s="2764" t="str">
        <f>抵押物清单!E32</f>
        <v>北京恒大滨河左岸-二期-G15-214</v>
      </c>
      <c r="B53" s="2764">
        <f>抵押物清单!G32</f>
        <v>43.28</v>
      </c>
      <c r="C53" s="24">
        <f t="shared" si="7"/>
        <v>1</v>
      </c>
      <c r="D53" s="720"/>
      <c r="E53" s="24">
        <f t="shared" si="8"/>
        <v>1</v>
      </c>
      <c r="F53" s="2994" t="s">
        <v>4670</v>
      </c>
      <c r="G53" s="24">
        <f t="shared" si="9"/>
        <v>1</v>
      </c>
      <c r="H53" s="720"/>
      <c r="I53" s="24">
        <f t="shared" si="10"/>
        <v>1</v>
      </c>
      <c r="J53" s="720"/>
      <c r="K53" s="24">
        <f t="shared" si="11"/>
        <v>1</v>
      </c>
      <c r="L53" s="720"/>
      <c r="M53" s="24">
        <f t="shared" si="12"/>
        <v>1</v>
      </c>
      <c r="N53" s="720"/>
      <c r="O53" s="24">
        <f t="shared" si="13"/>
        <v>1</v>
      </c>
      <c r="P53" s="720"/>
      <c r="Q53" s="24">
        <f t="shared" si="14"/>
        <v>1</v>
      </c>
      <c r="R53" s="716">
        <f t="shared" ca="1" si="15"/>
        <v>27229</v>
      </c>
      <c r="S53" s="361">
        <f t="shared" ca="1" si="6"/>
        <v>118</v>
      </c>
    </row>
    <row r="54" spans="1:19">
      <c r="A54" s="2764" t="str">
        <f>抵押物清单!E33</f>
        <v>北京恒大滨河左岸-二期-G15-215</v>
      </c>
      <c r="B54" s="2764">
        <f>抵押物清单!G33</f>
        <v>43.46</v>
      </c>
      <c r="C54" s="24">
        <f t="shared" si="7"/>
        <v>1</v>
      </c>
      <c r="D54" s="720"/>
      <c r="E54" s="24">
        <f t="shared" si="8"/>
        <v>1</v>
      </c>
      <c r="F54" s="2994" t="s">
        <v>4670</v>
      </c>
      <c r="G54" s="24">
        <f t="shared" si="9"/>
        <v>1</v>
      </c>
      <c r="H54" s="720"/>
      <c r="I54" s="24">
        <f t="shared" si="10"/>
        <v>1</v>
      </c>
      <c r="J54" s="720"/>
      <c r="K54" s="24">
        <f t="shared" si="11"/>
        <v>1</v>
      </c>
      <c r="L54" s="720"/>
      <c r="M54" s="24">
        <f t="shared" si="12"/>
        <v>1</v>
      </c>
      <c r="N54" s="720"/>
      <c r="O54" s="24">
        <f t="shared" si="13"/>
        <v>1</v>
      </c>
      <c r="P54" s="720"/>
      <c r="Q54" s="24">
        <f t="shared" si="14"/>
        <v>1</v>
      </c>
      <c r="R54" s="716">
        <f t="shared" ca="1" si="15"/>
        <v>27229</v>
      </c>
      <c r="S54" s="361">
        <f t="shared" ca="1" si="6"/>
        <v>118</v>
      </c>
    </row>
    <row r="55" spans="1:19">
      <c r="A55" s="2764" t="str">
        <f>抵押物清单!E34</f>
        <v>北京恒大滨河左岸-二期-G15-216</v>
      </c>
      <c r="B55" s="2764">
        <f>抵押物清单!G34</f>
        <v>43.46</v>
      </c>
      <c r="C55" s="24">
        <f t="shared" si="7"/>
        <v>1</v>
      </c>
      <c r="D55" s="720"/>
      <c r="E55" s="24">
        <f t="shared" si="8"/>
        <v>1</v>
      </c>
      <c r="F55" s="2994" t="s">
        <v>4670</v>
      </c>
      <c r="G55" s="24">
        <f t="shared" si="9"/>
        <v>1</v>
      </c>
      <c r="H55" s="720"/>
      <c r="I55" s="24">
        <f t="shared" si="10"/>
        <v>1</v>
      </c>
      <c r="J55" s="720"/>
      <c r="K55" s="24">
        <f t="shared" si="11"/>
        <v>1</v>
      </c>
      <c r="L55" s="720"/>
      <c r="M55" s="24">
        <f t="shared" si="12"/>
        <v>1</v>
      </c>
      <c r="N55" s="720"/>
      <c r="O55" s="24">
        <f t="shared" si="13"/>
        <v>1</v>
      </c>
      <c r="P55" s="720"/>
      <c r="Q55" s="24">
        <f t="shared" si="14"/>
        <v>1</v>
      </c>
      <c r="R55" s="716">
        <f t="shared" ca="1" si="15"/>
        <v>27229</v>
      </c>
      <c r="S55" s="361">
        <f t="shared" ca="1" si="6"/>
        <v>118</v>
      </c>
    </row>
    <row r="56" spans="1:19">
      <c r="A56" s="2764" t="str">
        <f>抵押物清单!E35</f>
        <v>北京恒大滨河左岸-二期-G15-217</v>
      </c>
      <c r="B56" s="2764">
        <f>抵押物清单!G35</f>
        <v>43.47</v>
      </c>
      <c r="C56" s="24">
        <f t="shared" si="7"/>
        <v>1</v>
      </c>
      <c r="D56" s="720"/>
      <c r="E56" s="24">
        <f t="shared" si="8"/>
        <v>1</v>
      </c>
      <c r="F56" s="2994" t="s">
        <v>4670</v>
      </c>
      <c r="G56" s="24">
        <f t="shared" si="9"/>
        <v>1</v>
      </c>
      <c r="H56" s="720"/>
      <c r="I56" s="24">
        <f t="shared" si="10"/>
        <v>1</v>
      </c>
      <c r="J56" s="720"/>
      <c r="K56" s="24">
        <f t="shared" si="11"/>
        <v>1</v>
      </c>
      <c r="L56" s="720"/>
      <c r="M56" s="24">
        <f t="shared" si="12"/>
        <v>1</v>
      </c>
      <c r="N56" s="720"/>
      <c r="O56" s="24">
        <f t="shared" si="13"/>
        <v>1</v>
      </c>
      <c r="P56" s="720"/>
      <c r="Q56" s="24">
        <f t="shared" si="14"/>
        <v>1</v>
      </c>
      <c r="R56" s="716">
        <f t="shared" ca="1" si="15"/>
        <v>27229</v>
      </c>
      <c r="S56" s="361">
        <f t="shared" ca="1" si="6"/>
        <v>118</v>
      </c>
    </row>
    <row r="57" spans="1:19">
      <c r="A57" s="2764" t="str">
        <f>抵押物清单!E36</f>
        <v>北京恒大滨河左岸-二期-G15-218</v>
      </c>
      <c r="B57" s="2764">
        <f>抵押物清单!G36</f>
        <v>43.47</v>
      </c>
      <c r="C57" s="24">
        <f t="shared" si="7"/>
        <v>1</v>
      </c>
      <c r="D57" s="720"/>
      <c r="E57" s="24">
        <f t="shared" si="8"/>
        <v>1</v>
      </c>
      <c r="F57" s="2994" t="s">
        <v>4670</v>
      </c>
      <c r="G57" s="24">
        <f t="shared" si="9"/>
        <v>1</v>
      </c>
      <c r="H57" s="720"/>
      <c r="I57" s="24">
        <f t="shared" si="10"/>
        <v>1</v>
      </c>
      <c r="J57" s="720"/>
      <c r="K57" s="24">
        <f t="shared" si="11"/>
        <v>1</v>
      </c>
      <c r="L57" s="720"/>
      <c r="M57" s="24">
        <f t="shared" si="12"/>
        <v>1</v>
      </c>
      <c r="N57" s="720"/>
      <c r="O57" s="24">
        <f t="shared" si="13"/>
        <v>1</v>
      </c>
      <c r="P57" s="720"/>
      <c r="Q57" s="24">
        <f t="shared" si="14"/>
        <v>1</v>
      </c>
      <c r="R57" s="716">
        <f t="shared" ca="1" si="15"/>
        <v>27229</v>
      </c>
      <c r="S57" s="361">
        <f t="shared" ca="1" si="6"/>
        <v>118</v>
      </c>
    </row>
    <row r="58" spans="1:19">
      <c r="A58" s="2764" t="str">
        <f>抵押物清单!E37</f>
        <v>北京恒大滨河左岸-二期-G15-219</v>
      </c>
      <c r="B58" s="2764">
        <f>抵押物清单!G37</f>
        <v>43.26</v>
      </c>
      <c r="C58" s="24">
        <f t="shared" si="7"/>
        <v>1</v>
      </c>
      <c r="D58" s="720"/>
      <c r="E58" s="24">
        <f t="shared" si="8"/>
        <v>1</v>
      </c>
      <c r="F58" s="2994" t="s">
        <v>4670</v>
      </c>
      <c r="G58" s="24">
        <f t="shared" si="9"/>
        <v>1</v>
      </c>
      <c r="H58" s="720"/>
      <c r="I58" s="24">
        <f t="shared" si="10"/>
        <v>1</v>
      </c>
      <c r="J58" s="720"/>
      <c r="K58" s="24">
        <f t="shared" si="11"/>
        <v>1</v>
      </c>
      <c r="L58" s="720"/>
      <c r="M58" s="24">
        <f t="shared" si="12"/>
        <v>1</v>
      </c>
      <c r="N58" s="720"/>
      <c r="O58" s="24">
        <f t="shared" si="13"/>
        <v>1</v>
      </c>
      <c r="P58" s="720"/>
      <c r="Q58" s="24">
        <f t="shared" si="14"/>
        <v>1</v>
      </c>
      <c r="R58" s="716">
        <f t="shared" ca="1" si="15"/>
        <v>27229</v>
      </c>
      <c r="S58" s="361">
        <f t="shared" ca="1" si="6"/>
        <v>118</v>
      </c>
    </row>
    <row r="59" spans="1:19">
      <c r="A59" s="2764" t="str">
        <f>抵押物清单!E38</f>
        <v>北京恒大滨河左岸-二期-G15-221</v>
      </c>
      <c r="B59" s="2764">
        <f>抵押物清单!G38</f>
        <v>47.75</v>
      </c>
      <c r="C59" s="24">
        <f t="shared" si="7"/>
        <v>1</v>
      </c>
      <c r="D59" s="720"/>
      <c r="E59" s="24">
        <f t="shared" si="8"/>
        <v>1</v>
      </c>
      <c r="F59" s="2994" t="s">
        <v>4670</v>
      </c>
      <c r="G59" s="24">
        <f t="shared" si="9"/>
        <v>1</v>
      </c>
      <c r="H59" s="720"/>
      <c r="I59" s="24">
        <f t="shared" si="10"/>
        <v>1</v>
      </c>
      <c r="J59" s="720"/>
      <c r="K59" s="24">
        <f t="shared" si="11"/>
        <v>1</v>
      </c>
      <c r="L59" s="720"/>
      <c r="M59" s="24">
        <f t="shared" si="12"/>
        <v>1</v>
      </c>
      <c r="N59" s="720"/>
      <c r="O59" s="24">
        <f t="shared" si="13"/>
        <v>1</v>
      </c>
      <c r="P59" s="720"/>
      <c r="Q59" s="24">
        <f t="shared" si="14"/>
        <v>1</v>
      </c>
      <c r="R59" s="716">
        <f t="shared" ca="1" si="15"/>
        <v>27229</v>
      </c>
      <c r="S59" s="361">
        <f t="shared" ca="1" si="6"/>
        <v>130</v>
      </c>
    </row>
    <row r="60" spans="1:19">
      <c r="A60" s="2764" t="str">
        <f>抵押物清单!E39</f>
        <v>北京恒大滨河左岸-二期-G15-301</v>
      </c>
      <c r="B60" s="2764">
        <f>抵押物清单!G39</f>
        <v>47.96</v>
      </c>
      <c r="C60" s="24">
        <f t="shared" si="7"/>
        <v>1</v>
      </c>
      <c r="D60" s="720"/>
      <c r="E60" s="24">
        <f t="shared" si="8"/>
        <v>1</v>
      </c>
      <c r="F60" s="2994" t="s">
        <v>4670</v>
      </c>
      <c r="G60" s="24">
        <f t="shared" si="9"/>
        <v>1</v>
      </c>
      <c r="H60" s="720"/>
      <c r="I60" s="24">
        <f t="shared" si="10"/>
        <v>1</v>
      </c>
      <c r="J60" s="720"/>
      <c r="K60" s="24">
        <f t="shared" si="11"/>
        <v>1</v>
      </c>
      <c r="L60" s="720"/>
      <c r="M60" s="24">
        <f t="shared" si="12"/>
        <v>1</v>
      </c>
      <c r="N60" s="720"/>
      <c r="O60" s="24">
        <f t="shared" si="13"/>
        <v>1</v>
      </c>
      <c r="P60" s="720"/>
      <c r="Q60" s="24">
        <f t="shared" si="14"/>
        <v>1</v>
      </c>
      <c r="R60" s="716">
        <f t="shared" ca="1" si="15"/>
        <v>27229</v>
      </c>
      <c r="S60" s="361">
        <f t="shared" ca="1" si="6"/>
        <v>131</v>
      </c>
    </row>
    <row r="61" spans="1:19">
      <c r="A61" s="2764" t="str">
        <f>抵押物清单!E40</f>
        <v>北京恒大滨河左岸-二期-G15-302</v>
      </c>
      <c r="B61" s="2764">
        <f>抵押物清单!G40</f>
        <v>81.56</v>
      </c>
      <c r="C61" s="24">
        <f t="shared" si="7"/>
        <v>0.99</v>
      </c>
      <c r="D61" s="720"/>
      <c r="E61" s="24">
        <f t="shared" si="8"/>
        <v>1</v>
      </c>
      <c r="F61" s="2994" t="s">
        <v>4670</v>
      </c>
      <c r="G61" s="24">
        <f t="shared" si="9"/>
        <v>1</v>
      </c>
      <c r="H61" s="720"/>
      <c r="I61" s="24">
        <f t="shared" si="10"/>
        <v>1</v>
      </c>
      <c r="J61" s="720"/>
      <c r="K61" s="24">
        <f t="shared" si="11"/>
        <v>1</v>
      </c>
      <c r="L61" s="720"/>
      <c r="M61" s="24">
        <f t="shared" si="12"/>
        <v>1</v>
      </c>
      <c r="N61" s="720"/>
      <c r="O61" s="24">
        <f t="shared" si="13"/>
        <v>1</v>
      </c>
      <c r="P61" s="720"/>
      <c r="Q61" s="24">
        <f t="shared" si="14"/>
        <v>1</v>
      </c>
      <c r="R61" s="716">
        <f t="shared" ca="1" si="15"/>
        <v>26957</v>
      </c>
      <c r="S61" s="361">
        <f t="shared" ca="1" si="6"/>
        <v>220</v>
      </c>
    </row>
    <row r="62" spans="1:19">
      <c r="A62" s="2764" t="str">
        <f>抵押物清单!E41</f>
        <v>北京恒大滨河左岸-二期-G15-303</v>
      </c>
      <c r="B62" s="2764">
        <f>抵押物清单!G41</f>
        <v>81.569999999999993</v>
      </c>
      <c r="C62" s="24">
        <f t="shared" si="7"/>
        <v>0.99</v>
      </c>
      <c r="D62" s="720"/>
      <c r="E62" s="24">
        <f t="shared" si="8"/>
        <v>1</v>
      </c>
      <c r="F62" s="2994" t="s">
        <v>4670</v>
      </c>
      <c r="G62" s="24">
        <f t="shared" si="9"/>
        <v>1</v>
      </c>
      <c r="H62" s="720"/>
      <c r="I62" s="24">
        <f t="shared" si="10"/>
        <v>1</v>
      </c>
      <c r="J62" s="720"/>
      <c r="K62" s="24">
        <f t="shared" si="11"/>
        <v>1</v>
      </c>
      <c r="L62" s="720"/>
      <c r="M62" s="24">
        <f t="shared" si="12"/>
        <v>1</v>
      </c>
      <c r="N62" s="720"/>
      <c r="O62" s="24">
        <f t="shared" si="13"/>
        <v>1</v>
      </c>
      <c r="P62" s="720"/>
      <c r="Q62" s="24">
        <f t="shared" si="14"/>
        <v>1</v>
      </c>
      <c r="R62" s="716">
        <f t="shared" ca="1" si="15"/>
        <v>26957</v>
      </c>
      <c r="S62" s="361">
        <f t="shared" ca="1" si="6"/>
        <v>220</v>
      </c>
    </row>
    <row r="63" spans="1:19">
      <c r="A63" s="2764" t="str">
        <f>抵押物清单!E42</f>
        <v>北京恒大滨河左岸-二期-G15-304</v>
      </c>
      <c r="B63" s="2764">
        <f>抵押物清单!G42</f>
        <v>81.56</v>
      </c>
      <c r="C63" s="24">
        <f t="shared" si="7"/>
        <v>0.99</v>
      </c>
      <c r="D63" s="720"/>
      <c r="E63" s="24">
        <f t="shared" si="8"/>
        <v>1</v>
      </c>
      <c r="F63" s="2994" t="s">
        <v>4670</v>
      </c>
      <c r="G63" s="24">
        <f t="shared" si="9"/>
        <v>1</v>
      </c>
      <c r="H63" s="720"/>
      <c r="I63" s="24">
        <f t="shared" si="10"/>
        <v>1</v>
      </c>
      <c r="J63" s="720"/>
      <c r="K63" s="24">
        <f t="shared" si="11"/>
        <v>1</v>
      </c>
      <c r="L63" s="720"/>
      <c r="M63" s="24">
        <f t="shared" si="12"/>
        <v>1</v>
      </c>
      <c r="N63" s="720"/>
      <c r="O63" s="24">
        <f t="shared" si="13"/>
        <v>1</v>
      </c>
      <c r="P63" s="720"/>
      <c r="Q63" s="24">
        <f t="shared" si="14"/>
        <v>1</v>
      </c>
      <c r="R63" s="716">
        <f t="shared" ca="1" si="15"/>
        <v>26957</v>
      </c>
      <c r="S63" s="361">
        <f t="shared" ca="1" si="6"/>
        <v>220</v>
      </c>
    </row>
    <row r="64" spans="1:19">
      <c r="A64" s="2764" t="str">
        <f>抵押物清单!E43</f>
        <v>北京恒大滨河左岸-二期-G15-305</v>
      </c>
      <c r="B64" s="2764">
        <f>抵押物清单!G43</f>
        <v>81.569999999999993</v>
      </c>
      <c r="C64" s="24">
        <f t="shared" si="7"/>
        <v>0.99</v>
      </c>
      <c r="D64" s="720"/>
      <c r="E64" s="24">
        <f t="shared" si="8"/>
        <v>1</v>
      </c>
      <c r="F64" s="2994" t="s">
        <v>4670</v>
      </c>
      <c r="G64" s="24">
        <f t="shared" si="9"/>
        <v>1</v>
      </c>
      <c r="H64" s="720"/>
      <c r="I64" s="24">
        <f t="shared" si="10"/>
        <v>1</v>
      </c>
      <c r="J64" s="720"/>
      <c r="K64" s="24">
        <f t="shared" si="11"/>
        <v>1</v>
      </c>
      <c r="L64" s="720"/>
      <c r="M64" s="24">
        <f t="shared" si="12"/>
        <v>1</v>
      </c>
      <c r="N64" s="720"/>
      <c r="O64" s="24">
        <f t="shared" si="13"/>
        <v>1</v>
      </c>
      <c r="P64" s="720"/>
      <c r="Q64" s="24">
        <f t="shared" si="14"/>
        <v>1</v>
      </c>
      <c r="R64" s="716">
        <f t="shared" ca="1" si="15"/>
        <v>26957</v>
      </c>
      <c r="S64" s="361">
        <f t="shared" ca="1" si="6"/>
        <v>220</v>
      </c>
    </row>
    <row r="65" spans="1:19">
      <c r="A65" s="2764" t="str">
        <f>抵押物清单!E44</f>
        <v>北京恒大滨河左岸-二期-G15-306</v>
      </c>
      <c r="B65" s="2764">
        <f>抵押物清单!G44</f>
        <v>81.56</v>
      </c>
      <c r="C65" s="24">
        <f t="shared" si="7"/>
        <v>0.99</v>
      </c>
      <c r="D65" s="720"/>
      <c r="E65" s="24">
        <f t="shared" si="8"/>
        <v>1</v>
      </c>
      <c r="F65" s="2994" t="s">
        <v>4670</v>
      </c>
      <c r="G65" s="24">
        <f t="shared" si="9"/>
        <v>1</v>
      </c>
      <c r="H65" s="720"/>
      <c r="I65" s="24">
        <f t="shared" si="10"/>
        <v>1</v>
      </c>
      <c r="J65" s="720"/>
      <c r="K65" s="24">
        <f t="shared" si="11"/>
        <v>1</v>
      </c>
      <c r="L65" s="720"/>
      <c r="M65" s="24">
        <f t="shared" si="12"/>
        <v>1</v>
      </c>
      <c r="N65" s="720"/>
      <c r="O65" s="24">
        <f t="shared" si="13"/>
        <v>1</v>
      </c>
      <c r="P65" s="720"/>
      <c r="Q65" s="24">
        <f t="shared" si="14"/>
        <v>1</v>
      </c>
      <c r="R65" s="716">
        <f t="shared" ca="1" si="15"/>
        <v>26957</v>
      </c>
      <c r="S65" s="361">
        <f t="shared" ca="1" si="6"/>
        <v>220</v>
      </c>
    </row>
    <row r="66" spans="1:19">
      <c r="A66" s="2764" t="str">
        <f>抵押物清单!E45</f>
        <v>北京恒大滨河左岸-二期-G15-307</v>
      </c>
      <c r="B66" s="2764">
        <f>抵押物清单!G45</f>
        <v>81.569999999999993</v>
      </c>
      <c r="C66" s="24">
        <f t="shared" si="7"/>
        <v>0.99</v>
      </c>
      <c r="D66" s="720"/>
      <c r="E66" s="24">
        <f t="shared" si="8"/>
        <v>1</v>
      </c>
      <c r="F66" s="2994" t="s">
        <v>4670</v>
      </c>
      <c r="G66" s="24">
        <f t="shared" si="9"/>
        <v>1</v>
      </c>
      <c r="H66" s="720"/>
      <c r="I66" s="24">
        <f t="shared" si="10"/>
        <v>1</v>
      </c>
      <c r="J66" s="720"/>
      <c r="K66" s="24">
        <f t="shared" si="11"/>
        <v>1</v>
      </c>
      <c r="L66" s="720"/>
      <c r="M66" s="24">
        <f t="shared" si="12"/>
        <v>1</v>
      </c>
      <c r="N66" s="720"/>
      <c r="O66" s="24">
        <f t="shared" si="13"/>
        <v>1</v>
      </c>
      <c r="P66" s="720"/>
      <c r="Q66" s="24">
        <f t="shared" si="14"/>
        <v>1</v>
      </c>
      <c r="R66" s="716">
        <f t="shared" ca="1" si="15"/>
        <v>26957</v>
      </c>
      <c r="S66" s="361">
        <f t="shared" ca="1" si="6"/>
        <v>220</v>
      </c>
    </row>
    <row r="67" spans="1:19">
      <c r="A67" s="2764" t="str">
        <f>抵押物清单!E46</f>
        <v>北京恒大滨河左岸-二期-G15-308</v>
      </c>
      <c r="B67" s="2764">
        <f>抵押物清单!G46</f>
        <v>81.56</v>
      </c>
      <c r="C67" s="24">
        <f t="shared" si="7"/>
        <v>0.99</v>
      </c>
      <c r="D67" s="720"/>
      <c r="E67" s="24">
        <f t="shared" si="8"/>
        <v>1</v>
      </c>
      <c r="F67" s="2994" t="s">
        <v>4670</v>
      </c>
      <c r="G67" s="24">
        <f t="shared" si="9"/>
        <v>1</v>
      </c>
      <c r="H67" s="720"/>
      <c r="I67" s="24">
        <f t="shared" si="10"/>
        <v>1</v>
      </c>
      <c r="J67" s="720"/>
      <c r="K67" s="24">
        <f t="shared" si="11"/>
        <v>1</v>
      </c>
      <c r="L67" s="720"/>
      <c r="M67" s="24">
        <f t="shared" si="12"/>
        <v>1</v>
      </c>
      <c r="N67" s="720"/>
      <c r="O67" s="24">
        <f t="shared" si="13"/>
        <v>1</v>
      </c>
      <c r="P67" s="720"/>
      <c r="Q67" s="24">
        <f t="shared" si="14"/>
        <v>1</v>
      </c>
      <c r="R67" s="716">
        <f t="shared" ca="1" si="15"/>
        <v>26957</v>
      </c>
      <c r="S67" s="361">
        <f t="shared" ca="1" si="6"/>
        <v>220</v>
      </c>
    </row>
    <row r="68" spans="1:19">
      <c r="A68" s="2764" t="str">
        <f>抵押物清单!E47</f>
        <v>北京恒大滨河左岸-二期-G15-309</v>
      </c>
      <c r="B68" s="2764">
        <f>抵押物清单!G47</f>
        <v>81.569999999999993</v>
      </c>
      <c r="C68" s="24">
        <f t="shared" si="7"/>
        <v>0.99</v>
      </c>
      <c r="D68" s="720"/>
      <c r="E68" s="24">
        <f t="shared" si="8"/>
        <v>1</v>
      </c>
      <c r="F68" s="2994" t="s">
        <v>4670</v>
      </c>
      <c r="G68" s="24">
        <f t="shared" si="9"/>
        <v>1</v>
      </c>
      <c r="H68" s="720"/>
      <c r="I68" s="24">
        <f t="shared" si="10"/>
        <v>1</v>
      </c>
      <c r="J68" s="720"/>
      <c r="K68" s="24">
        <f t="shared" si="11"/>
        <v>1</v>
      </c>
      <c r="L68" s="720"/>
      <c r="M68" s="24">
        <f t="shared" si="12"/>
        <v>1</v>
      </c>
      <c r="N68" s="720"/>
      <c r="O68" s="24">
        <f t="shared" si="13"/>
        <v>1</v>
      </c>
      <c r="P68" s="720"/>
      <c r="Q68" s="24">
        <f t="shared" si="14"/>
        <v>1</v>
      </c>
      <c r="R68" s="716">
        <f t="shared" ca="1" si="15"/>
        <v>26957</v>
      </c>
      <c r="S68" s="361">
        <f t="shared" ca="1" si="6"/>
        <v>220</v>
      </c>
    </row>
    <row r="69" spans="1:19">
      <c r="A69" s="2764" t="str">
        <f>抵押物清单!E48</f>
        <v>北京恒大滨河左岸-二期-G15-310</v>
      </c>
      <c r="B69" s="2764">
        <f>抵押物清单!G48</f>
        <v>47.96</v>
      </c>
      <c r="C69" s="24">
        <f t="shared" si="7"/>
        <v>1</v>
      </c>
      <c r="D69" s="720"/>
      <c r="E69" s="24">
        <f t="shared" si="8"/>
        <v>1</v>
      </c>
      <c r="F69" s="2994" t="s">
        <v>4670</v>
      </c>
      <c r="G69" s="24">
        <f t="shared" si="9"/>
        <v>1</v>
      </c>
      <c r="H69" s="720"/>
      <c r="I69" s="24">
        <f t="shared" si="10"/>
        <v>1</v>
      </c>
      <c r="J69" s="720"/>
      <c r="K69" s="24">
        <f t="shared" si="11"/>
        <v>1</v>
      </c>
      <c r="L69" s="720"/>
      <c r="M69" s="24">
        <f t="shared" si="12"/>
        <v>1</v>
      </c>
      <c r="N69" s="720"/>
      <c r="O69" s="24">
        <f t="shared" si="13"/>
        <v>1</v>
      </c>
      <c r="P69" s="720"/>
      <c r="Q69" s="24">
        <f t="shared" si="14"/>
        <v>1</v>
      </c>
      <c r="R69" s="716">
        <f t="shared" ca="1" si="15"/>
        <v>27229</v>
      </c>
      <c r="S69" s="361">
        <f t="shared" ca="1" si="6"/>
        <v>131</v>
      </c>
    </row>
    <row r="70" spans="1:19">
      <c r="A70" s="2764" t="str">
        <f>抵押物清单!E49</f>
        <v>北京恒大滨河左岸-二期-G15-311</v>
      </c>
      <c r="B70" s="2764">
        <f>抵押物清单!G49</f>
        <v>32.93</v>
      </c>
      <c r="C70" s="24">
        <f t="shared" si="7"/>
        <v>1</v>
      </c>
      <c r="D70" s="720"/>
      <c r="E70" s="24">
        <f t="shared" si="8"/>
        <v>1</v>
      </c>
      <c r="F70" s="2994" t="s">
        <v>4670</v>
      </c>
      <c r="G70" s="24">
        <f t="shared" si="9"/>
        <v>1</v>
      </c>
      <c r="H70" s="720"/>
      <c r="I70" s="24">
        <f t="shared" si="10"/>
        <v>1</v>
      </c>
      <c r="J70" s="720"/>
      <c r="K70" s="24">
        <f t="shared" si="11"/>
        <v>1</v>
      </c>
      <c r="L70" s="720"/>
      <c r="M70" s="24">
        <f t="shared" si="12"/>
        <v>1</v>
      </c>
      <c r="N70" s="720"/>
      <c r="O70" s="24">
        <f t="shared" si="13"/>
        <v>1</v>
      </c>
      <c r="P70" s="720"/>
      <c r="Q70" s="24">
        <f t="shared" si="14"/>
        <v>1</v>
      </c>
      <c r="R70" s="716">
        <f t="shared" ca="1" si="15"/>
        <v>27229</v>
      </c>
      <c r="S70" s="361">
        <f t="shared" ca="1" si="6"/>
        <v>90</v>
      </c>
    </row>
    <row r="71" spans="1:19">
      <c r="A71" s="2764" t="str">
        <f>抵押物清单!E50</f>
        <v>北京恒大滨河左岸-二期-G15-312</v>
      </c>
      <c r="B71" s="2764">
        <f>抵押物清单!G50</f>
        <v>40.21</v>
      </c>
      <c r="C71" s="24">
        <f t="shared" si="7"/>
        <v>1</v>
      </c>
      <c r="D71" s="720"/>
      <c r="E71" s="24">
        <f t="shared" si="8"/>
        <v>1</v>
      </c>
      <c r="F71" s="2994" t="s">
        <v>4670</v>
      </c>
      <c r="G71" s="24">
        <f t="shared" si="9"/>
        <v>1</v>
      </c>
      <c r="H71" s="720"/>
      <c r="I71" s="24">
        <f t="shared" si="10"/>
        <v>1</v>
      </c>
      <c r="J71" s="720"/>
      <c r="K71" s="24">
        <f t="shared" si="11"/>
        <v>1</v>
      </c>
      <c r="L71" s="720"/>
      <c r="M71" s="24">
        <f t="shared" si="12"/>
        <v>1</v>
      </c>
      <c r="N71" s="720"/>
      <c r="O71" s="24">
        <f t="shared" si="13"/>
        <v>1</v>
      </c>
      <c r="P71" s="720"/>
      <c r="Q71" s="24">
        <f t="shared" si="14"/>
        <v>1</v>
      </c>
      <c r="R71" s="716">
        <f t="shared" ca="1" si="15"/>
        <v>27229</v>
      </c>
      <c r="S71" s="361">
        <f t="shared" ca="1" si="6"/>
        <v>109</v>
      </c>
    </row>
    <row r="72" spans="1:19">
      <c r="A72" s="2764" t="str">
        <f>抵押物清单!E51</f>
        <v>北京恒大滨河左岸-二期-G15-313</v>
      </c>
      <c r="B72" s="2764">
        <f>抵押物清单!G51</f>
        <v>65.89</v>
      </c>
      <c r="C72" s="24">
        <f t="shared" si="7"/>
        <v>0.99</v>
      </c>
      <c r="D72" s="720"/>
      <c r="E72" s="24">
        <f t="shared" si="8"/>
        <v>1</v>
      </c>
      <c r="F72" s="2994" t="s">
        <v>4670</v>
      </c>
      <c r="G72" s="24">
        <f t="shared" si="9"/>
        <v>1</v>
      </c>
      <c r="H72" s="720"/>
      <c r="I72" s="24">
        <f t="shared" si="10"/>
        <v>1</v>
      </c>
      <c r="J72" s="720"/>
      <c r="K72" s="24">
        <f t="shared" si="11"/>
        <v>1</v>
      </c>
      <c r="L72" s="720"/>
      <c r="M72" s="24">
        <f t="shared" si="12"/>
        <v>1</v>
      </c>
      <c r="N72" s="720"/>
      <c r="O72" s="24">
        <f t="shared" si="13"/>
        <v>1</v>
      </c>
      <c r="P72" s="720"/>
      <c r="Q72" s="24">
        <f t="shared" si="14"/>
        <v>1</v>
      </c>
      <c r="R72" s="716">
        <f t="shared" ca="1" si="15"/>
        <v>26957</v>
      </c>
      <c r="S72" s="361">
        <f t="shared" ca="1" si="6"/>
        <v>178</v>
      </c>
    </row>
    <row r="73" spans="1:19">
      <c r="A73" s="2764" t="str">
        <f>抵押物清单!E52</f>
        <v>北京恒大滨河左岸-二期-G15-314</v>
      </c>
      <c r="B73" s="2764">
        <f>抵押物清单!G52</f>
        <v>43.47</v>
      </c>
      <c r="C73" s="24">
        <f t="shared" si="7"/>
        <v>1</v>
      </c>
      <c r="D73" s="720"/>
      <c r="E73" s="24">
        <f t="shared" si="8"/>
        <v>1</v>
      </c>
      <c r="F73" s="2994" t="s">
        <v>4670</v>
      </c>
      <c r="G73" s="24">
        <f t="shared" si="9"/>
        <v>1</v>
      </c>
      <c r="H73" s="720"/>
      <c r="I73" s="24">
        <f t="shared" si="10"/>
        <v>1</v>
      </c>
      <c r="J73" s="720"/>
      <c r="K73" s="24">
        <f t="shared" si="11"/>
        <v>1</v>
      </c>
      <c r="L73" s="720"/>
      <c r="M73" s="24">
        <f t="shared" si="12"/>
        <v>1</v>
      </c>
      <c r="N73" s="720"/>
      <c r="O73" s="24">
        <f t="shared" si="13"/>
        <v>1</v>
      </c>
      <c r="P73" s="720"/>
      <c r="Q73" s="24">
        <f t="shared" si="14"/>
        <v>1</v>
      </c>
      <c r="R73" s="716">
        <f t="shared" ca="1" si="15"/>
        <v>27229</v>
      </c>
      <c r="S73" s="361">
        <f t="shared" ca="1" si="6"/>
        <v>118</v>
      </c>
    </row>
    <row r="74" spans="1:19">
      <c r="A74" s="2764" t="str">
        <f>抵押物清单!E53</f>
        <v>北京恒大滨河左岸-二期-G15-315</v>
      </c>
      <c r="B74" s="2764">
        <f>抵押物清单!G53</f>
        <v>43.46</v>
      </c>
      <c r="C74" s="24">
        <f t="shared" si="7"/>
        <v>1</v>
      </c>
      <c r="D74" s="720"/>
      <c r="E74" s="24">
        <f t="shared" si="8"/>
        <v>1</v>
      </c>
      <c r="F74" s="2994" t="s">
        <v>4670</v>
      </c>
      <c r="G74" s="24">
        <f t="shared" si="9"/>
        <v>1</v>
      </c>
      <c r="H74" s="720"/>
      <c r="I74" s="24">
        <f t="shared" si="10"/>
        <v>1</v>
      </c>
      <c r="J74" s="720"/>
      <c r="K74" s="24">
        <f t="shared" si="11"/>
        <v>1</v>
      </c>
      <c r="L74" s="720"/>
      <c r="M74" s="24">
        <f t="shared" si="12"/>
        <v>1</v>
      </c>
      <c r="N74" s="720"/>
      <c r="O74" s="24">
        <f t="shared" si="13"/>
        <v>1</v>
      </c>
      <c r="P74" s="720"/>
      <c r="Q74" s="24">
        <f t="shared" si="14"/>
        <v>1</v>
      </c>
      <c r="R74" s="716">
        <f t="shared" ca="1" si="15"/>
        <v>27229</v>
      </c>
      <c r="S74" s="361">
        <f t="shared" ca="1" si="6"/>
        <v>118</v>
      </c>
    </row>
    <row r="75" spans="1:19">
      <c r="A75" s="2764" t="str">
        <f>抵押物清单!E54</f>
        <v>北京恒大滨河左岸-二期-G15-316</v>
      </c>
      <c r="B75" s="2764">
        <f>抵押物清单!G54</f>
        <v>43.46</v>
      </c>
      <c r="C75" s="24">
        <f t="shared" si="7"/>
        <v>1</v>
      </c>
      <c r="D75" s="720"/>
      <c r="E75" s="24">
        <f t="shared" si="8"/>
        <v>1</v>
      </c>
      <c r="F75" s="2994" t="s">
        <v>4670</v>
      </c>
      <c r="G75" s="24">
        <f t="shared" si="9"/>
        <v>1</v>
      </c>
      <c r="H75" s="720"/>
      <c r="I75" s="24">
        <f t="shared" si="10"/>
        <v>1</v>
      </c>
      <c r="J75" s="720"/>
      <c r="K75" s="24">
        <f t="shared" si="11"/>
        <v>1</v>
      </c>
      <c r="L75" s="720"/>
      <c r="M75" s="24">
        <f t="shared" si="12"/>
        <v>1</v>
      </c>
      <c r="N75" s="720"/>
      <c r="O75" s="24">
        <f t="shared" si="13"/>
        <v>1</v>
      </c>
      <c r="P75" s="720"/>
      <c r="Q75" s="24">
        <f t="shared" si="14"/>
        <v>1</v>
      </c>
      <c r="R75" s="716">
        <f t="shared" ca="1" si="15"/>
        <v>27229</v>
      </c>
      <c r="S75" s="361">
        <f t="shared" ca="1" si="6"/>
        <v>118</v>
      </c>
    </row>
    <row r="76" spans="1:19">
      <c r="A76" s="2764" t="str">
        <f>抵押物清单!E55</f>
        <v>北京恒大滨河左岸-二期-G15-317</v>
      </c>
      <c r="B76" s="2764">
        <f>抵押物清单!G55</f>
        <v>43.47</v>
      </c>
      <c r="C76" s="24">
        <f t="shared" si="7"/>
        <v>1</v>
      </c>
      <c r="D76" s="720"/>
      <c r="E76" s="24">
        <f t="shared" si="8"/>
        <v>1</v>
      </c>
      <c r="F76" s="2994" t="s">
        <v>4670</v>
      </c>
      <c r="G76" s="24">
        <f t="shared" si="9"/>
        <v>1</v>
      </c>
      <c r="H76" s="720"/>
      <c r="I76" s="24">
        <f t="shared" si="10"/>
        <v>1</v>
      </c>
      <c r="J76" s="720"/>
      <c r="K76" s="24">
        <f t="shared" si="11"/>
        <v>1</v>
      </c>
      <c r="L76" s="720"/>
      <c r="M76" s="24">
        <f t="shared" si="12"/>
        <v>1</v>
      </c>
      <c r="N76" s="720"/>
      <c r="O76" s="24">
        <f t="shared" si="13"/>
        <v>1</v>
      </c>
      <c r="P76" s="720"/>
      <c r="Q76" s="24">
        <f t="shared" si="14"/>
        <v>1</v>
      </c>
      <c r="R76" s="716">
        <f t="shared" ca="1" si="15"/>
        <v>27229</v>
      </c>
      <c r="S76" s="361">
        <f t="shared" ca="1" si="6"/>
        <v>118</v>
      </c>
    </row>
    <row r="77" spans="1:19">
      <c r="A77" s="2764" t="str">
        <f>抵押物清单!E56</f>
        <v>北京恒大滨河左岸-二期-G15-318</v>
      </c>
      <c r="B77" s="2764">
        <f>抵押物清单!G56</f>
        <v>43.47</v>
      </c>
      <c r="C77" s="24">
        <f t="shared" si="7"/>
        <v>1</v>
      </c>
      <c r="D77" s="720"/>
      <c r="E77" s="24">
        <f t="shared" si="8"/>
        <v>1</v>
      </c>
      <c r="F77" s="2994" t="s">
        <v>4670</v>
      </c>
      <c r="G77" s="24">
        <f t="shared" si="9"/>
        <v>1</v>
      </c>
      <c r="H77" s="720"/>
      <c r="I77" s="24">
        <f t="shared" si="10"/>
        <v>1</v>
      </c>
      <c r="J77" s="720"/>
      <c r="K77" s="24">
        <f t="shared" si="11"/>
        <v>1</v>
      </c>
      <c r="L77" s="720"/>
      <c r="M77" s="24">
        <f t="shared" si="12"/>
        <v>1</v>
      </c>
      <c r="N77" s="720"/>
      <c r="O77" s="24">
        <f t="shared" si="13"/>
        <v>1</v>
      </c>
      <c r="P77" s="720"/>
      <c r="Q77" s="24">
        <f t="shared" si="14"/>
        <v>1</v>
      </c>
      <c r="R77" s="716">
        <f t="shared" ca="1" si="15"/>
        <v>27229</v>
      </c>
      <c r="S77" s="361">
        <f t="shared" ca="1" si="6"/>
        <v>118</v>
      </c>
    </row>
    <row r="78" spans="1:19">
      <c r="A78" s="2764" t="str">
        <f>抵押物清单!E57</f>
        <v>北京恒大滨河左岸-二期-G15-319</v>
      </c>
      <c r="B78" s="2764">
        <f>抵押物清单!G57</f>
        <v>43.47</v>
      </c>
      <c r="C78" s="24">
        <f t="shared" si="7"/>
        <v>1</v>
      </c>
      <c r="D78" s="720"/>
      <c r="E78" s="24">
        <f t="shared" si="8"/>
        <v>1</v>
      </c>
      <c r="F78" s="2994" t="s">
        <v>4670</v>
      </c>
      <c r="G78" s="24">
        <f t="shared" si="9"/>
        <v>1</v>
      </c>
      <c r="H78" s="720"/>
      <c r="I78" s="24">
        <f t="shared" si="10"/>
        <v>1</v>
      </c>
      <c r="J78" s="720"/>
      <c r="K78" s="24">
        <f t="shared" si="11"/>
        <v>1</v>
      </c>
      <c r="L78" s="720"/>
      <c r="M78" s="24">
        <f t="shared" si="12"/>
        <v>1</v>
      </c>
      <c r="N78" s="720"/>
      <c r="O78" s="24">
        <f t="shared" si="13"/>
        <v>1</v>
      </c>
      <c r="P78" s="720"/>
      <c r="Q78" s="24">
        <f t="shared" si="14"/>
        <v>1</v>
      </c>
      <c r="R78" s="716">
        <f t="shared" ca="1" si="15"/>
        <v>27229</v>
      </c>
      <c r="S78" s="361">
        <f t="shared" ca="1" si="6"/>
        <v>118</v>
      </c>
    </row>
    <row r="79" spans="1:19">
      <c r="A79" s="2764" t="str">
        <f>抵押物清单!E58</f>
        <v>北京恒大滨河左岸-二期-G15-321</v>
      </c>
      <c r="B79" s="2764">
        <f>抵押物清单!G58</f>
        <v>47.27</v>
      </c>
      <c r="C79" s="24">
        <f t="shared" si="7"/>
        <v>1</v>
      </c>
      <c r="D79" s="720"/>
      <c r="E79" s="24">
        <f t="shared" si="8"/>
        <v>1</v>
      </c>
      <c r="F79" s="2994" t="s">
        <v>4670</v>
      </c>
      <c r="G79" s="24">
        <f t="shared" si="9"/>
        <v>1</v>
      </c>
      <c r="H79" s="720"/>
      <c r="I79" s="24">
        <f t="shared" si="10"/>
        <v>1</v>
      </c>
      <c r="J79" s="720"/>
      <c r="K79" s="24">
        <f t="shared" si="11"/>
        <v>1</v>
      </c>
      <c r="L79" s="720"/>
      <c r="M79" s="24">
        <f t="shared" si="12"/>
        <v>1</v>
      </c>
      <c r="N79" s="720"/>
      <c r="O79" s="24">
        <f t="shared" si="13"/>
        <v>1</v>
      </c>
      <c r="P79" s="720"/>
      <c r="Q79" s="24">
        <f t="shared" si="14"/>
        <v>1</v>
      </c>
      <c r="R79" s="716">
        <f t="shared" ca="1" si="15"/>
        <v>27229</v>
      </c>
      <c r="S79" s="361">
        <f t="shared" ca="1" si="6"/>
        <v>129</v>
      </c>
    </row>
    <row r="80" spans="1:19">
      <c r="A80" s="2764" t="str">
        <f>抵押物清单!E59</f>
        <v>北京恒大滨河左岸-二期-G15-401</v>
      </c>
      <c r="B80" s="2764">
        <f>抵押物清单!G59</f>
        <v>47.96</v>
      </c>
      <c r="C80" s="24">
        <f t="shared" si="7"/>
        <v>1</v>
      </c>
      <c r="D80" s="720"/>
      <c r="E80" s="24">
        <f t="shared" si="8"/>
        <v>1</v>
      </c>
      <c r="F80" s="2994" t="s">
        <v>4670</v>
      </c>
      <c r="G80" s="24">
        <f t="shared" si="9"/>
        <v>1</v>
      </c>
      <c r="H80" s="720"/>
      <c r="I80" s="24">
        <f t="shared" si="10"/>
        <v>1</v>
      </c>
      <c r="J80" s="720"/>
      <c r="K80" s="24">
        <f t="shared" si="11"/>
        <v>1</v>
      </c>
      <c r="L80" s="720"/>
      <c r="M80" s="24">
        <f t="shared" si="12"/>
        <v>1</v>
      </c>
      <c r="N80" s="720"/>
      <c r="O80" s="24">
        <f t="shared" si="13"/>
        <v>1</v>
      </c>
      <c r="P80" s="720"/>
      <c r="Q80" s="24">
        <f t="shared" si="14"/>
        <v>1</v>
      </c>
      <c r="R80" s="716">
        <f t="shared" ca="1" si="15"/>
        <v>27229</v>
      </c>
      <c r="S80" s="361">
        <f t="shared" ca="1" si="6"/>
        <v>131</v>
      </c>
    </row>
    <row r="81" spans="1:19">
      <c r="A81" s="2764" t="str">
        <f>抵押物清单!E60</f>
        <v>北京恒大滨河左岸-二期-G15-402</v>
      </c>
      <c r="B81" s="2764">
        <f>抵押物清单!G60</f>
        <v>81.56</v>
      </c>
      <c r="C81" s="24">
        <f t="shared" si="7"/>
        <v>0.99</v>
      </c>
      <c r="D81" s="720"/>
      <c r="E81" s="24">
        <f t="shared" si="8"/>
        <v>1</v>
      </c>
      <c r="F81" s="2994" t="s">
        <v>4670</v>
      </c>
      <c r="G81" s="24">
        <f t="shared" si="9"/>
        <v>1</v>
      </c>
      <c r="H81" s="720"/>
      <c r="I81" s="24">
        <f t="shared" si="10"/>
        <v>1</v>
      </c>
      <c r="J81" s="720"/>
      <c r="K81" s="24">
        <f t="shared" si="11"/>
        <v>1</v>
      </c>
      <c r="L81" s="720"/>
      <c r="M81" s="24">
        <f t="shared" si="12"/>
        <v>1</v>
      </c>
      <c r="N81" s="720"/>
      <c r="O81" s="24">
        <f t="shared" si="13"/>
        <v>1</v>
      </c>
      <c r="P81" s="720"/>
      <c r="Q81" s="24">
        <f t="shared" si="14"/>
        <v>1</v>
      </c>
      <c r="R81" s="716">
        <f t="shared" ca="1" si="15"/>
        <v>26957</v>
      </c>
      <c r="S81" s="361">
        <f t="shared" ca="1" si="6"/>
        <v>220</v>
      </c>
    </row>
    <row r="82" spans="1:19">
      <c r="A82" s="2764" t="str">
        <f>抵押物清单!E61</f>
        <v>北京恒大滨河左岸-二期-G15-403</v>
      </c>
      <c r="B82" s="2764">
        <f>抵押物清单!G61</f>
        <v>81.569999999999993</v>
      </c>
      <c r="C82" s="24">
        <f t="shared" si="7"/>
        <v>0.99</v>
      </c>
      <c r="D82" s="720"/>
      <c r="E82" s="24">
        <f t="shared" si="8"/>
        <v>1</v>
      </c>
      <c r="F82" s="2994" t="s">
        <v>4670</v>
      </c>
      <c r="G82" s="24">
        <f t="shared" si="9"/>
        <v>1</v>
      </c>
      <c r="H82" s="720"/>
      <c r="I82" s="24">
        <f t="shared" si="10"/>
        <v>1</v>
      </c>
      <c r="J82" s="720"/>
      <c r="K82" s="24">
        <f t="shared" si="11"/>
        <v>1</v>
      </c>
      <c r="L82" s="720"/>
      <c r="M82" s="24">
        <f t="shared" si="12"/>
        <v>1</v>
      </c>
      <c r="N82" s="720"/>
      <c r="O82" s="24">
        <f t="shared" si="13"/>
        <v>1</v>
      </c>
      <c r="P82" s="720"/>
      <c r="Q82" s="24">
        <f t="shared" si="14"/>
        <v>1</v>
      </c>
      <c r="R82" s="716">
        <f t="shared" ca="1" si="15"/>
        <v>26957</v>
      </c>
      <c r="S82" s="361">
        <f t="shared" ca="1" si="6"/>
        <v>220</v>
      </c>
    </row>
    <row r="83" spans="1:19">
      <c r="A83" s="2764" t="str">
        <f>抵押物清单!E62</f>
        <v>北京恒大滨河左岸-二期-G15-404</v>
      </c>
      <c r="B83" s="2764">
        <f>抵押物清单!G62</f>
        <v>81.56</v>
      </c>
      <c r="C83" s="24">
        <f t="shared" si="7"/>
        <v>0.99</v>
      </c>
      <c r="D83" s="720"/>
      <c r="E83" s="24">
        <f t="shared" si="8"/>
        <v>1</v>
      </c>
      <c r="F83" s="2994" t="s">
        <v>4670</v>
      </c>
      <c r="G83" s="24">
        <f t="shared" si="9"/>
        <v>1</v>
      </c>
      <c r="H83" s="720"/>
      <c r="I83" s="24">
        <f t="shared" si="10"/>
        <v>1</v>
      </c>
      <c r="J83" s="720"/>
      <c r="K83" s="24">
        <f t="shared" si="11"/>
        <v>1</v>
      </c>
      <c r="L83" s="720"/>
      <c r="M83" s="24">
        <f t="shared" si="12"/>
        <v>1</v>
      </c>
      <c r="N83" s="720"/>
      <c r="O83" s="24">
        <f t="shared" si="13"/>
        <v>1</v>
      </c>
      <c r="P83" s="720"/>
      <c r="Q83" s="24">
        <f t="shared" si="14"/>
        <v>1</v>
      </c>
      <c r="R83" s="716">
        <f t="shared" ca="1" si="15"/>
        <v>26957</v>
      </c>
      <c r="S83" s="361">
        <f t="shared" ca="1" si="6"/>
        <v>220</v>
      </c>
    </row>
    <row r="84" spans="1:19">
      <c r="A84" s="2764" t="str">
        <f>抵押物清单!E63</f>
        <v>北京恒大滨河左岸-二期-G15-405</v>
      </c>
      <c r="B84" s="2764">
        <f>抵押物清单!G63</f>
        <v>81.569999999999993</v>
      </c>
      <c r="C84" s="24">
        <f t="shared" si="7"/>
        <v>0.99</v>
      </c>
      <c r="D84" s="720"/>
      <c r="E84" s="24">
        <f t="shared" si="8"/>
        <v>1</v>
      </c>
      <c r="F84" s="2994" t="s">
        <v>4670</v>
      </c>
      <c r="G84" s="24">
        <f t="shared" si="9"/>
        <v>1</v>
      </c>
      <c r="H84" s="720"/>
      <c r="I84" s="24">
        <f t="shared" si="10"/>
        <v>1</v>
      </c>
      <c r="J84" s="720"/>
      <c r="K84" s="24">
        <f t="shared" si="11"/>
        <v>1</v>
      </c>
      <c r="L84" s="720"/>
      <c r="M84" s="24">
        <f t="shared" si="12"/>
        <v>1</v>
      </c>
      <c r="N84" s="720"/>
      <c r="O84" s="24">
        <f t="shared" si="13"/>
        <v>1</v>
      </c>
      <c r="P84" s="720"/>
      <c r="Q84" s="24">
        <f t="shared" si="14"/>
        <v>1</v>
      </c>
      <c r="R84" s="716">
        <f t="shared" ca="1" si="15"/>
        <v>26957</v>
      </c>
      <c r="S84" s="361">
        <f t="shared" ca="1" si="6"/>
        <v>220</v>
      </c>
    </row>
    <row r="85" spans="1:19">
      <c r="A85" s="2764" t="str">
        <f>抵押物清单!E64</f>
        <v>北京恒大滨河左岸-二期-G15-406</v>
      </c>
      <c r="B85" s="2764">
        <f>抵押物清单!G64</f>
        <v>81.56</v>
      </c>
      <c r="C85" s="24">
        <f t="shared" si="7"/>
        <v>0.99</v>
      </c>
      <c r="D85" s="720"/>
      <c r="E85" s="24">
        <f t="shared" si="8"/>
        <v>1</v>
      </c>
      <c r="F85" s="2994" t="s">
        <v>4670</v>
      </c>
      <c r="G85" s="24">
        <f t="shared" si="9"/>
        <v>1</v>
      </c>
      <c r="H85" s="720"/>
      <c r="I85" s="24">
        <f t="shared" si="10"/>
        <v>1</v>
      </c>
      <c r="J85" s="720"/>
      <c r="K85" s="24">
        <f t="shared" si="11"/>
        <v>1</v>
      </c>
      <c r="L85" s="720"/>
      <c r="M85" s="24">
        <f t="shared" si="12"/>
        <v>1</v>
      </c>
      <c r="N85" s="720"/>
      <c r="O85" s="24">
        <f t="shared" si="13"/>
        <v>1</v>
      </c>
      <c r="P85" s="720"/>
      <c r="Q85" s="24">
        <f t="shared" si="14"/>
        <v>1</v>
      </c>
      <c r="R85" s="716">
        <f t="shared" ca="1" si="15"/>
        <v>26957</v>
      </c>
      <c r="S85" s="361">
        <f t="shared" ca="1" si="6"/>
        <v>220</v>
      </c>
    </row>
    <row r="86" spans="1:19">
      <c r="A86" s="2764" t="str">
        <f>抵押物清单!E65</f>
        <v>北京恒大滨河左岸-二期-G15-407</v>
      </c>
      <c r="B86" s="2764">
        <f>抵押物清单!G65</f>
        <v>81.569999999999993</v>
      </c>
      <c r="C86" s="24">
        <f t="shared" si="7"/>
        <v>0.99</v>
      </c>
      <c r="D86" s="720"/>
      <c r="E86" s="24">
        <f t="shared" si="8"/>
        <v>1</v>
      </c>
      <c r="F86" s="2994" t="s">
        <v>4670</v>
      </c>
      <c r="G86" s="24">
        <f t="shared" si="9"/>
        <v>1</v>
      </c>
      <c r="H86" s="720"/>
      <c r="I86" s="24">
        <f t="shared" si="10"/>
        <v>1</v>
      </c>
      <c r="J86" s="720"/>
      <c r="K86" s="24">
        <f t="shared" si="11"/>
        <v>1</v>
      </c>
      <c r="L86" s="720"/>
      <c r="M86" s="24">
        <f t="shared" si="12"/>
        <v>1</v>
      </c>
      <c r="N86" s="720"/>
      <c r="O86" s="24">
        <f t="shared" si="13"/>
        <v>1</v>
      </c>
      <c r="P86" s="720"/>
      <c r="Q86" s="24">
        <f t="shared" si="14"/>
        <v>1</v>
      </c>
      <c r="R86" s="716">
        <f t="shared" ca="1" si="15"/>
        <v>26957</v>
      </c>
      <c r="S86" s="361">
        <f t="shared" ca="1" si="6"/>
        <v>220</v>
      </c>
    </row>
    <row r="87" spans="1:19">
      <c r="A87" s="2764" t="str">
        <f>抵押物清单!E66</f>
        <v>北京恒大滨河左岸-二期-G15-408</v>
      </c>
      <c r="B87" s="2764">
        <f>抵押物清单!G66</f>
        <v>81.56</v>
      </c>
      <c r="C87" s="24">
        <f t="shared" si="7"/>
        <v>0.99</v>
      </c>
      <c r="D87" s="720"/>
      <c r="E87" s="24">
        <f t="shared" si="8"/>
        <v>1</v>
      </c>
      <c r="F87" s="2994" t="s">
        <v>4670</v>
      </c>
      <c r="G87" s="24">
        <f t="shared" si="9"/>
        <v>1</v>
      </c>
      <c r="H87" s="720"/>
      <c r="I87" s="24">
        <f t="shared" si="10"/>
        <v>1</v>
      </c>
      <c r="J87" s="720"/>
      <c r="K87" s="24">
        <f t="shared" si="11"/>
        <v>1</v>
      </c>
      <c r="L87" s="720"/>
      <c r="M87" s="24">
        <f t="shared" si="12"/>
        <v>1</v>
      </c>
      <c r="N87" s="720"/>
      <c r="O87" s="24">
        <f t="shared" si="13"/>
        <v>1</v>
      </c>
      <c r="P87" s="720"/>
      <c r="Q87" s="24">
        <f t="shared" si="14"/>
        <v>1</v>
      </c>
      <c r="R87" s="716">
        <f t="shared" ca="1" si="15"/>
        <v>26957</v>
      </c>
      <c r="S87" s="361">
        <f t="shared" ca="1" si="6"/>
        <v>220</v>
      </c>
    </row>
    <row r="88" spans="1:19">
      <c r="A88" s="2764" t="str">
        <f>抵押物清单!E67</f>
        <v>北京恒大滨河左岸-二期-G15-409</v>
      </c>
      <c r="B88" s="2764">
        <f>抵押物清单!G67</f>
        <v>81.569999999999993</v>
      </c>
      <c r="C88" s="24">
        <f t="shared" si="7"/>
        <v>0.99</v>
      </c>
      <c r="D88" s="720"/>
      <c r="E88" s="24">
        <f t="shared" si="8"/>
        <v>1</v>
      </c>
      <c r="F88" s="2994" t="s">
        <v>4670</v>
      </c>
      <c r="G88" s="24">
        <f t="shared" si="9"/>
        <v>1</v>
      </c>
      <c r="H88" s="720"/>
      <c r="I88" s="24">
        <f t="shared" si="10"/>
        <v>1</v>
      </c>
      <c r="J88" s="720"/>
      <c r="K88" s="24">
        <f t="shared" si="11"/>
        <v>1</v>
      </c>
      <c r="L88" s="720"/>
      <c r="M88" s="24">
        <f t="shared" si="12"/>
        <v>1</v>
      </c>
      <c r="N88" s="720"/>
      <c r="O88" s="24">
        <f t="shared" si="13"/>
        <v>1</v>
      </c>
      <c r="P88" s="720"/>
      <c r="Q88" s="24">
        <f t="shared" si="14"/>
        <v>1</v>
      </c>
      <c r="R88" s="716">
        <f t="shared" ca="1" si="15"/>
        <v>26957</v>
      </c>
      <c r="S88" s="361">
        <f t="shared" ref="S88:S151" ca="1" si="16">ROUND(R88*B88/10000,0)</f>
        <v>220</v>
      </c>
    </row>
    <row r="89" spans="1:19">
      <c r="A89" s="2764" t="str">
        <f>抵押物清单!E68</f>
        <v>北京恒大滨河左岸-二期-G15-410</v>
      </c>
      <c r="B89" s="2764">
        <f>抵押物清单!G68</f>
        <v>47.96</v>
      </c>
      <c r="C89" s="24">
        <f t="shared" si="7"/>
        <v>1</v>
      </c>
      <c r="D89" s="720"/>
      <c r="E89" s="24">
        <f t="shared" si="8"/>
        <v>1</v>
      </c>
      <c r="F89" s="2994" t="s">
        <v>4670</v>
      </c>
      <c r="G89" s="24">
        <f t="shared" si="9"/>
        <v>1</v>
      </c>
      <c r="H89" s="720"/>
      <c r="I89" s="24">
        <f t="shared" si="10"/>
        <v>1</v>
      </c>
      <c r="J89" s="720"/>
      <c r="K89" s="24">
        <f t="shared" si="11"/>
        <v>1</v>
      </c>
      <c r="L89" s="720"/>
      <c r="M89" s="24">
        <f t="shared" si="12"/>
        <v>1</v>
      </c>
      <c r="N89" s="720"/>
      <c r="O89" s="24">
        <f t="shared" si="13"/>
        <v>1</v>
      </c>
      <c r="P89" s="720"/>
      <c r="Q89" s="24">
        <f t="shared" si="14"/>
        <v>1</v>
      </c>
      <c r="R89" s="716">
        <f t="shared" ca="1" si="15"/>
        <v>27229</v>
      </c>
      <c r="S89" s="361">
        <f t="shared" ca="1" si="16"/>
        <v>131</v>
      </c>
    </row>
    <row r="90" spans="1:19">
      <c r="A90" s="2764" t="str">
        <f>抵押物清单!E69</f>
        <v>北京恒大滨河左岸-二期-G15-411</v>
      </c>
      <c r="B90" s="2764">
        <f>抵押物清单!G69</f>
        <v>32.93</v>
      </c>
      <c r="C90" s="24">
        <f t="shared" ref="C90:C153" si="17">IF(B90="",1,(LOOKUP(B90,$3:$3,$4:$4)-LOOKUP($B$24,$3:$3,$4:$4)+100)/100)</f>
        <v>1</v>
      </c>
      <c r="D90" s="720"/>
      <c r="E90" s="24">
        <f t="shared" ref="E90:E153" si="18">(SUMIF($5:$5,D90,$6:$6)-SUMIF($5:$5,$D$24,$6:$6)+100)/100</f>
        <v>1</v>
      </c>
      <c r="F90" s="2994" t="s">
        <v>4670</v>
      </c>
      <c r="G90" s="24">
        <f t="shared" ref="G90:G153" si="19">(SUMIF($7:$7,F90,$8:$8)-SUMIF($7:$7,$F$24,$8:$8)+100)/100</f>
        <v>1</v>
      </c>
      <c r="H90" s="720"/>
      <c r="I90" s="24">
        <f t="shared" ref="I90:I153" si="20">(SUMIF($9:$9,H90,$10:$10)-SUMIF($9:$9,$H$24,$10:$10)+100)/100</f>
        <v>1</v>
      </c>
      <c r="J90" s="720"/>
      <c r="K90" s="24">
        <f t="shared" ref="K90:K153" si="21">(SUMIF($11:$11,J90,$12:$12)-SUMIF($11:$11,$J$24,$12:$12)+100)/100</f>
        <v>1</v>
      </c>
      <c r="L90" s="720"/>
      <c r="M90" s="24">
        <f t="shared" ref="M90:M153" si="22">(SUMIF($13:$13,L90,$14:$14)-SUMIF($13:$13,$L$24,$14:$14)+100)/100</f>
        <v>1</v>
      </c>
      <c r="N90" s="720"/>
      <c r="O90" s="24">
        <f t="shared" ref="O90:O153" si="23">(SUMIF($15:$15,N90,$16:$16)-SUMIF($15:$15,$N$24,$16:$16)+100)/100</f>
        <v>1</v>
      </c>
      <c r="P90" s="720"/>
      <c r="Q90" s="24">
        <f t="shared" ref="Q90:Q153" si="24">(SUMIF($17:$17,P90,$18:$18)-SUMIF($17:$17,$P$24,$18:$18)+100)/100</f>
        <v>1</v>
      </c>
      <c r="R90" s="716">
        <f t="shared" ref="R90:R153" ca="1" si="25">IF(B90="",0,ROUND($R$24*C90*E90*G90*I90*K90*M90*O90*Q90,0))</f>
        <v>27229</v>
      </c>
      <c r="S90" s="361">
        <f t="shared" ca="1" si="16"/>
        <v>90</v>
      </c>
    </row>
    <row r="91" spans="1:19">
      <c r="A91" s="2764" t="str">
        <f>抵押物清单!E70</f>
        <v>北京恒大滨河左岸-二期-G15-412</v>
      </c>
      <c r="B91" s="2764">
        <f>抵押物清单!G70</f>
        <v>40.21</v>
      </c>
      <c r="C91" s="24">
        <f t="shared" si="17"/>
        <v>1</v>
      </c>
      <c r="D91" s="720"/>
      <c r="E91" s="24">
        <f t="shared" si="18"/>
        <v>1</v>
      </c>
      <c r="F91" s="2994" t="s">
        <v>4670</v>
      </c>
      <c r="G91" s="24">
        <f t="shared" si="19"/>
        <v>1</v>
      </c>
      <c r="H91" s="720"/>
      <c r="I91" s="24">
        <f t="shared" si="20"/>
        <v>1</v>
      </c>
      <c r="J91" s="720"/>
      <c r="K91" s="24">
        <f t="shared" si="21"/>
        <v>1</v>
      </c>
      <c r="L91" s="720"/>
      <c r="M91" s="24">
        <f t="shared" si="22"/>
        <v>1</v>
      </c>
      <c r="N91" s="720"/>
      <c r="O91" s="24">
        <f t="shared" si="23"/>
        <v>1</v>
      </c>
      <c r="P91" s="720"/>
      <c r="Q91" s="24">
        <f t="shared" si="24"/>
        <v>1</v>
      </c>
      <c r="R91" s="716">
        <f t="shared" ca="1" si="25"/>
        <v>27229</v>
      </c>
      <c r="S91" s="361">
        <f t="shared" ca="1" si="16"/>
        <v>109</v>
      </c>
    </row>
    <row r="92" spans="1:19">
      <c r="A92" s="2764" t="str">
        <f>抵押物清单!E71</f>
        <v>北京恒大滨河左岸-二期-G15-413</v>
      </c>
      <c r="B92" s="2764">
        <f>抵押物清单!G71</f>
        <v>65.89</v>
      </c>
      <c r="C92" s="24">
        <f t="shared" si="17"/>
        <v>0.99</v>
      </c>
      <c r="D92" s="720"/>
      <c r="E92" s="24">
        <f t="shared" si="18"/>
        <v>1</v>
      </c>
      <c r="F92" s="2994" t="s">
        <v>4670</v>
      </c>
      <c r="G92" s="24">
        <f t="shared" si="19"/>
        <v>1</v>
      </c>
      <c r="H92" s="720"/>
      <c r="I92" s="24">
        <f t="shared" si="20"/>
        <v>1</v>
      </c>
      <c r="J92" s="720"/>
      <c r="K92" s="24">
        <f t="shared" si="21"/>
        <v>1</v>
      </c>
      <c r="L92" s="720"/>
      <c r="M92" s="24">
        <f t="shared" si="22"/>
        <v>1</v>
      </c>
      <c r="N92" s="720"/>
      <c r="O92" s="24">
        <f t="shared" si="23"/>
        <v>1</v>
      </c>
      <c r="P92" s="720"/>
      <c r="Q92" s="24">
        <f t="shared" si="24"/>
        <v>1</v>
      </c>
      <c r="R92" s="716">
        <f t="shared" ca="1" si="25"/>
        <v>26957</v>
      </c>
      <c r="S92" s="361">
        <f t="shared" ca="1" si="16"/>
        <v>178</v>
      </c>
    </row>
    <row r="93" spans="1:19">
      <c r="A93" s="2764" t="str">
        <f>抵押物清单!E72</f>
        <v>北京恒大滨河左岸-二期-G15-414</v>
      </c>
      <c r="B93" s="2764">
        <f>抵押物清单!G72</f>
        <v>43.47</v>
      </c>
      <c r="C93" s="24">
        <f t="shared" si="17"/>
        <v>1</v>
      </c>
      <c r="D93" s="720"/>
      <c r="E93" s="24">
        <f t="shared" si="18"/>
        <v>1</v>
      </c>
      <c r="F93" s="2994" t="s">
        <v>4670</v>
      </c>
      <c r="G93" s="24">
        <f t="shared" si="19"/>
        <v>1</v>
      </c>
      <c r="H93" s="720"/>
      <c r="I93" s="24">
        <f t="shared" si="20"/>
        <v>1</v>
      </c>
      <c r="J93" s="720"/>
      <c r="K93" s="24">
        <f t="shared" si="21"/>
        <v>1</v>
      </c>
      <c r="L93" s="720"/>
      <c r="M93" s="24">
        <f t="shared" si="22"/>
        <v>1</v>
      </c>
      <c r="N93" s="720"/>
      <c r="O93" s="24">
        <f t="shared" si="23"/>
        <v>1</v>
      </c>
      <c r="P93" s="720"/>
      <c r="Q93" s="24">
        <f t="shared" si="24"/>
        <v>1</v>
      </c>
      <c r="R93" s="716">
        <f t="shared" ca="1" si="25"/>
        <v>27229</v>
      </c>
      <c r="S93" s="361">
        <f t="shared" ca="1" si="16"/>
        <v>118</v>
      </c>
    </row>
    <row r="94" spans="1:19">
      <c r="A94" s="2764" t="str">
        <f>抵押物清单!E73</f>
        <v>北京恒大滨河左岸-二期-G15-415</v>
      </c>
      <c r="B94" s="2764">
        <f>抵押物清单!G73</f>
        <v>43.46</v>
      </c>
      <c r="C94" s="24">
        <f t="shared" si="17"/>
        <v>1</v>
      </c>
      <c r="D94" s="720"/>
      <c r="E94" s="24">
        <f t="shared" si="18"/>
        <v>1</v>
      </c>
      <c r="F94" s="2994" t="s">
        <v>4670</v>
      </c>
      <c r="G94" s="24">
        <f t="shared" si="19"/>
        <v>1</v>
      </c>
      <c r="H94" s="720"/>
      <c r="I94" s="24">
        <f t="shared" si="20"/>
        <v>1</v>
      </c>
      <c r="J94" s="720"/>
      <c r="K94" s="24">
        <f t="shared" si="21"/>
        <v>1</v>
      </c>
      <c r="L94" s="720"/>
      <c r="M94" s="24">
        <f t="shared" si="22"/>
        <v>1</v>
      </c>
      <c r="N94" s="720"/>
      <c r="O94" s="24">
        <f t="shared" si="23"/>
        <v>1</v>
      </c>
      <c r="P94" s="720"/>
      <c r="Q94" s="24">
        <f t="shared" si="24"/>
        <v>1</v>
      </c>
      <c r="R94" s="716">
        <f t="shared" ca="1" si="25"/>
        <v>27229</v>
      </c>
      <c r="S94" s="361">
        <f t="shared" ca="1" si="16"/>
        <v>118</v>
      </c>
    </row>
    <row r="95" spans="1:19">
      <c r="A95" s="2764" t="str">
        <f>抵押物清单!E74</f>
        <v>北京恒大滨河左岸-二期-G15-416</v>
      </c>
      <c r="B95" s="2764">
        <f>抵押物清单!G74</f>
        <v>43.46</v>
      </c>
      <c r="C95" s="24">
        <f t="shared" si="17"/>
        <v>1</v>
      </c>
      <c r="D95" s="720"/>
      <c r="E95" s="24">
        <f t="shared" si="18"/>
        <v>1</v>
      </c>
      <c r="F95" s="2994" t="s">
        <v>4670</v>
      </c>
      <c r="G95" s="24">
        <f t="shared" si="19"/>
        <v>1</v>
      </c>
      <c r="H95" s="720"/>
      <c r="I95" s="24">
        <f t="shared" si="20"/>
        <v>1</v>
      </c>
      <c r="J95" s="720"/>
      <c r="K95" s="24">
        <f t="shared" si="21"/>
        <v>1</v>
      </c>
      <c r="L95" s="720"/>
      <c r="M95" s="24">
        <f t="shared" si="22"/>
        <v>1</v>
      </c>
      <c r="N95" s="720"/>
      <c r="O95" s="24">
        <f t="shared" si="23"/>
        <v>1</v>
      </c>
      <c r="P95" s="720"/>
      <c r="Q95" s="24">
        <f t="shared" si="24"/>
        <v>1</v>
      </c>
      <c r="R95" s="716">
        <f t="shared" ca="1" si="25"/>
        <v>27229</v>
      </c>
      <c r="S95" s="361">
        <f t="shared" ca="1" si="16"/>
        <v>118</v>
      </c>
    </row>
    <row r="96" spans="1:19">
      <c r="A96" s="2764" t="str">
        <f>抵押物清单!E75</f>
        <v>北京恒大滨河左岸-二期-G15-417</v>
      </c>
      <c r="B96" s="2764">
        <f>抵押物清单!G75</f>
        <v>43.47</v>
      </c>
      <c r="C96" s="24">
        <f t="shared" si="17"/>
        <v>1</v>
      </c>
      <c r="D96" s="720"/>
      <c r="E96" s="24">
        <f t="shared" si="18"/>
        <v>1</v>
      </c>
      <c r="F96" s="2994" t="s">
        <v>4670</v>
      </c>
      <c r="G96" s="24">
        <f t="shared" si="19"/>
        <v>1</v>
      </c>
      <c r="H96" s="720"/>
      <c r="I96" s="24">
        <f t="shared" si="20"/>
        <v>1</v>
      </c>
      <c r="J96" s="720"/>
      <c r="K96" s="24">
        <f t="shared" si="21"/>
        <v>1</v>
      </c>
      <c r="L96" s="720"/>
      <c r="M96" s="24">
        <f t="shared" si="22"/>
        <v>1</v>
      </c>
      <c r="N96" s="720"/>
      <c r="O96" s="24">
        <f t="shared" si="23"/>
        <v>1</v>
      </c>
      <c r="P96" s="720"/>
      <c r="Q96" s="24">
        <f t="shared" si="24"/>
        <v>1</v>
      </c>
      <c r="R96" s="716">
        <f t="shared" ca="1" si="25"/>
        <v>27229</v>
      </c>
      <c r="S96" s="361">
        <f t="shared" ca="1" si="16"/>
        <v>118</v>
      </c>
    </row>
    <row r="97" spans="1:19">
      <c r="A97" s="2764" t="str">
        <f>抵押物清单!E76</f>
        <v>北京恒大滨河左岸-二期-G15-418</v>
      </c>
      <c r="B97" s="2764">
        <f>抵押物清单!G76</f>
        <v>43.47</v>
      </c>
      <c r="C97" s="24">
        <f t="shared" si="17"/>
        <v>1</v>
      </c>
      <c r="D97" s="720"/>
      <c r="E97" s="24">
        <f t="shared" si="18"/>
        <v>1</v>
      </c>
      <c r="F97" s="2994" t="s">
        <v>4670</v>
      </c>
      <c r="G97" s="24">
        <f t="shared" si="19"/>
        <v>1</v>
      </c>
      <c r="H97" s="720"/>
      <c r="I97" s="24">
        <f t="shared" si="20"/>
        <v>1</v>
      </c>
      <c r="J97" s="720"/>
      <c r="K97" s="24">
        <f t="shared" si="21"/>
        <v>1</v>
      </c>
      <c r="L97" s="720"/>
      <c r="M97" s="24">
        <f t="shared" si="22"/>
        <v>1</v>
      </c>
      <c r="N97" s="720"/>
      <c r="O97" s="24">
        <f t="shared" si="23"/>
        <v>1</v>
      </c>
      <c r="P97" s="720"/>
      <c r="Q97" s="24">
        <f t="shared" si="24"/>
        <v>1</v>
      </c>
      <c r="R97" s="716">
        <f t="shared" ca="1" si="25"/>
        <v>27229</v>
      </c>
      <c r="S97" s="361">
        <f t="shared" ca="1" si="16"/>
        <v>118</v>
      </c>
    </row>
    <row r="98" spans="1:19">
      <c r="A98" s="2764" t="str">
        <f>抵押物清单!E77</f>
        <v>北京恒大滨河左岸-二期-G15-419</v>
      </c>
      <c r="B98" s="2764">
        <f>抵押物清单!G77</f>
        <v>43.47</v>
      </c>
      <c r="C98" s="24">
        <f t="shared" si="17"/>
        <v>1</v>
      </c>
      <c r="D98" s="720"/>
      <c r="E98" s="24">
        <f t="shared" si="18"/>
        <v>1</v>
      </c>
      <c r="F98" s="2994" t="s">
        <v>4670</v>
      </c>
      <c r="G98" s="24">
        <f t="shared" si="19"/>
        <v>1</v>
      </c>
      <c r="H98" s="720"/>
      <c r="I98" s="24">
        <f t="shared" si="20"/>
        <v>1</v>
      </c>
      <c r="J98" s="720"/>
      <c r="K98" s="24">
        <f t="shared" si="21"/>
        <v>1</v>
      </c>
      <c r="L98" s="720"/>
      <c r="M98" s="24">
        <f t="shared" si="22"/>
        <v>1</v>
      </c>
      <c r="N98" s="720"/>
      <c r="O98" s="24">
        <f t="shared" si="23"/>
        <v>1</v>
      </c>
      <c r="P98" s="720"/>
      <c r="Q98" s="24">
        <f t="shared" si="24"/>
        <v>1</v>
      </c>
      <c r="R98" s="716">
        <f t="shared" ca="1" si="25"/>
        <v>27229</v>
      </c>
      <c r="S98" s="361">
        <f t="shared" ca="1" si="16"/>
        <v>118</v>
      </c>
    </row>
    <row r="99" spans="1:19">
      <c r="A99" s="2764" t="str">
        <f>抵押物清单!E78</f>
        <v>北京恒大滨河左岸-二期-G15-421</v>
      </c>
      <c r="B99" s="2764">
        <f>抵押物清单!G78</f>
        <v>47.27</v>
      </c>
      <c r="C99" s="24">
        <f t="shared" si="17"/>
        <v>1</v>
      </c>
      <c r="D99" s="720"/>
      <c r="E99" s="24">
        <f t="shared" si="18"/>
        <v>1</v>
      </c>
      <c r="F99" s="2994" t="s">
        <v>4670</v>
      </c>
      <c r="G99" s="24">
        <f t="shared" si="19"/>
        <v>1</v>
      </c>
      <c r="H99" s="720"/>
      <c r="I99" s="24">
        <f t="shared" si="20"/>
        <v>1</v>
      </c>
      <c r="J99" s="720"/>
      <c r="K99" s="24">
        <f t="shared" si="21"/>
        <v>1</v>
      </c>
      <c r="L99" s="720"/>
      <c r="M99" s="24">
        <f t="shared" si="22"/>
        <v>1</v>
      </c>
      <c r="N99" s="720"/>
      <c r="O99" s="24">
        <f t="shared" si="23"/>
        <v>1</v>
      </c>
      <c r="P99" s="720"/>
      <c r="Q99" s="24">
        <f t="shared" si="24"/>
        <v>1</v>
      </c>
      <c r="R99" s="716">
        <f t="shared" ca="1" si="25"/>
        <v>27229</v>
      </c>
      <c r="S99" s="361">
        <f t="shared" ca="1" si="16"/>
        <v>129</v>
      </c>
    </row>
    <row r="100" spans="1:19">
      <c r="A100" s="2764" t="str">
        <f>抵押物清单!E79</f>
        <v>北京恒大滨河左岸-二期-G15-501</v>
      </c>
      <c r="B100" s="2764">
        <f>抵押物清单!G79</f>
        <v>47.96</v>
      </c>
      <c r="C100" s="24">
        <f t="shared" si="17"/>
        <v>1</v>
      </c>
      <c r="D100" s="720"/>
      <c r="E100" s="24">
        <f t="shared" si="18"/>
        <v>1</v>
      </c>
      <c r="F100" s="2994" t="s">
        <v>4670</v>
      </c>
      <c r="G100" s="24">
        <f t="shared" si="19"/>
        <v>1</v>
      </c>
      <c r="H100" s="720"/>
      <c r="I100" s="24">
        <f t="shared" si="20"/>
        <v>1</v>
      </c>
      <c r="J100" s="720"/>
      <c r="K100" s="24">
        <f t="shared" si="21"/>
        <v>1</v>
      </c>
      <c r="L100" s="720"/>
      <c r="M100" s="24">
        <f t="shared" si="22"/>
        <v>1</v>
      </c>
      <c r="N100" s="720"/>
      <c r="O100" s="24">
        <f t="shared" si="23"/>
        <v>1</v>
      </c>
      <c r="P100" s="720"/>
      <c r="Q100" s="24">
        <f t="shared" si="24"/>
        <v>1</v>
      </c>
      <c r="R100" s="716">
        <f t="shared" ca="1" si="25"/>
        <v>27229</v>
      </c>
      <c r="S100" s="361">
        <f t="shared" ca="1" si="16"/>
        <v>131</v>
      </c>
    </row>
    <row r="101" spans="1:19">
      <c r="A101" s="2764" t="str">
        <f>抵押物清单!E80</f>
        <v>北京恒大滨河左岸-二期-G15-502</v>
      </c>
      <c r="B101" s="2764">
        <f>抵押物清单!G80</f>
        <v>78.53</v>
      </c>
      <c r="C101" s="24">
        <f t="shared" si="17"/>
        <v>0.99</v>
      </c>
      <c r="D101" s="720"/>
      <c r="E101" s="24">
        <f t="shared" si="18"/>
        <v>1</v>
      </c>
      <c r="F101" s="2994" t="s">
        <v>4670</v>
      </c>
      <c r="G101" s="24">
        <f t="shared" si="19"/>
        <v>1</v>
      </c>
      <c r="H101" s="720"/>
      <c r="I101" s="24">
        <f t="shared" si="20"/>
        <v>1</v>
      </c>
      <c r="J101" s="720"/>
      <c r="K101" s="24">
        <f t="shared" si="21"/>
        <v>1</v>
      </c>
      <c r="L101" s="720"/>
      <c r="M101" s="24">
        <f t="shared" si="22"/>
        <v>1</v>
      </c>
      <c r="N101" s="720"/>
      <c r="O101" s="24">
        <f t="shared" si="23"/>
        <v>1</v>
      </c>
      <c r="P101" s="720"/>
      <c r="Q101" s="24">
        <f t="shared" si="24"/>
        <v>1</v>
      </c>
      <c r="R101" s="716">
        <f t="shared" ca="1" si="25"/>
        <v>26957</v>
      </c>
      <c r="S101" s="361">
        <f t="shared" ca="1" si="16"/>
        <v>212</v>
      </c>
    </row>
    <row r="102" spans="1:19">
      <c r="A102" s="2764" t="str">
        <f>抵押物清单!E81</f>
        <v>北京恒大滨河左岸-二期-G15-503</v>
      </c>
      <c r="B102" s="2764">
        <f>抵押物清单!G81</f>
        <v>78.540000000000006</v>
      </c>
      <c r="C102" s="24">
        <f t="shared" si="17"/>
        <v>0.99</v>
      </c>
      <c r="D102" s="720"/>
      <c r="E102" s="24">
        <f t="shared" si="18"/>
        <v>1</v>
      </c>
      <c r="F102" s="2994" t="s">
        <v>4670</v>
      </c>
      <c r="G102" s="24">
        <f t="shared" si="19"/>
        <v>1</v>
      </c>
      <c r="H102" s="720"/>
      <c r="I102" s="24">
        <f t="shared" si="20"/>
        <v>1</v>
      </c>
      <c r="J102" s="720"/>
      <c r="K102" s="24">
        <f t="shared" si="21"/>
        <v>1</v>
      </c>
      <c r="L102" s="720"/>
      <c r="M102" s="24">
        <f t="shared" si="22"/>
        <v>1</v>
      </c>
      <c r="N102" s="720"/>
      <c r="O102" s="24">
        <f t="shared" si="23"/>
        <v>1</v>
      </c>
      <c r="P102" s="720"/>
      <c r="Q102" s="24">
        <f t="shared" si="24"/>
        <v>1</v>
      </c>
      <c r="R102" s="716">
        <f t="shared" ca="1" si="25"/>
        <v>26957</v>
      </c>
      <c r="S102" s="361">
        <f t="shared" ca="1" si="16"/>
        <v>212</v>
      </c>
    </row>
    <row r="103" spans="1:19">
      <c r="A103" s="2764" t="str">
        <f>抵押物清单!E82</f>
        <v>北京恒大滨河左岸-二期-G15-504</v>
      </c>
      <c r="B103" s="2764">
        <f>抵押物清单!G82</f>
        <v>78.53</v>
      </c>
      <c r="C103" s="24">
        <f t="shared" si="17"/>
        <v>0.99</v>
      </c>
      <c r="D103" s="720"/>
      <c r="E103" s="24">
        <f t="shared" si="18"/>
        <v>1</v>
      </c>
      <c r="F103" s="2994" t="s">
        <v>4670</v>
      </c>
      <c r="G103" s="24">
        <f t="shared" si="19"/>
        <v>1</v>
      </c>
      <c r="H103" s="720"/>
      <c r="I103" s="24">
        <f t="shared" si="20"/>
        <v>1</v>
      </c>
      <c r="J103" s="720"/>
      <c r="K103" s="24">
        <f t="shared" si="21"/>
        <v>1</v>
      </c>
      <c r="L103" s="720"/>
      <c r="M103" s="24">
        <f t="shared" si="22"/>
        <v>1</v>
      </c>
      <c r="N103" s="720"/>
      <c r="O103" s="24">
        <f t="shared" si="23"/>
        <v>1</v>
      </c>
      <c r="P103" s="720"/>
      <c r="Q103" s="24">
        <f t="shared" si="24"/>
        <v>1</v>
      </c>
      <c r="R103" s="716">
        <f t="shared" ca="1" si="25"/>
        <v>26957</v>
      </c>
      <c r="S103" s="361">
        <f t="shared" ca="1" si="16"/>
        <v>212</v>
      </c>
    </row>
    <row r="104" spans="1:19">
      <c r="A104" s="2764" t="str">
        <f>抵押物清单!E83</f>
        <v>北京恒大滨河左岸-二期-G15-505</v>
      </c>
      <c r="B104" s="2764">
        <f>抵押物清单!G83</f>
        <v>78.53</v>
      </c>
      <c r="C104" s="24">
        <f t="shared" si="17"/>
        <v>0.99</v>
      </c>
      <c r="D104" s="720"/>
      <c r="E104" s="24">
        <f t="shared" si="18"/>
        <v>1</v>
      </c>
      <c r="F104" s="2994" t="s">
        <v>4670</v>
      </c>
      <c r="G104" s="24">
        <f t="shared" si="19"/>
        <v>1</v>
      </c>
      <c r="H104" s="720"/>
      <c r="I104" s="24">
        <f t="shared" si="20"/>
        <v>1</v>
      </c>
      <c r="J104" s="720"/>
      <c r="K104" s="24">
        <f t="shared" si="21"/>
        <v>1</v>
      </c>
      <c r="L104" s="720"/>
      <c r="M104" s="24">
        <f t="shared" si="22"/>
        <v>1</v>
      </c>
      <c r="N104" s="720"/>
      <c r="O104" s="24">
        <f t="shared" si="23"/>
        <v>1</v>
      </c>
      <c r="P104" s="720"/>
      <c r="Q104" s="24">
        <f t="shared" si="24"/>
        <v>1</v>
      </c>
      <c r="R104" s="716">
        <f t="shared" ca="1" si="25"/>
        <v>26957</v>
      </c>
      <c r="S104" s="361">
        <f t="shared" ca="1" si="16"/>
        <v>212</v>
      </c>
    </row>
    <row r="105" spans="1:19">
      <c r="A105" s="2764" t="str">
        <f>抵押物清单!E84</f>
        <v>北京恒大滨河左岸-二期-G15-506</v>
      </c>
      <c r="B105" s="2764">
        <f>抵押物清单!G84</f>
        <v>78.53</v>
      </c>
      <c r="C105" s="24">
        <f t="shared" si="17"/>
        <v>0.99</v>
      </c>
      <c r="D105" s="720"/>
      <c r="E105" s="24">
        <f t="shared" si="18"/>
        <v>1</v>
      </c>
      <c r="F105" s="2994" t="s">
        <v>4670</v>
      </c>
      <c r="G105" s="24">
        <f t="shared" si="19"/>
        <v>1</v>
      </c>
      <c r="H105" s="720"/>
      <c r="I105" s="24">
        <f t="shared" si="20"/>
        <v>1</v>
      </c>
      <c r="J105" s="720"/>
      <c r="K105" s="24">
        <f t="shared" si="21"/>
        <v>1</v>
      </c>
      <c r="L105" s="720"/>
      <c r="M105" s="24">
        <f t="shared" si="22"/>
        <v>1</v>
      </c>
      <c r="N105" s="720"/>
      <c r="O105" s="24">
        <f t="shared" si="23"/>
        <v>1</v>
      </c>
      <c r="P105" s="720"/>
      <c r="Q105" s="24">
        <f t="shared" si="24"/>
        <v>1</v>
      </c>
      <c r="R105" s="716">
        <f t="shared" ca="1" si="25"/>
        <v>26957</v>
      </c>
      <c r="S105" s="361">
        <f t="shared" ca="1" si="16"/>
        <v>212</v>
      </c>
    </row>
    <row r="106" spans="1:19">
      <c r="A106" s="2764" t="str">
        <f>抵押物清单!E85</f>
        <v>北京恒大滨河左岸-二期-G15-507</v>
      </c>
      <c r="B106" s="2764">
        <f>抵押物清单!G85</f>
        <v>78.53</v>
      </c>
      <c r="C106" s="24">
        <f t="shared" si="17"/>
        <v>0.99</v>
      </c>
      <c r="D106" s="720"/>
      <c r="E106" s="24">
        <f t="shared" si="18"/>
        <v>1</v>
      </c>
      <c r="F106" s="2994" t="s">
        <v>4670</v>
      </c>
      <c r="G106" s="24">
        <f t="shared" si="19"/>
        <v>1</v>
      </c>
      <c r="H106" s="720"/>
      <c r="I106" s="24">
        <f t="shared" si="20"/>
        <v>1</v>
      </c>
      <c r="J106" s="720"/>
      <c r="K106" s="24">
        <f t="shared" si="21"/>
        <v>1</v>
      </c>
      <c r="L106" s="720"/>
      <c r="M106" s="24">
        <f t="shared" si="22"/>
        <v>1</v>
      </c>
      <c r="N106" s="720"/>
      <c r="O106" s="24">
        <f t="shared" si="23"/>
        <v>1</v>
      </c>
      <c r="P106" s="720"/>
      <c r="Q106" s="24">
        <f t="shared" si="24"/>
        <v>1</v>
      </c>
      <c r="R106" s="716">
        <f t="shared" ca="1" si="25"/>
        <v>26957</v>
      </c>
      <c r="S106" s="361">
        <f t="shared" ca="1" si="16"/>
        <v>212</v>
      </c>
    </row>
    <row r="107" spans="1:19">
      <c r="A107" s="2764" t="str">
        <f>抵押物清单!E86</f>
        <v>北京恒大滨河左岸-二期-G15-508</v>
      </c>
      <c r="B107" s="2764">
        <f>抵押物清单!G86</f>
        <v>78.53</v>
      </c>
      <c r="C107" s="24">
        <f t="shared" si="17"/>
        <v>0.99</v>
      </c>
      <c r="D107" s="720"/>
      <c r="E107" s="24">
        <f t="shared" si="18"/>
        <v>1</v>
      </c>
      <c r="F107" s="2994" t="s">
        <v>4670</v>
      </c>
      <c r="G107" s="24">
        <f t="shared" si="19"/>
        <v>1</v>
      </c>
      <c r="H107" s="720"/>
      <c r="I107" s="24">
        <f t="shared" si="20"/>
        <v>1</v>
      </c>
      <c r="J107" s="720"/>
      <c r="K107" s="24">
        <f t="shared" si="21"/>
        <v>1</v>
      </c>
      <c r="L107" s="720"/>
      <c r="M107" s="24">
        <f t="shared" si="22"/>
        <v>1</v>
      </c>
      <c r="N107" s="720"/>
      <c r="O107" s="24">
        <f t="shared" si="23"/>
        <v>1</v>
      </c>
      <c r="P107" s="720"/>
      <c r="Q107" s="24">
        <f t="shared" si="24"/>
        <v>1</v>
      </c>
      <c r="R107" s="716">
        <f t="shared" ca="1" si="25"/>
        <v>26957</v>
      </c>
      <c r="S107" s="361">
        <f t="shared" ca="1" si="16"/>
        <v>212</v>
      </c>
    </row>
    <row r="108" spans="1:19">
      <c r="A108" s="2764" t="str">
        <f>抵押物清单!E87</f>
        <v>北京恒大滨河左岸-二期-G15-509</v>
      </c>
      <c r="B108" s="2764">
        <f>抵押物清单!G87</f>
        <v>78.53</v>
      </c>
      <c r="C108" s="24">
        <f t="shared" si="17"/>
        <v>0.99</v>
      </c>
      <c r="D108" s="720"/>
      <c r="E108" s="24">
        <f t="shared" si="18"/>
        <v>1</v>
      </c>
      <c r="F108" s="2994" t="s">
        <v>4670</v>
      </c>
      <c r="G108" s="24">
        <f t="shared" si="19"/>
        <v>1</v>
      </c>
      <c r="H108" s="720"/>
      <c r="I108" s="24">
        <f t="shared" si="20"/>
        <v>1</v>
      </c>
      <c r="J108" s="720"/>
      <c r="K108" s="24">
        <f t="shared" si="21"/>
        <v>1</v>
      </c>
      <c r="L108" s="720"/>
      <c r="M108" s="24">
        <f t="shared" si="22"/>
        <v>1</v>
      </c>
      <c r="N108" s="720"/>
      <c r="O108" s="24">
        <f t="shared" si="23"/>
        <v>1</v>
      </c>
      <c r="P108" s="720"/>
      <c r="Q108" s="24">
        <f t="shared" si="24"/>
        <v>1</v>
      </c>
      <c r="R108" s="716">
        <f t="shared" ca="1" si="25"/>
        <v>26957</v>
      </c>
      <c r="S108" s="361">
        <f t="shared" ca="1" si="16"/>
        <v>212</v>
      </c>
    </row>
    <row r="109" spans="1:19">
      <c r="A109" s="2764" t="str">
        <f>抵押物清单!E88</f>
        <v>北京恒大滨河左岸-二期-G15-510</v>
      </c>
      <c r="B109" s="2764">
        <f>抵押物清单!G88</f>
        <v>47.96</v>
      </c>
      <c r="C109" s="24">
        <f t="shared" si="17"/>
        <v>1</v>
      </c>
      <c r="D109" s="720"/>
      <c r="E109" s="24">
        <f t="shared" si="18"/>
        <v>1</v>
      </c>
      <c r="F109" s="2994" t="s">
        <v>4670</v>
      </c>
      <c r="G109" s="24">
        <f t="shared" si="19"/>
        <v>1</v>
      </c>
      <c r="H109" s="720"/>
      <c r="I109" s="24">
        <f t="shared" si="20"/>
        <v>1</v>
      </c>
      <c r="J109" s="720"/>
      <c r="K109" s="24">
        <f t="shared" si="21"/>
        <v>1</v>
      </c>
      <c r="L109" s="720"/>
      <c r="M109" s="24">
        <f t="shared" si="22"/>
        <v>1</v>
      </c>
      <c r="N109" s="720"/>
      <c r="O109" s="24">
        <f t="shared" si="23"/>
        <v>1</v>
      </c>
      <c r="P109" s="720"/>
      <c r="Q109" s="24">
        <f t="shared" si="24"/>
        <v>1</v>
      </c>
      <c r="R109" s="716">
        <f t="shared" ca="1" si="25"/>
        <v>27229</v>
      </c>
      <c r="S109" s="361">
        <f t="shared" ca="1" si="16"/>
        <v>131</v>
      </c>
    </row>
    <row r="110" spans="1:19">
      <c r="A110" s="2764" t="str">
        <f>抵押物清单!E89</f>
        <v>北京恒大滨河左岸-二期-G15-511</v>
      </c>
      <c r="B110" s="2764">
        <f>抵押物清单!G89</f>
        <v>32.93</v>
      </c>
      <c r="C110" s="24">
        <f t="shared" si="17"/>
        <v>1</v>
      </c>
      <c r="D110" s="720"/>
      <c r="E110" s="24">
        <f t="shared" si="18"/>
        <v>1</v>
      </c>
      <c r="F110" s="2994" t="s">
        <v>4670</v>
      </c>
      <c r="G110" s="24">
        <f t="shared" si="19"/>
        <v>1</v>
      </c>
      <c r="H110" s="720"/>
      <c r="I110" s="24">
        <f t="shared" si="20"/>
        <v>1</v>
      </c>
      <c r="J110" s="720"/>
      <c r="K110" s="24">
        <f t="shared" si="21"/>
        <v>1</v>
      </c>
      <c r="L110" s="720"/>
      <c r="M110" s="24">
        <f t="shared" si="22"/>
        <v>1</v>
      </c>
      <c r="N110" s="720"/>
      <c r="O110" s="24">
        <f t="shared" si="23"/>
        <v>1</v>
      </c>
      <c r="P110" s="720"/>
      <c r="Q110" s="24">
        <f t="shared" si="24"/>
        <v>1</v>
      </c>
      <c r="R110" s="716">
        <f t="shared" ca="1" si="25"/>
        <v>27229</v>
      </c>
      <c r="S110" s="361">
        <f t="shared" ca="1" si="16"/>
        <v>90</v>
      </c>
    </row>
    <row r="111" spans="1:19">
      <c r="A111" s="2764" t="str">
        <f>抵押物清单!E90</f>
        <v>北京恒大滨河左岸-二期-G15-512</v>
      </c>
      <c r="B111" s="2764">
        <f>抵押物清单!G90</f>
        <v>40.21</v>
      </c>
      <c r="C111" s="24">
        <f t="shared" si="17"/>
        <v>1</v>
      </c>
      <c r="D111" s="720"/>
      <c r="E111" s="24">
        <f t="shared" si="18"/>
        <v>1</v>
      </c>
      <c r="F111" s="2994" t="s">
        <v>4670</v>
      </c>
      <c r="G111" s="24">
        <f t="shared" si="19"/>
        <v>1</v>
      </c>
      <c r="H111" s="720"/>
      <c r="I111" s="24">
        <f t="shared" si="20"/>
        <v>1</v>
      </c>
      <c r="J111" s="720"/>
      <c r="K111" s="24">
        <f t="shared" si="21"/>
        <v>1</v>
      </c>
      <c r="L111" s="720"/>
      <c r="M111" s="24">
        <f t="shared" si="22"/>
        <v>1</v>
      </c>
      <c r="N111" s="720"/>
      <c r="O111" s="24">
        <f t="shared" si="23"/>
        <v>1</v>
      </c>
      <c r="P111" s="720"/>
      <c r="Q111" s="24">
        <f t="shared" si="24"/>
        <v>1</v>
      </c>
      <c r="R111" s="716">
        <f t="shared" ca="1" si="25"/>
        <v>27229</v>
      </c>
      <c r="S111" s="361">
        <f t="shared" ca="1" si="16"/>
        <v>109</v>
      </c>
    </row>
    <row r="112" spans="1:19">
      <c r="A112" s="2764" t="str">
        <f>抵押物清单!E91</f>
        <v>北京恒大滨河左岸-二期-G15-513</v>
      </c>
      <c r="B112" s="2764">
        <f>抵押物清单!G91</f>
        <v>65.12</v>
      </c>
      <c r="C112" s="24">
        <f t="shared" si="17"/>
        <v>0.99</v>
      </c>
      <c r="D112" s="720"/>
      <c r="E112" s="24">
        <f t="shared" si="18"/>
        <v>1</v>
      </c>
      <c r="F112" s="2994" t="s">
        <v>4670</v>
      </c>
      <c r="G112" s="24">
        <f t="shared" si="19"/>
        <v>1</v>
      </c>
      <c r="H112" s="720"/>
      <c r="I112" s="24">
        <f t="shared" si="20"/>
        <v>1</v>
      </c>
      <c r="J112" s="720"/>
      <c r="K112" s="24">
        <f t="shared" si="21"/>
        <v>1</v>
      </c>
      <c r="L112" s="720"/>
      <c r="M112" s="24">
        <f t="shared" si="22"/>
        <v>1</v>
      </c>
      <c r="N112" s="720"/>
      <c r="O112" s="24">
        <f t="shared" si="23"/>
        <v>1</v>
      </c>
      <c r="P112" s="720"/>
      <c r="Q112" s="24">
        <f t="shared" si="24"/>
        <v>1</v>
      </c>
      <c r="R112" s="716">
        <f t="shared" ca="1" si="25"/>
        <v>26957</v>
      </c>
      <c r="S112" s="361">
        <f t="shared" ca="1" si="16"/>
        <v>176</v>
      </c>
    </row>
    <row r="113" spans="1:19">
      <c r="A113" s="2764" t="str">
        <f>抵押物清单!E92</f>
        <v>北京恒大滨河左岸-二期-G15-514</v>
      </c>
      <c r="B113" s="2764">
        <f>抵押物清单!G92</f>
        <v>42.69</v>
      </c>
      <c r="C113" s="24">
        <f t="shared" si="17"/>
        <v>1</v>
      </c>
      <c r="D113" s="720"/>
      <c r="E113" s="24">
        <f t="shared" si="18"/>
        <v>1</v>
      </c>
      <c r="F113" s="2994" t="s">
        <v>4670</v>
      </c>
      <c r="G113" s="24">
        <f t="shared" si="19"/>
        <v>1</v>
      </c>
      <c r="H113" s="720"/>
      <c r="I113" s="24">
        <f t="shared" si="20"/>
        <v>1</v>
      </c>
      <c r="J113" s="720"/>
      <c r="K113" s="24">
        <f t="shared" si="21"/>
        <v>1</v>
      </c>
      <c r="L113" s="720"/>
      <c r="M113" s="24">
        <f t="shared" si="22"/>
        <v>1</v>
      </c>
      <c r="N113" s="720"/>
      <c r="O113" s="24">
        <f t="shared" si="23"/>
        <v>1</v>
      </c>
      <c r="P113" s="720"/>
      <c r="Q113" s="24">
        <f t="shared" si="24"/>
        <v>1</v>
      </c>
      <c r="R113" s="716">
        <f t="shared" ca="1" si="25"/>
        <v>27229</v>
      </c>
      <c r="S113" s="361">
        <f t="shared" ca="1" si="16"/>
        <v>116</v>
      </c>
    </row>
    <row r="114" spans="1:19">
      <c r="A114" s="2764" t="str">
        <f>抵押物清单!E93</f>
        <v>北京恒大滨河左岸-二期-G15-515</v>
      </c>
      <c r="B114" s="2764">
        <f>抵押物清单!G93</f>
        <v>42.68</v>
      </c>
      <c r="C114" s="24">
        <f t="shared" si="17"/>
        <v>1</v>
      </c>
      <c r="D114" s="720"/>
      <c r="E114" s="24">
        <f t="shared" si="18"/>
        <v>1</v>
      </c>
      <c r="F114" s="2994" t="s">
        <v>4670</v>
      </c>
      <c r="G114" s="24">
        <f t="shared" si="19"/>
        <v>1</v>
      </c>
      <c r="H114" s="720"/>
      <c r="I114" s="24">
        <f t="shared" si="20"/>
        <v>1</v>
      </c>
      <c r="J114" s="720"/>
      <c r="K114" s="24">
        <f t="shared" si="21"/>
        <v>1</v>
      </c>
      <c r="L114" s="720"/>
      <c r="M114" s="24">
        <f t="shared" si="22"/>
        <v>1</v>
      </c>
      <c r="N114" s="720"/>
      <c r="O114" s="24">
        <f t="shared" si="23"/>
        <v>1</v>
      </c>
      <c r="P114" s="720"/>
      <c r="Q114" s="24">
        <f t="shared" si="24"/>
        <v>1</v>
      </c>
      <c r="R114" s="716">
        <f t="shared" ca="1" si="25"/>
        <v>27229</v>
      </c>
      <c r="S114" s="361">
        <f t="shared" ca="1" si="16"/>
        <v>116</v>
      </c>
    </row>
    <row r="115" spans="1:19">
      <c r="A115" s="2764" t="str">
        <f>抵押物清单!E94</f>
        <v>北京恒大滨河左岸-二期-G15-516</v>
      </c>
      <c r="B115" s="2764">
        <f>抵押物清单!G94</f>
        <v>42.69</v>
      </c>
      <c r="C115" s="24">
        <f t="shared" si="17"/>
        <v>1</v>
      </c>
      <c r="D115" s="720"/>
      <c r="E115" s="24">
        <f t="shared" si="18"/>
        <v>1</v>
      </c>
      <c r="F115" s="2994" t="s">
        <v>4670</v>
      </c>
      <c r="G115" s="24">
        <f t="shared" si="19"/>
        <v>1</v>
      </c>
      <c r="H115" s="720"/>
      <c r="I115" s="24">
        <f t="shared" si="20"/>
        <v>1</v>
      </c>
      <c r="J115" s="720"/>
      <c r="K115" s="24">
        <f t="shared" si="21"/>
        <v>1</v>
      </c>
      <c r="L115" s="720"/>
      <c r="M115" s="24">
        <f t="shared" si="22"/>
        <v>1</v>
      </c>
      <c r="N115" s="720"/>
      <c r="O115" s="24">
        <f t="shared" si="23"/>
        <v>1</v>
      </c>
      <c r="P115" s="720"/>
      <c r="Q115" s="24">
        <f t="shared" si="24"/>
        <v>1</v>
      </c>
      <c r="R115" s="716">
        <f t="shared" ca="1" si="25"/>
        <v>27229</v>
      </c>
      <c r="S115" s="361">
        <f t="shared" ca="1" si="16"/>
        <v>116</v>
      </c>
    </row>
    <row r="116" spans="1:19">
      <c r="A116" s="2764" t="str">
        <f>抵押物清单!E95</f>
        <v>北京恒大滨河左岸-二期-G15-517</v>
      </c>
      <c r="B116" s="2764">
        <f>抵押物清单!G95</f>
        <v>42.69</v>
      </c>
      <c r="C116" s="24">
        <f t="shared" si="17"/>
        <v>1</v>
      </c>
      <c r="D116" s="720"/>
      <c r="E116" s="24">
        <f t="shared" si="18"/>
        <v>1</v>
      </c>
      <c r="F116" s="2994" t="s">
        <v>4670</v>
      </c>
      <c r="G116" s="24">
        <f t="shared" si="19"/>
        <v>1</v>
      </c>
      <c r="H116" s="720"/>
      <c r="I116" s="24">
        <f t="shared" si="20"/>
        <v>1</v>
      </c>
      <c r="J116" s="720"/>
      <c r="K116" s="24">
        <f t="shared" si="21"/>
        <v>1</v>
      </c>
      <c r="L116" s="720"/>
      <c r="M116" s="24">
        <f t="shared" si="22"/>
        <v>1</v>
      </c>
      <c r="N116" s="720"/>
      <c r="O116" s="24">
        <f t="shared" si="23"/>
        <v>1</v>
      </c>
      <c r="P116" s="720"/>
      <c r="Q116" s="24">
        <f t="shared" si="24"/>
        <v>1</v>
      </c>
      <c r="R116" s="716">
        <f t="shared" ca="1" si="25"/>
        <v>27229</v>
      </c>
      <c r="S116" s="361">
        <f t="shared" ca="1" si="16"/>
        <v>116</v>
      </c>
    </row>
    <row r="117" spans="1:19">
      <c r="A117" s="2764" t="str">
        <f>抵押物清单!E96</f>
        <v>北京恒大滨河左岸-二期-G15-518</v>
      </c>
      <c r="B117" s="2764">
        <f>抵押物清单!G96</f>
        <v>42.69</v>
      </c>
      <c r="C117" s="24">
        <f t="shared" si="17"/>
        <v>1</v>
      </c>
      <c r="D117" s="720"/>
      <c r="E117" s="24">
        <f t="shared" si="18"/>
        <v>1</v>
      </c>
      <c r="F117" s="2994" t="s">
        <v>4670</v>
      </c>
      <c r="G117" s="24">
        <f t="shared" si="19"/>
        <v>1</v>
      </c>
      <c r="H117" s="720"/>
      <c r="I117" s="24">
        <f t="shared" si="20"/>
        <v>1</v>
      </c>
      <c r="J117" s="720"/>
      <c r="K117" s="24">
        <f t="shared" si="21"/>
        <v>1</v>
      </c>
      <c r="L117" s="720"/>
      <c r="M117" s="24">
        <f t="shared" si="22"/>
        <v>1</v>
      </c>
      <c r="N117" s="720"/>
      <c r="O117" s="24">
        <f t="shared" si="23"/>
        <v>1</v>
      </c>
      <c r="P117" s="720"/>
      <c r="Q117" s="24">
        <f t="shared" si="24"/>
        <v>1</v>
      </c>
      <c r="R117" s="716">
        <f t="shared" ca="1" si="25"/>
        <v>27229</v>
      </c>
      <c r="S117" s="361">
        <f t="shared" ca="1" si="16"/>
        <v>116</v>
      </c>
    </row>
    <row r="118" spans="1:19">
      <c r="A118" s="2764" t="str">
        <f>抵押物清单!E97</f>
        <v>北京恒大滨河左岸-二期-G15-519</v>
      </c>
      <c r="B118" s="2764">
        <f>抵押物清单!G97</f>
        <v>42.69</v>
      </c>
      <c r="C118" s="24">
        <f t="shared" si="17"/>
        <v>1</v>
      </c>
      <c r="D118" s="720"/>
      <c r="E118" s="24">
        <f t="shared" si="18"/>
        <v>1</v>
      </c>
      <c r="F118" s="2994" t="s">
        <v>4670</v>
      </c>
      <c r="G118" s="24">
        <f t="shared" si="19"/>
        <v>1</v>
      </c>
      <c r="H118" s="720"/>
      <c r="I118" s="24">
        <f t="shared" si="20"/>
        <v>1</v>
      </c>
      <c r="J118" s="720"/>
      <c r="K118" s="24">
        <f t="shared" si="21"/>
        <v>1</v>
      </c>
      <c r="L118" s="720"/>
      <c r="M118" s="24">
        <f t="shared" si="22"/>
        <v>1</v>
      </c>
      <c r="N118" s="720"/>
      <c r="O118" s="24">
        <f t="shared" si="23"/>
        <v>1</v>
      </c>
      <c r="P118" s="720"/>
      <c r="Q118" s="24">
        <f t="shared" si="24"/>
        <v>1</v>
      </c>
      <c r="R118" s="716">
        <f t="shared" ca="1" si="25"/>
        <v>27229</v>
      </c>
      <c r="S118" s="361">
        <f t="shared" ca="1" si="16"/>
        <v>116</v>
      </c>
    </row>
    <row r="119" spans="1:19">
      <c r="A119" s="2764" t="str">
        <f>抵押物清单!E98</f>
        <v>北京恒大滨河左岸-二期-G15-521</v>
      </c>
      <c r="B119" s="2764">
        <f>抵押物清单!G98</f>
        <v>47.53</v>
      </c>
      <c r="C119" s="24">
        <f t="shared" si="17"/>
        <v>1</v>
      </c>
      <c r="D119" s="720"/>
      <c r="E119" s="24">
        <f t="shared" si="18"/>
        <v>1</v>
      </c>
      <c r="F119" s="2994" t="s">
        <v>4670</v>
      </c>
      <c r="G119" s="24">
        <f t="shared" si="19"/>
        <v>1</v>
      </c>
      <c r="H119" s="720"/>
      <c r="I119" s="24">
        <f t="shared" si="20"/>
        <v>1</v>
      </c>
      <c r="J119" s="720"/>
      <c r="K119" s="24">
        <f t="shared" si="21"/>
        <v>1</v>
      </c>
      <c r="L119" s="720"/>
      <c r="M119" s="24">
        <f t="shared" si="22"/>
        <v>1</v>
      </c>
      <c r="N119" s="720"/>
      <c r="O119" s="24">
        <f t="shared" si="23"/>
        <v>1</v>
      </c>
      <c r="P119" s="720"/>
      <c r="Q119" s="24">
        <f t="shared" si="24"/>
        <v>1</v>
      </c>
      <c r="R119" s="716">
        <f t="shared" ca="1" si="25"/>
        <v>27229</v>
      </c>
      <c r="S119" s="361">
        <f t="shared" ca="1" si="16"/>
        <v>129</v>
      </c>
    </row>
    <row r="120" spans="1:19">
      <c r="A120" s="2764"/>
      <c r="B120" s="2764"/>
      <c r="C120" s="24">
        <f t="shared" si="17"/>
        <v>1</v>
      </c>
      <c r="D120" s="720"/>
      <c r="E120" s="24">
        <f t="shared" si="18"/>
        <v>1</v>
      </c>
      <c r="F120" s="720"/>
      <c r="G120" s="24">
        <f t="shared" si="19"/>
        <v>0.03</v>
      </c>
      <c r="H120" s="720"/>
      <c r="I120" s="24">
        <f t="shared" si="20"/>
        <v>1</v>
      </c>
      <c r="J120" s="720"/>
      <c r="K120" s="24">
        <f t="shared" si="21"/>
        <v>1</v>
      </c>
      <c r="L120" s="720"/>
      <c r="M120" s="24">
        <f t="shared" si="22"/>
        <v>1</v>
      </c>
      <c r="N120" s="720"/>
      <c r="O120" s="24">
        <f t="shared" si="23"/>
        <v>1</v>
      </c>
      <c r="P120" s="720"/>
      <c r="Q120" s="24">
        <f t="shared" si="24"/>
        <v>1</v>
      </c>
      <c r="R120" s="716">
        <f t="shared" si="25"/>
        <v>0</v>
      </c>
      <c r="S120" s="361">
        <f t="shared" si="16"/>
        <v>0</v>
      </c>
    </row>
    <row r="121" spans="1:19">
      <c r="A121" s="718"/>
      <c r="B121" s="59"/>
      <c r="C121" s="24">
        <f t="shared" si="17"/>
        <v>1</v>
      </c>
      <c r="D121" s="720"/>
      <c r="E121" s="24">
        <f t="shared" si="18"/>
        <v>1</v>
      </c>
      <c r="F121" s="720"/>
      <c r="G121" s="24">
        <f t="shared" si="19"/>
        <v>0.03</v>
      </c>
      <c r="H121" s="720"/>
      <c r="I121" s="24">
        <f t="shared" si="20"/>
        <v>1</v>
      </c>
      <c r="J121" s="720"/>
      <c r="K121" s="24">
        <f t="shared" si="21"/>
        <v>1</v>
      </c>
      <c r="L121" s="720"/>
      <c r="M121" s="24">
        <f t="shared" si="22"/>
        <v>1</v>
      </c>
      <c r="N121" s="720"/>
      <c r="O121" s="24">
        <f t="shared" si="23"/>
        <v>1</v>
      </c>
      <c r="P121" s="720"/>
      <c r="Q121" s="24">
        <f t="shared" si="24"/>
        <v>1</v>
      </c>
      <c r="R121" s="716">
        <f t="shared" si="25"/>
        <v>0</v>
      </c>
      <c r="S121" s="361">
        <f t="shared" si="16"/>
        <v>0</v>
      </c>
    </row>
    <row r="122" spans="1:19">
      <c r="A122" s="718"/>
      <c r="B122" s="59"/>
      <c r="C122" s="24">
        <f t="shared" si="17"/>
        <v>1</v>
      </c>
      <c r="D122" s="720"/>
      <c r="E122" s="24">
        <f t="shared" si="18"/>
        <v>1</v>
      </c>
      <c r="F122" s="720"/>
      <c r="G122" s="24">
        <f t="shared" si="19"/>
        <v>0.03</v>
      </c>
      <c r="H122" s="720"/>
      <c r="I122" s="24">
        <f t="shared" si="20"/>
        <v>1</v>
      </c>
      <c r="J122" s="720"/>
      <c r="K122" s="24">
        <f t="shared" si="21"/>
        <v>1</v>
      </c>
      <c r="L122" s="720"/>
      <c r="M122" s="24">
        <f t="shared" si="22"/>
        <v>1</v>
      </c>
      <c r="N122" s="720"/>
      <c r="O122" s="24">
        <f t="shared" si="23"/>
        <v>1</v>
      </c>
      <c r="P122" s="720"/>
      <c r="Q122" s="24">
        <f t="shared" si="24"/>
        <v>1</v>
      </c>
      <c r="R122" s="716">
        <f t="shared" si="25"/>
        <v>0</v>
      </c>
      <c r="S122" s="361">
        <f t="shared" si="16"/>
        <v>0</v>
      </c>
    </row>
    <row r="123" spans="1:19">
      <c r="A123" s="159"/>
      <c r="B123" s="59"/>
      <c r="C123" s="24">
        <f t="shared" si="17"/>
        <v>1</v>
      </c>
      <c r="D123" s="720"/>
      <c r="E123" s="24">
        <f t="shared" si="18"/>
        <v>1</v>
      </c>
      <c r="F123" s="720"/>
      <c r="G123" s="24">
        <f t="shared" si="19"/>
        <v>0.03</v>
      </c>
      <c r="H123" s="720"/>
      <c r="I123" s="24">
        <f t="shared" si="20"/>
        <v>1</v>
      </c>
      <c r="J123" s="720"/>
      <c r="K123" s="24">
        <f t="shared" si="21"/>
        <v>1</v>
      </c>
      <c r="L123" s="720"/>
      <c r="M123" s="24">
        <f t="shared" si="22"/>
        <v>1</v>
      </c>
      <c r="N123" s="720"/>
      <c r="O123" s="24">
        <f t="shared" si="23"/>
        <v>1</v>
      </c>
      <c r="P123" s="720"/>
      <c r="Q123" s="24">
        <f t="shared" si="24"/>
        <v>1</v>
      </c>
      <c r="R123" s="716">
        <f t="shared" si="25"/>
        <v>0</v>
      </c>
      <c r="S123" s="361">
        <f t="shared" si="16"/>
        <v>0</v>
      </c>
    </row>
    <row r="124" spans="1:19">
      <c r="A124" s="159"/>
      <c r="B124" s="59"/>
      <c r="C124" s="24">
        <f t="shared" si="17"/>
        <v>1</v>
      </c>
      <c r="D124" s="720"/>
      <c r="E124" s="24">
        <f t="shared" si="18"/>
        <v>1</v>
      </c>
      <c r="F124" s="720"/>
      <c r="G124" s="24">
        <f t="shared" si="19"/>
        <v>0.03</v>
      </c>
      <c r="H124" s="720"/>
      <c r="I124" s="24">
        <f t="shared" si="20"/>
        <v>1</v>
      </c>
      <c r="J124" s="720"/>
      <c r="K124" s="24">
        <f t="shared" si="21"/>
        <v>1</v>
      </c>
      <c r="L124" s="720"/>
      <c r="M124" s="24">
        <f t="shared" si="22"/>
        <v>1</v>
      </c>
      <c r="N124" s="720"/>
      <c r="O124" s="24">
        <f t="shared" si="23"/>
        <v>1</v>
      </c>
      <c r="P124" s="720"/>
      <c r="Q124" s="24">
        <f t="shared" si="24"/>
        <v>1</v>
      </c>
      <c r="R124" s="716">
        <f t="shared" si="25"/>
        <v>0</v>
      </c>
      <c r="S124" s="361">
        <f t="shared" si="16"/>
        <v>0</v>
      </c>
    </row>
    <row r="125" spans="1:19">
      <c r="A125" s="159"/>
      <c r="B125" s="59"/>
      <c r="C125" s="24">
        <f t="shared" si="17"/>
        <v>1</v>
      </c>
      <c r="D125" s="720"/>
      <c r="E125" s="24">
        <f t="shared" si="18"/>
        <v>1</v>
      </c>
      <c r="F125" s="720"/>
      <c r="G125" s="24">
        <f t="shared" si="19"/>
        <v>0.03</v>
      </c>
      <c r="H125" s="720"/>
      <c r="I125" s="24">
        <f t="shared" si="20"/>
        <v>1</v>
      </c>
      <c r="J125" s="720"/>
      <c r="K125" s="24">
        <f t="shared" si="21"/>
        <v>1</v>
      </c>
      <c r="L125" s="720"/>
      <c r="M125" s="24">
        <f t="shared" si="22"/>
        <v>1</v>
      </c>
      <c r="N125" s="720"/>
      <c r="O125" s="24">
        <f t="shared" si="23"/>
        <v>1</v>
      </c>
      <c r="P125" s="720"/>
      <c r="Q125" s="24">
        <f t="shared" si="24"/>
        <v>1</v>
      </c>
      <c r="R125" s="716">
        <f t="shared" si="25"/>
        <v>0</v>
      </c>
      <c r="S125" s="361">
        <f t="shared" si="16"/>
        <v>0</v>
      </c>
    </row>
    <row r="126" spans="1:19">
      <c r="A126" s="159"/>
      <c r="B126" s="59"/>
      <c r="C126" s="24">
        <f t="shared" si="17"/>
        <v>1</v>
      </c>
      <c r="D126" s="720"/>
      <c r="E126" s="24">
        <f t="shared" si="18"/>
        <v>1</v>
      </c>
      <c r="F126" s="720"/>
      <c r="G126" s="24">
        <f t="shared" si="19"/>
        <v>0.03</v>
      </c>
      <c r="H126" s="720"/>
      <c r="I126" s="24">
        <f t="shared" si="20"/>
        <v>1</v>
      </c>
      <c r="J126" s="720"/>
      <c r="K126" s="24">
        <f t="shared" si="21"/>
        <v>1</v>
      </c>
      <c r="L126" s="720"/>
      <c r="M126" s="24">
        <f t="shared" si="22"/>
        <v>1</v>
      </c>
      <c r="N126" s="720"/>
      <c r="O126" s="24">
        <f t="shared" si="23"/>
        <v>1</v>
      </c>
      <c r="P126" s="720"/>
      <c r="Q126" s="24">
        <f t="shared" si="24"/>
        <v>1</v>
      </c>
      <c r="R126" s="716">
        <f t="shared" si="25"/>
        <v>0</v>
      </c>
      <c r="S126" s="361">
        <f t="shared" si="16"/>
        <v>0</v>
      </c>
    </row>
    <row r="127" spans="1:19">
      <c r="A127" s="159"/>
      <c r="B127" s="59"/>
      <c r="C127" s="24">
        <f t="shared" si="17"/>
        <v>1</v>
      </c>
      <c r="D127" s="720"/>
      <c r="E127" s="24">
        <f t="shared" si="18"/>
        <v>1</v>
      </c>
      <c r="F127" s="720"/>
      <c r="G127" s="24">
        <f t="shared" si="19"/>
        <v>0.03</v>
      </c>
      <c r="H127" s="720"/>
      <c r="I127" s="24">
        <f t="shared" si="20"/>
        <v>1</v>
      </c>
      <c r="J127" s="720"/>
      <c r="K127" s="24">
        <f t="shared" si="21"/>
        <v>1</v>
      </c>
      <c r="L127" s="720"/>
      <c r="M127" s="24">
        <f t="shared" si="22"/>
        <v>1</v>
      </c>
      <c r="N127" s="720"/>
      <c r="O127" s="24">
        <f t="shared" si="23"/>
        <v>1</v>
      </c>
      <c r="P127" s="720"/>
      <c r="Q127" s="24">
        <f t="shared" si="24"/>
        <v>1</v>
      </c>
      <c r="R127" s="716">
        <f t="shared" si="25"/>
        <v>0</v>
      </c>
      <c r="S127" s="361">
        <f t="shared" si="16"/>
        <v>0</v>
      </c>
    </row>
    <row r="128" spans="1:19">
      <c r="A128" s="159"/>
      <c r="B128" s="59"/>
      <c r="C128" s="24">
        <f t="shared" si="17"/>
        <v>1</v>
      </c>
      <c r="D128" s="720"/>
      <c r="E128" s="24">
        <f t="shared" si="18"/>
        <v>1</v>
      </c>
      <c r="F128" s="720"/>
      <c r="G128" s="24">
        <f t="shared" si="19"/>
        <v>0.03</v>
      </c>
      <c r="H128" s="720"/>
      <c r="I128" s="24">
        <f t="shared" si="20"/>
        <v>1</v>
      </c>
      <c r="J128" s="720"/>
      <c r="K128" s="24">
        <f t="shared" si="21"/>
        <v>1</v>
      </c>
      <c r="L128" s="720"/>
      <c r="M128" s="24">
        <f t="shared" si="22"/>
        <v>1</v>
      </c>
      <c r="N128" s="720"/>
      <c r="O128" s="24">
        <f t="shared" si="23"/>
        <v>1</v>
      </c>
      <c r="P128" s="720"/>
      <c r="Q128" s="24">
        <f t="shared" si="24"/>
        <v>1</v>
      </c>
      <c r="R128" s="716">
        <f t="shared" si="25"/>
        <v>0</v>
      </c>
      <c r="S128" s="361">
        <f t="shared" si="16"/>
        <v>0</v>
      </c>
    </row>
    <row r="129" spans="1:19">
      <c r="A129" s="159"/>
      <c r="B129" s="59"/>
      <c r="C129" s="24">
        <f t="shared" si="17"/>
        <v>1</v>
      </c>
      <c r="D129" s="720"/>
      <c r="E129" s="24">
        <f t="shared" si="18"/>
        <v>1</v>
      </c>
      <c r="F129" s="720"/>
      <c r="G129" s="24">
        <f t="shared" si="19"/>
        <v>0.03</v>
      </c>
      <c r="H129" s="720"/>
      <c r="I129" s="24">
        <f t="shared" si="20"/>
        <v>1</v>
      </c>
      <c r="J129" s="720"/>
      <c r="K129" s="24">
        <f t="shared" si="21"/>
        <v>1</v>
      </c>
      <c r="L129" s="720"/>
      <c r="M129" s="24">
        <f t="shared" si="22"/>
        <v>1</v>
      </c>
      <c r="N129" s="720"/>
      <c r="O129" s="24">
        <f t="shared" si="23"/>
        <v>1</v>
      </c>
      <c r="P129" s="720"/>
      <c r="Q129" s="24">
        <f t="shared" si="24"/>
        <v>1</v>
      </c>
      <c r="R129" s="716">
        <f t="shared" si="25"/>
        <v>0</v>
      </c>
      <c r="S129" s="361">
        <f t="shared" si="16"/>
        <v>0</v>
      </c>
    </row>
    <row r="130" spans="1:19">
      <c r="A130" s="159"/>
      <c r="B130" s="59"/>
      <c r="C130" s="24">
        <f t="shared" si="17"/>
        <v>1</v>
      </c>
      <c r="D130" s="720"/>
      <c r="E130" s="24">
        <f t="shared" si="18"/>
        <v>1</v>
      </c>
      <c r="F130" s="720"/>
      <c r="G130" s="24">
        <f t="shared" si="19"/>
        <v>0.03</v>
      </c>
      <c r="H130" s="720"/>
      <c r="I130" s="24">
        <f t="shared" si="20"/>
        <v>1</v>
      </c>
      <c r="J130" s="720"/>
      <c r="K130" s="24">
        <f t="shared" si="21"/>
        <v>1</v>
      </c>
      <c r="L130" s="720"/>
      <c r="M130" s="24">
        <f t="shared" si="22"/>
        <v>1</v>
      </c>
      <c r="N130" s="720"/>
      <c r="O130" s="24">
        <f t="shared" si="23"/>
        <v>1</v>
      </c>
      <c r="P130" s="720"/>
      <c r="Q130" s="24">
        <f t="shared" si="24"/>
        <v>1</v>
      </c>
      <c r="R130" s="716">
        <f t="shared" si="25"/>
        <v>0</v>
      </c>
      <c r="S130" s="361">
        <f t="shared" si="16"/>
        <v>0</v>
      </c>
    </row>
    <row r="131" spans="1:19">
      <c r="A131" s="159"/>
      <c r="B131" s="59"/>
      <c r="C131" s="24">
        <f t="shared" si="17"/>
        <v>1</v>
      </c>
      <c r="D131" s="720"/>
      <c r="E131" s="24">
        <f t="shared" si="18"/>
        <v>1</v>
      </c>
      <c r="F131" s="720"/>
      <c r="G131" s="24">
        <f t="shared" si="19"/>
        <v>0.03</v>
      </c>
      <c r="H131" s="720"/>
      <c r="I131" s="24">
        <f t="shared" si="20"/>
        <v>1</v>
      </c>
      <c r="J131" s="720"/>
      <c r="K131" s="24">
        <f t="shared" si="21"/>
        <v>1</v>
      </c>
      <c r="L131" s="720"/>
      <c r="M131" s="24">
        <f t="shared" si="22"/>
        <v>1</v>
      </c>
      <c r="N131" s="720"/>
      <c r="O131" s="24">
        <f t="shared" si="23"/>
        <v>1</v>
      </c>
      <c r="P131" s="720"/>
      <c r="Q131" s="24">
        <f t="shared" si="24"/>
        <v>1</v>
      </c>
      <c r="R131" s="716">
        <f t="shared" si="25"/>
        <v>0</v>
      </c>
      <c r="S131" s="361">
        <f t="shared" si="16"/>
        <v>0</v>
      </c>
    </row>
    <row r="132" spans="1:19">
      <c r="A132" s="159"/>
      <c r="B132" s="59"/>
      <c r="C132" s="24">
        <f t="shared" si="17"/>
        <v>1</v>
      </c>
      <c r="D132" s="720"/>
      <c r="E132" s="24">
        <f t="shared" si="18"/>
        <v>1</v>
      </c>
      <c r="F132" s="720"/>
      <c r="G132" s="24">
        <f t="shared" si="19"/>
        <v>0.03</v>
      </c>
      <c r="H132" s="720"/>
      <c r="I132" s="24">
        <f t="shared" si="20"/>
        <v>1</v>
      </c>
      <c r="J132" s="720"/>
      <c r="K132" s="24">
        <f t="shared" si="21"/>
        <v>1</v>
      </c>
      <c r="L132" s="720"/>
      <c r="M132" s="24">
        <f t="shared" si="22"/>
        <v>1</v>
      </c>
      <c r="N132" s="720"/>
      <c r="O132" s="24">
        <f t="shared" si="23"/>
        <v>1</v>
      </c>
      <c r="P132" s="720"/>
      <c r="Q132" s="24">
        <f t="shared" si="24"/>
        <v>1</v>
      </c>
      <c r="R132" s="716">
        <f t="shared" si="25"/>
        <v>0</v>
      </c>
      <c r="S132" s="361">
        <f t="shared" si="16"/>
        <v>0</v>
      </c>
    </row>
    <row r="133" spans="1:19">
      <c r="A133" s="159"/>
      <c r="B133" s="59"/>
      <c r="C133" s="24">
        <f t="shared" si="17"/>
        <v>1</v>
      </c>
      <c r="D133" s="720"/>
      <c r="E133" s="24">
        <f t="shared" si="18"/>
        <v>1</v>
      </c>
      <c r="F133" s="720"/>
      <c r="G133" s="24">
        <f t="shared" si="19"/>
        <v>0.03</v>
      </c>
      <c r="H133" s="720"/>
      <c r="I133" s="24">
        <f t="shared" si="20"/>
        <v>1</v>
      </c>
      <c r="J133" s="720"/>
      <c r="K133" s="24">
        <f t="shared" si="21"/>
        <v>1</v>
      </c>
      <c r="L133" s="720"/>
      <c r="M133" s="24">
        <f t="shared" si="22"/>
        <v>1</v>
      </c>
      <c r="N133" s="720"/>
      <c r="O133" s="24">
        <f t="shared" si="23"/>
        <v>1</v>
      </c>
      <c r="P133" s="720"/>
      <c r="Q133" s="24">
        <f t="shared" si="24"/>
        <v>1</v>
      </c>
      <c r="R133" s="716">
        <f t="shared" si="25"/>
        <v>0</v>
      </c>
      <c r="S133" s="361">
        <f t="shared" si="16"/>
        <v>0</v>
      </c>
    </row>
    <row r="134" spans="1:19">
      <c r="A134" s="159"/>
      <c r="B134" s="59"/>
      <c r="C134" s="24">
        <f t="shared" si="17"/>
        <v>1</v>
      </c>
      <c r="D134" s="720"/>
      <c r="E134" s="24">
        <f t="shared" si="18"/>
        <v>1</v>
      </c>
      <c r="F134" s="720"/>
      <c r="G134" s="24">
        <f t="shared" si="19"/>
        <v>0.03</v>
      </c>
      <c r="H134" s="720"/>
      <c r="I134" s="24">
        <f t="shared" si="20"/>
        <v>1</v>
      </c>
      <c r="J134" s="720"/>
      <c r="K134" s="24">
        <f t="shared" si="21"/>
        <v>1</v>
      </c>
      <c r="L134" s="720"/>
      <c r="M134" s="24">
        <f t="shared" si="22"/>
        <v>1</v>
      </c>
      <c r="N134" s="720"/>
      <c r="O134" s="24">
        <f t="shared" si="23"/>
        <v>1</v>
      </c>
      <c r="P134" s="720"/>
      <c r="Q134" s="24">
        <f t="shared" si="24"/>
        <v>1</v>
      </c>
      <c r="R134" s="716">
        <f t="shared" si="25"/>
        <v>0</v>
      </c>
      <c r="S134" s="361">
        <f t="shared" si="16"/>
        <v>0</v>
      </c>
    </row>
    <row r="135" spans="1:19">
      <c r="A135" s="159"/>
      <c r="B135" s="59"/>
      <c r="C135" s="24">
        <f t="shared" si="17"/>
        <v>1</v>
      </c>
      <c r="D135" s="720"/>
      <c r="E135" s="24">
        <f t="shared" si="18"/>
        <v>1</v>
      </c>
      <c r="F135" s="720"/>
      <c r="G135" s="24">
        <f t="shared" si="19"/>
        <v>0.03</v>
      </c>
      <c r="H135" s="720"/>
      <c r="I135" s="24">
        <f t="shared" si="20"/>
        <v>1</v>
      </c>
      <c r="J135" s="720"/>
      <c r="K135" s="24">
        <f t="shared" si="21"/>
        <v>1</v>
      </c>
      <c r="L135" s="720"/>
      <c r="M135" s="24">
        <f t="shared" si="22"/>
        <v>1</v>
      </c>
      <c r="N135" s="720"/>
      <c r="O135" s="24">
        <f t="shared" si="23"/>
        <v>1</v>
      </c>
      <c r="P135" s="720"/>
      <c r="Q135" s="24">
        <f t="shared" si="24"/>
        <v>1</v>
      </c>
      <c r="R135" s="716">
        <f t="shared" si="25"/>
        <v>0</v>
      </c>
      <c r="S135" s="361">
        <f t="shared" si="16"/>
        <v>0</v>
      </c>
    </row>
    <row r="136" spans="1:19">
      <c r="A136" s="159"/>
      <c r="B136" s="59"/>
      <c r="C136" s="24">
        <f t="shared" si="17"/>
        <v>1</v>
      </c>
      <c r="D136" s="720"/>
      <c r="E136" s="24">
        <f t="shared" si="18"/>
        <v>1</v>
      </c>
      <c r="F136" s="720"/>
      <c r="G136" s="24">
        <f t="shared" si="19"/>
        <v>0.03</v>
      </c>
      <c r="H136" s="720"/>
      <c r="I136" s="24">
        <f t="shared" si="20"/>
        <v>1</v>
      </c>
      <c r="J136" s="720"/>
      <c r="K136" s="24">
        <f t="shared" si="21"/>
        <v>1</v>
      </c>
      <c r="L136" s="720"/>
      <c r="M136" s="24">
        <f t="shared" si="22"/>
        <v>1</v>
      </c>
      <c r="N136" s="720"/>
      <c r="O136" s="24">
        <f t="shared" si="23"/>
        <v>1</v>
      </c>
      <c r="P136" s="720"/>
      <c r="Q136" s="24">
        <f t="shared" si="24"/>
        <v>1</v>
      </c>
      <c r="R136" s="716">
        <f t="shared" si="25"/>
        <v>0</v>
      </c>
      <c r="S136" s="361">
        <f t="shared" si="16"/>
        <v>0</v>
      </c>
    </row>
    <row r="137" spans="1:19">
      <c r="A137" s="159"/>
      <c r="B137" s="59"/>
      <c r="C137" s="24">
        <f t="shared" si="17"/>
        <v>1</v>
      </c>
      <c r="D137" s="720"/>
      <c r="E137" s="24">
        <f t="shared" si="18"/>
        <v>1</v>
      </c>
      <c r="F137" s="720"/>
      <c r="G137" s="24">
        <f t="shared" si="19"/>
        <v>0.03</v>
      </c>
      <c r="H137" s="720"/>
      <c r="I137" s="24">
        <f t="shared" si="20"/>
        <v>1</v>
      </c>
      <c r="J137" s="720"/>
      <c r="K137" s="24">
        <f t="shared" si="21"/>
        <v>1</v>
      </c>
      <c r="L137" s="720"/>
      <c r="M137" s="24">
        <f t="shared" si="22"/>
        <v>1</v>
      </c>
      <c r="N137" s="720"/>
      <c r="O137" s="24">
        <f t="shared" si="23"/>
        <v>1</v>
      </c>
      <c r="P137" s="720"/>
      <c r="Q137" s="24">
        <f t="shared" si="24"/>
        <v>1</v>
      </c>
      <c r="R137" s="716">
        <f t="shared" si="25"/>
        <v>0</v>
      </c>
      <c r="S137" s="361">
        <f t="shared" si="16"/>
        <v>0</v>
      </c>
    </row>
    <row r="138" spans="1:19">
      <c r="A138" s="159"/>
      <c r="B138" s="59"/>
      <c r="C138" s="24">
        <f t="shared" si="17"/>
        <v>1</v>
      </c>
      <c r="D138" s="720"/>
      <c r="E138" s="24">
        <f t="shared" si="18"/>
        <v>1</v>
      </c>
      <c r="F138" s="720"/>
      <c r="G138" s="24">
        <f t="shared" si="19"/>
        <v>0.03</v>
      </c>
      <c r="H138" s="720"/>
      <c r="I138" s="24">
        <f t="shared" si="20"/>
        <v>1</v>
      </c>
      <c r="J138" s="720"/>
      <c r="K138" s="24">
        <f t="shared" si="21"/>
        <v>1</v>
      </c>
      <c r="L138" s="720"/>
      <c r="M138" s="24">
        <f t="shared" si="22"/>
        <v>1</v>
      </c>
      <c r="N138" s="720"/>
      <c r="O138" s="24">
        <f t="shared" si="23"/>
        <v>1</v>
      </c>
      <c r="P138" s="720"/>
      <c r="Q138" s="24">
        <f t="shared" si="24"/>
        <v>1</v>
      </c>
      <c r="R138" s="716">
        <f t="shared" si="25"/>
        <v>0</v>
      </c>
      <c r="S138" s="361">
        <f t="shared" si="16"/>
        <v>0</v>
      </c>
    </row>
    <row r="139" spans="1:19">
      <c r="A139" s="159"/>
      <c r="B139" s="59"/>
      <c r="C139" s="24">
        <f t="shared" si="17"/>
        <v>1</v>
      </c>
      <c r="D139" s="720"/>
      <c r="E139" s="24">
        <f t="shared" si="18"/>
        <v>1</v>
      </c>
      <c r="F139" s="720"/>
      <c r="G139" s="24">
        <f t="shared" si="19"/>
        <v>0.03</v>
      </c>
      <c r="H139" s="720"/>
      <c r="I139" s="24">
        <f t="shared" si="20"/>
        <v>1</v>
      </c>
      <c r="J139" s="720"/>
      <c r="K139" s="24">
        <f t="shared" si="21"/>
        <v>1</v>
      </c>
      <c r="L139" s="720"/>
      <c r="M139" s="24">
        <f t="shared" si="22"/>
        <v>1</v>
      </c>
      <c r="N139" s="720"/>
      <c r="O139" s="24">
        <f t="shared" si="23"/>
        <v>1</v>
      </c>
      <c r="P139" s="720"/>
      <c r="Q139" s="24">
        <f t="shared" si="24"/>
        <v>1</v>
      </c>
      <c r="R139" s="716">
        <f t="shared" si="25"/>
        <v>0</v>
      </c>
      <c r="S139" s="361">
        <f t="shared" si="16"/>
        <v>0</v>
      </c>
    </row>
    <row r="140" spans="1:19">
      <c r="A140" s="159"/>
      <c r="B140" s="59"/>
      <c r="C140" s="24">
        <f t="shared" si="17"/>
        <v>1</v>
      </c>
      <c r="D140" s="720"/>
      <c r="E140" s="24">
        <f t="shared" si="18"/>
        <v>1</v>
      </c>
      <c r="F140" s="720"/>
      <c r="G140" s="24">
        <f t="shared" si="19"/>
        <v>0.03</v>
      </c>
      <c r="H140" s="720"/>
      <c r="I140" s="24">
        <f t="shared" si="20"/>
        <v>1</v>
      </c>
      <c r="J140" s="720"/>
      <c r="K140" s="24">
        <f t="shared" si="21"/>
        <v>1</v>
      </c>
      <c r="L140" s="720"/>
      <c r="M140" s="24">
        <f t="shared" si="22"/>
        <v>1</v>
      </c>
      <c r="N140" s="720"/>
      <c r="O140" s="24">
        <f t="shared" si="23"/>
        <v>1</v>
      </c>
      <c r="P140" s="720"/>
      <c r="Q140" s="24">
        <f t="shared" si="24"/>
        <v>1</v>
      </c>
      <c r="R140" s="716">
        <f t="shared" si="25"/>
        <v>0</v>
      </c>
      <c r="S140" s="361">
        <f t="shared" si="16"/>
        <v>0</v>
      </c>
    </row>
    <row r="141" spans="1:19">
      <c r="A141" s="159"/>
      <c r="B141" s="59"/>
      <c r="C141" s="24">
        <f t="shared" si="17"/>
        <v>1</v>
      </c>
      <c r="D141" s="720"/>
      <c r="E141" s="24">
        <f t="shared" si="18"/>
        <v>1</v>
      </c>
      <c r="F141" s="720"/>
      <c r="G141" s="24">
        <f t="shared" si="19"/>
        <v>0.03</v>
      </c>
      <c r="H141" s="720"/>
      <c r="I141" s="24">
        <f t="shared" si="20"/>
        <v>1</v>
      </c>
      <c r="J141" s="720"/>
      <c r="K141" s="24">
        <f t="shared" si="21"/>
        <v>1</v>
      </c>
      <c r="L141" s="720"/>
      <c r="M141" s="24">
        <f t="shared" si="22"/>
        <v>1</v>
      </c>
      <c r="N141" s="720"/>
      <c r="O141" s="24">
        <f t="shared" si="23"/>
        <v>1</v>
      </c>
      <c r="P141" s="720"/>
      <c r="Q141" s="24">
        <f t="shared" si="24"/>
        <v>1</v>
      </c>
      <c r="R141" s="716">
        <f t="shared" si="25"/>
        <v>0</v>
      </c>
      <c r="S141" s="361">
        <f t="shared" si="16"/>
        <v>0</v>
      </c>
    </row>
    <row r="142" spans="1:19">
      <c r="A142" s="159"/>
      <c r="B142" s="59"/>
      <c r="C142" s="24">
        <f t="shared" si="17"/>
        <v>1</v>
      </c>
      <c r="D142" s="720"/>
      <c r="E142" s="24">
        <f t="shared" si="18"/>
        <v>1</v>
      </c>
      <c r="F142" s="720"/>
      <c r="G142" s="24">
        <f t="shared" si="19"/>
        <v>0.03</v>
      </c>
      <c r="H142" s="720"/>
      <c r="I142" s="24">
        <f t="shared" si="20"/>
        <v>1</v>
      </c>
      <c r="J142" s="720"/>
      <c r="K142" s="24">
        <f t="shared" si="21"/>
        <v>1</v>
      </c>
      <c r="L142" s="720"/>
      <c r="M142" s="24">
        <f t="shared" si="22"/>
        <v>1</v>
      </c>
      <c r="N142" s="720"/>
      <c r="O142" s="24">
        <f t="shared" si="23"/>
        <v>1</v>
      </c>
      <c r="P142" s="720"/>
      <c r="Q142" s="24">
        <f t="shared" si="24"/>
        <v>1</v>
      </c>
      <c r="R142" s="716">
        <f t="shared" si="25"/>
        <v>0</v>
      </c>
      <c r="S142" s="361">
        <f t="shared" si="16"/>
        <v>0</v>
      </c>
    </row>
    <row r="143" spans="1:19">
      <c r="A143" s="159"/>
      <c r="B143" s="59"/>
      <c r="C143" s="24">
        <f t="shared" si="17"/>
        <v>1</v>
      </c>
      <c r="D143" s="720"/>
      <c r="E143" s="24">
        <f t="shared" si="18"/>
        <v>1</v>
      </c>
      <c r="F143" s="720"/>
      <c r="G143" s="24">
        <f t="shared" si="19"/>
        <v>0.03</v>
      </c>
      <c r="H143" s="720"/>
      <c r="I143" s="24">
        <f t="shared" si="20"/>
        <v>1</v>
      </c>
      <c r="J143" s="720"/>
      <c r="K143" s="24">
        <f t="shared" si="21"/>
        <v>1</v>
      </c>
      <c r="L143" s="720"/>
      <c r="M143" s="24">
        <f t="shared" si="22"/>
        <v>1</v>
      </c>
      <c r="N143" s="720"/>
      <c r="O143" s="24">
        <f t="shared" si="23"/>
        <v>1</v>
      </c>
      <c r="P143" s="720"/>
      <c r="Q143" s="24">
        <f t="shared" si="24"/>
        <v>1</v>
      </c>
      <c r="R143" s="716">
        <f t="shared" si="25"/>
        <v>0</v>
      </c>
      <c r="S143" s="361">
        <f t="shared" si="16"/>
        <v>0</v>
      </c>
    </row>
    <row r="144" spans="1:19">
      <c r="A144" s="159"/>
      <c r="B144" s="59"/>
      <c r="C144" s="24">
        <f t="shared" si="17"/>
        <v>1</v>
      </c>
      <c r="D144" s="720"/>
      <c r="E144" s="24">
        <f t="shared" si="18"/>
        <v>1</v>
      </c>
      <c r="F144" s="720"/>
      <c r="G144" s="24">
        <f t="shared" si="19"/>
        <v>0.03</v>
      </c>
      <c r="H144" s="720"/>
      <c r="I144" s="24">
        <f t="shared" si="20"/>
        <v>1</v>
      </c>
      <c r="J144" s="720"/>
      <c r="K144" s="24">
        <f t="shared" si="21"/>
        <v>1</v>
      </c>
      <c r="L144" s="720"/>
      <c r="M144" s="24">
        <f t="shared" si="22"/>
        <v>1</v>
      </c>
      <c r="N144" s="720"/>
      <c r="O144" s="24">
        <f t="shared" si="23"/>
        <v>1</v>
      </c>
      <c r="P144" s="720"/>
      <c r="Q144" s="24">
        <f t="shared" si="24"/>
        <v>1</v>
      </c>
      <c r="R144" s="716">
        <f t="shared" si="25"/>
        <v>0</v>
      </c>
      <c r="S144" s="361">
        <f t="shared" si="16"/>
        <v>0</v>
      </c>
    </row>
    <row r="145" spans="1:19">
      <c r="A145" s="159"/>
      <c r="B145" s="59"/>
      <c r="C145" s="24">
        <f t="shared" si="17"/>
        <v>1</v>
      </c>
      <c r="D145" s="720"/>
      <c r="E145" s="24">
        <f t="shared" si="18"/>
        <v>1</v>
      </c>
      <c r="F145" s="720"/>
      <c r="G145" s="24">
        <f t="shared" si="19"/>
        <v>0.03</v>
      </c>
      <c r="H145" s="720"/>
      <c r="I145" s="24">
        <f t="shared" si="20"/>
        <v>1</v>
      </c>
      <c r="J145" s="720"/>
      <c r="K145" s="24">
        <f t="shared" si="21"/>
        <v>1</v>
      </c>
      <c r="L145" s="720"/>
      <c r="M145" s="24">
        <f t="shared" si="22"/>
        <v>1</v>
      </c>
      <c r="N145" s="720"/>
      <c r="O145" s="24">
        <f t="shared" si="23"/>
        <v>1</v>
      </c>
      <c r="P145" s="720"/>
      <c r="Q145" s="24">
        <f t="shared" si="24"/>
        <v>1</v>
      </c>
      <c r="R145" s="716">
        <f t="shared" si="25"/>
        <v>0</v>
      </c>
      <c r="S145" s="361">
        <f t="shared" si="16"/>
        <v>0</v>
      </c>
    </row>
    <row r="146" spans="1:19">
      <c r="A146" s="159"/>
      <c r="B146" s="59"/>
      <c r="C146" s="24">
        <f t="shared" si="17"/>
        <v>1</v>
      </c>
      <c r="D146" s="720"/>
      <c r="E146" s="24">
        <f t="shared" si="18"/>
        <v>1</v>
      </c>
      <c r="F146" s="720"/>
      <c r="G146" s="24">
        <f t="shared" si="19"/>
        <v>0.03</v>
      </c>
      <c r="H146" s="720"/>
      <c r="I146" s="24">
        <f t="shared" si="20"/>
        <v>1</v>
      </c>
      <c r="J146" s="720"/>
      <c r="K146" s="24">
        <f t="shared" si="21"/>
        <v>1</v>
      </c>
      <c r="L146" s="720"/>
      <c r="M146" s="24">
        <f t="shared" si="22"/>
        <v>1</v>
      </c>
      <c r="N146" s="720"/>
      <c r="O146" s="24">
        <f t="shared" si="23"/>
        <v>1</v>
      </c>
      <c r="P146" s="720"/>
      <c r="Q146" s="24">
        <f t="shared" si="24"/>
        <v>1</v>
      </c>
      <c r="R146" s="716">
        <f t="shared" si="25"/>
        <v>0</v>
      </c>
      <c r="S146" s="361">
        <f t="shared" si="16"/>
        <v>0</v>
      </c>
    </row>
    <row r="147" spans="1:19">
      <c r="A147" s="159"/>
      <c r="B147" s="59"/>
      <c r="C147" s="24">
        <f t="shared" si="17"/>
        <v>1</v>
      </c>
      <c r="D147" s="720"/>
      <c r="E147" s="24">
        <f t="shared" si="18"/>
        <v>1</v>
      </c>
      <c r="F147" s="720"/>
      <c r="G147" s="24">
        <f t="shared" si="19"/>
        <v>0.03</v>
      </c>
      <c r="H147" s="720"/>
      <c r="I147" s="24">
        <f t="shared" si="20"/>
        <v>1</v>
      </c>
      <c r="J147" s="720"/>
      <c r="K147" s="24">
        <f t="shared" si="21"/>
        <v>1</v>
      </c>
      <c r="L147" s="720"/>
      <c r="M147" s="24">
        <f t="shared" si="22"/>
        <v>1</v>
      </c>
      <c r="N147" s="720"/>
      <c r="O147" s="24">
        <f t="shared" si="23"/>
        <v>1</v>
      </c>
      <c r="P147" s="720"/>
      <c r="Q147" s="24">
        <f t="shared" si="24"/>
        <v>1</v>
      </c>
      <c r="R147" s="716">
        <f t="shared" si="25"/>
        <v>0</v>
      </c>
      <c r="S147" s="361">
        <f t="shared" si="16"/>
        <v>0</v>
      </c>
    </row>
    <row r="148" spans="1:19">
      <c r="A148" s="159"/>
      <c r="B148" s="59"/>
      <c r="C148" s="24">
        <f t="shared" si="17"/>
        <v>1</v>
      </c>
      <c r="D148" s="720"/>
      <c r="E148" s="24">
        <f t="shared" si="18"/>
        <v>1</v>
      </c>
      <c r="F148" s="720"/>
      <c r="G148" s="24">
        <f t="shared" si="19"/>
        <v>0.03</v>
      </c>
      <c r="H148" s="720"/>
      <c r="I148" s="24">
        <f t="shared" si="20"/>
        <v>1</v>
      </c>
      <c r="J148" s="720"/>
      <c r="K148" s="24">
        <f t="shared" si="21"/>
        <v>1</v>
      </c>
      <c r="L148" s="720"/>
      <c r="M148" s="24">
        <f t="shared" si="22"/>
        <v>1</v>
      </c>
      <c r="N148" s="720"/>
      <c r="O148" s="24">
        <f t="shared" si="23"/>
        <v>1</v>
      </c>
      <c r="P148" s="720"/>
      <c r="Q148" s="24">
        <f t="shared" si="24"/>
        <v>1</v>
      </c>
      <c r="R148" s="716">
        <f t="shared" si="25"/>
        <v>0</v>
      </c>
      <c r="S148" s="361">
        <f t="shared" si="16"/>
        <v>0</v>
      </c>
    </row>
    <row r="149" spans="1:19">
      <c r="A149" s="159"/>
      <c r="B149" s="59"/>
      <c r="C149" s="24">
        <f t="shared" si="17"/>
        <v>1</v>
      </c>
      <c r="D149" s="720"/>
      <c r="E149" s="24">
        <f t="shared" si="18"/>
        <v>1</v>
      </c>
      <c r="F149" s="720"/>
      <c r="G149" s="24">
        <f t="shared" si="19"/>
        <v>0.03</v>
      </c>
      <c r="H149" s="720"/>
      <c r="I149" s="24">
        <f t="shared" si="20"/>
        <v>1</v>
      </c>
      <c r="J149" s="720"/>
      <c r="K149" s="24">
        <f t="shared" si="21"/>
        <v>1</v>
      </c>
      <c r="L149" s="720"/>
      <c r="M149" s="24">
        <f t="shared" si="22"/>
        <v>1</v>
      </c>
      <c r="N149" s="720"/>
      <c r="O149" s="24">
        <f t="shared" si="23"/>
        <v>1</v>
      </c>
      <c r="P149" s="720"/>
      <c r="Q149" s="24">
        <f t="shared" si="24"/>
        <v>1</v>
      </c>
      <c r="R149" s="716">
        <f t="shared" si="25"/>
        <v>0</v>
      </c>
      <c r="S149" s="361">
        <f t="shared" si="16"/>
        <v>0</v>
      </c>
    </row>
    <row r="150" spans="1:19">
      <c r="A150" s="159"/>
      <c r="B150" s="59"/>
      <c r="C150" s="24">
        <f t="shared" si="17"/>
        <v>1</v>
      </c>
      <c r="D150" s="720"/>
      <c r="E150" s="24">
        <f t="shared" si="18"/>
        <v>1</v>
      </c>
      <c r="F150" s="720"/>
      <c r="G150" s="24">
        <f t="shared" si="19"/>
        <v>0.03</v>
      </c>
      <c r="H150" s="720"/>
      <c r="I150" s="24">
        <f t="shared" si="20"/>
        <v>1</v>
      </c>
      <c r="J150" s="720"/>
      <c r="K150" s="24">
        <f t="shared" si="21"/>
        <v>1</v>
      </c>
      <c r="L150" s="720"/>
      <c r="M150" s="24">
        <f t="shared" si="22"/>
        <v>1</v>
      </c>
      <c r="N150" s="720"/>
      <c r="O150" s="24">
        <f t="shared" si="23"/>
        <v>1</v>
      </c>
      <c r="P150" s="720"/>
      <c r="Q150" s="24">
        <f t="shared" si="24"/>
        <v>1</v>
      </c>
      <c r="R150" s="716">
        <f t="shared" si="25"/>
        <v>0</v>
      </c>
      <c r="S150" s="361">
        <f t="shared" si="16"/>
        <v>0</v>
      </c>
    </row>
    <row r="151" spans="1:19">
      <c r="A151" s="159"/>
      <c r="B151" s="59"/>
      <c r="C151" s="24">
        <f t="shared" si="17"/>
        <v>1</v>
      </c>
      <c r="D151" s="720"/>
      <c r="E151" s="24">
        <f t="shared" si="18"/>
        <v>1</v>
      </c>
      <c r="F151" s="720"/>
      <c r="G151" s="24">
        <f t="shared" si="19"/>
        <v>0.03</v>
      </c>
      <c r="H151" s="720"/>
      <c r="I151" s="24">
        <f t="shared" si="20"/>
        <v>1</v>
      </c>
      <c r="J151" s="720"/>
      <c r="K151" s="24">
        <f t="shared" si="21"/>
        <v>1</v>
      </c>
      <c r="L151" s="720"/>
      <c r="M151" s="24">
        <f t="shared" si="22"/>
        <v>1</v>
      </c>
      <c r="N151" s="720"/>
      <c r="O151" s="24">
        <f t="shared" si="23"/>
        <v>1</v>
      </c>
      <c r="P151" s="720"/>
      <c r="Q151" s="24">
        <f t="shared" si="24"/>
        <v>1</v>
      </c>
      <c r="R151" s="716">
        <f t="shared" si="25"/>
        <v>0</v>
      </c>
      <c r="S151" s="361">
        <f t="shared" si="16"/>
        <v>0</v>
      </c>
    </row>
    <row r="152" spans="1:19">
      <c r="A152" s="159"/>
      <c r="B152" s="59"/>
      <c r="C152" s="24">
        <f t="shared" si="17"/>
        <v>1</v>
      </c>
      <c r="D152" s="720"/>
      <c r="E152" s="24">
        <f t="shared" si="18"/>
        <v>1</v>
      </c>
      <c r="F152" s="720"/>
      <c r="G152" s="24">
        <f t="shared" si="19"/>
        <v>0.03</v>
      </c>
      <c r="H152" s="720"/>
      <c r="I152" s="24">
        <f t="shared" si="20"/>
        <v>1</v>
      </c>
      <c r="J152" s="720"/>
      <c r="K152" s="24">
        <f t="shared" si="21"/>
        <v>1</v>
      </c>
      <c r="L152" s="720"/>
      <c r="M152" s="24">
        <f t="shared" si="22"/>
        <v>1</v>
      </c>
      <c r="N152" s="720"/>
      <c r="O152" s="24">
        <f t="shared" si="23"/>
        <v>1</v>
      </c>
      <c r="P152" s="720"/>
      <c r="Q152" s="24">
        <f t="shared" si="24"/>
        <v>1</v>
      </c>
      <c r="R152" s="716">
        <f t="shared" si="25"/>
        <v>0</v>
      </c>
      <c r="S152" s="361">
        <f t="shared" ref="S152:S215" si="26">ROUND(R152*B152/10000,0)</f>
        <v>0</v>
      </c>
    </row>
    <row r="153" spans="1:19">
      <c r="A153" s="159"/>
      <c r="B153" s="59"/>
      <c r="C153" s="24">
        <f t="shared" si="17"/>
        <v>1</v>
      </c>
      <c r="D153" s="720"/>
      <c r="E153" s="24">
        <f t="shared" si="18"/>
        <v>1</v>
      </c>
      <c r="F153" s="720"/>
      <c r="G153" s="24">
        <f t="shared" si="19"/>
        <v>0.03</v>
      </c>
      <c r="H153" s="720"/>
      <c r="I153" s="24">
        <f t="shared" si="20"/>
        <v>1</v>
      </c>
      <c r="J153" s="720"/>
      <c r="K153" s="24">
        <f t="shared" si="21"/>
        <v>1</v>
      </c>
      <c r="L153" s="720"/>
      <c r="M153" s="24">
        <f t="shared" si="22"/>
        <v>1</v>
      </c>
      <c r="N153" s="720"/>
      <c r="O153" s="24">
        <f t="shared" si="23"/>
        <v>1</v>
      </c>
      <c r="P153" s="720"/>
      <c r="Q153" s="24">
        <f t="shared" si="24"/>
        <v>1</v>
      </c>
      <c r="R153" s="716">
        <f t="shared" si="25"/>
        <v>0</v>
      </c>
      <c r="S153" s="361">
        <f t="shared" si="26"/>
        <v>0</v>
      </c>
    </row>
    <row r="154" spans="1:19">
      <c r="A154" s="159"/>
      <c r="B154" s="59"/>
      <c r="C154" s="24">
        <f t="shared" ref="C154:C217" si="27">IF(B154="",1,(LOOKUP(B154,$3:$3,$4:$4)-LOOKUP($B$24,$3:$3,$4:$4)+100)/100)</f>
        <v>1</v>
      </c>
      <c r="D154" s="720"/>
      <c r="E154" s="24">
        <f t="shared" ref="E154:E217" si="28">(SUMIF($5:$5,D154,$6:$6)-SUMIF($5:$5,$D$24,$6:$6)+100)/100</f>
        <v>1</v>
      </c>
      <c r="F154" s="720"/>
      <c r="G154" s="24">
        <f t="shared" ref="G154:G217" si="29">(SUMIF($7:$7,F154,$8:$8)-SUMIF($7:$7,$F$24,$8:$8)+100)/100</f>
        <v>0.03</v>
      </c>
      <c r="H154" s="720"/>
      <c r="I154" s="24">
        <f t="shared" ref="I154:I217" si="30">(SUMIF($9:$9,H154,$10:$10)-SUMIF($9:$9,$H$24,$10:$10)+100)/100</f>
        <v>1</v>
      </c>
      <c r="J154" s="720"/>
      <c r="K154" s="24">
        <f t="shared" ref="K154:K217" si="31">(SUMIF($11:$11,J154,$12:$12)-SUMIF($11:$11,$J$24,$12:$12)+100)/100</f>
        <v>1</v>
      </c>
      <c r="L154" s="720"/>
      <c r="M154" s="24">
        <f t="shared" ref="M154:M217" si="32">(SUMIF($13:$13,L154,$14:$14)-SUMIF($13:$13,$L$24,$14:$14)+100)/100</f>
        <v>1</v>
      </c>
      <c r="N154" s="720"/>
      <c r="O154" s="24">
        <f t="shared" ref="O154:O217" si="33">(SUMIF($15:$15,N154,$16:$16)-SUMIF($15:$15,$N$24,$16:$16)+100)/100</f>
        <v>1</v>
      </c>
      <c r="P154" s="720"/>
      <c r="Q154" s="24">
        <f t="shared" ref="Q154:Q217" si="34">(SUMIF($17:$17,P154,$18:$18)-SUMIF($17:$17,$P$24,$18:$18)+100)/100</f>
        <v>1</v>
      </c>
      <c r="R154" s="716">
        <f t="shared" ref="R154:R217" si="35">IF(B154="",0,ROUND($R$24*C154*E154*G154*I154*K154*M154*O154*Q154,0))</f>
        <v>0</v>
      </c>
      <c r="S154" s="361">
        <f t="shared" si="26"/>
        <v>0</v>
      </c>
    </row>
    <row r="155" spans="1:19">
      <c r="A155" s="159"/>
      <c r="B155" s="59"/>
      <c r="C155" s="24">
        <f t="shared" si="27"/>
        <v>1</v>
      </c>
      <c r="D155" s="720"/>
      <c r="E155" s="24">
        <f t="shared" si="28"/>
        <v>1</v>
      </c>
      <c r="F155" s="720"/>
      <c r="G155" s="24">
        <f t="shared" si="29"/>
        <v>0.03</v>
      </c>
      <c r="H155" s="720"/>
      <c r="I155" s="24">
        <f t="shared" si="30"/>
        <v>1</v>
      </c>
      <c r="J155" s="720"/>
      <c r="K155" s="24">
        <f t="shared" si="31"/>
        <v>1</v>
      </c>
      <c r="L155" s="720"/>
      <c r="M155" s="24">
        <f t="shared" si="32"/>
        <v>1</v>
      </c>
      <c r="N155" s="720"/>
      <c r="O155" s="24">
        <f t="shared" si="33"/>
        <v>1</v>
      </c>
      <c r="P155" s="720"/>
      <c r="Q155" s="24">
        <f t="shared" si="34"/>
        <v>1</v>
      </c>
      <c r="R155" s="716">
        <f t="shared" si="35"/>
        <v>0</v>
      </c>
      <c r="S155" s="361">
        <f t="shared" si="26"/>
        <v>0</v>
      </c>
    </row>
    <row r="156" spans="1:19">
      <c r="A156" s="159"/>
      <c r="B156" s="59"/>
      <c r="C156" s="24">
        <f t="shared" si="27"/>
        <v>1</v>
      </c>
      <c r="D156" s="720"/>
      <c r="E156" s="24">
        <f t="shared" si="28"/>
        <v>1</v>
      </c>
      <c r="F156" s="720"/>
      <c r="G156" s="24">
        <f t="shared" si="29"/>
        <v>0.03</v>
      </c>
      <c r="H156" s="720"/>
      <c r="I156" s="24">
        <f t="shared" si="30"/>
        <v>1</v>
      </c>
      <c r="J156" s="720"/>
      <c r="K156" s="24">
        <f t="shared" si="31"/>
        <v>1</v>
      </c>
      <c r="L156" s="720"/>
      <c r="M156" s="24">
        <f t="shared" si="32"/>
        <v>1</v>
      </c>
      <c r="N156" s="720"/>
      <c r="O156" s="24">
        <f t="shared" si="33"/>
        <v>1</v>
      </c>
      <c r="P156" s="720"/>
      <c r="Q156" s="24">
        <f t="shared" si="34"/>
        <v>1</v>
      </c>
      <c r="R156" s="716">
        <f t="shared" si="35"/>
        <v>0</v>
      </c>
      <c r="S156" s="361">
        <f t="shared" si="26"/>
        <v>0</v>
      </c>
    </row>
    <row r="157" spans="1:19">
      <c r="A157" s="159"/>
      <c r="B157" s="59"/>
      <c r="C157" s="24">
        <f t="shared" si="27"/>
        <v>1</v>
      </c>
      <c r="D157" s="720"/>
      <c r="E157" s="24">
        <f t="shared" si="28"/>
        <v>1</v>
      </c>
      <c r="F157" s="720"/>
      <c r="G157" s="24">
        <f t="shared" si="29"/>
        <v>0.03</v>
      </c>
      <c r="H157" s="720"/>
      <c r="I157" s="24">
        <f t="shared" si="30"/>
        <v>1</v>
      </c>
      <c r="J157" s="720"/>
      <c r="K157" s="24">
        <f t="shared" si="31"/>
        <v>1</v>
      </c>
      <c r="L157" s="720"/>
      <c r="M157" s="24">
        <f t="shared" si="32"/>
        <v>1</v>
      </c>
      <c r="N157" s="720"/>
      <c r="O157" s="24">
        <f t="shared" si="33"/>
        <v>1</v>
      </c>
      <c r="P157" s="720"/>
      <c r="Q157" s="24">
        <f t="shared" si="34"/>
        <v>1</v>
      </c>
      <c r="R157" s="716">
        <f t="shared" si="35"/>
        <v>0</v>
      </c>
      <c r="S157" s="361">
        <f t="shared" si="26"/>
        <v>0</v>
      </c>
    </row>
    <row r="158" spans="1:19">
      <c r="A158" s="159"/>
      <c r="B158" s="59"/>
      <c r="C158" s="24">
        <f t="shared" si="27"/>
        <v>1</v>
      </c>
      <c r="D158" s="720"/>
      <c r="E158" s="24">
        <f t="shared" si="28"/>
        <v>1</v>
      </c>
      <c r="F158" s="720"/>
      <c r="G158" s="24">
        <f t="shared" si="29"/>
        <v>0.03</v>
      </c>
      <c r="H158" s="720"/>
      <c r="I158" s="24">
        <f t="shared" si="30"/>
        <v>1</v>
      </c>
      <c r="J158" s="720"/>
      <c r="K158" s="24">
        <f t="shared" si="31"/>
        <v>1</v>
      </c>
      <c r="L158" s="720"/>
      <c r="M158" s="24">
        <f t="shared" si="32"/>
        <v>1</v>
      </c>
      <c r="N158" s="720"/>
      <c r="O158" s="24">
        <f t="shared" si="33"/>
        <v>1</v>
      </c>
      <c r="P158" s="720"/>
      <c r="Q158" s="24">
        <f t="shared" si="34"/>
        <v>1</v>
      </c>
      <c r="R158" s="716">
        <f t="shared" si="35"/>
        <v>0</v>
      </c>
      <c r="S158" s="361">
        <f t="shared" si="26"/>
        <v>0</v>
      </c>
    </row>
    <row r="159" spans="1:19">
      <c r="A159" s="159"/>
      <c r="B159" s="59"/>
      <c r="C159" s="24">
        <f t="shared" si="27"/>
        <v>1</v>
      </c>
      <c r="D159" s="720"/>
      <c r="E159" s="24">
        <f t="shared" si="28"/>
        <v>1</v>
      </c>
      <c r="F159" s="720"/>
      <c r="G159" s="24">
        <f t="shared" si="29"/>
        <v>0.03</v>
      </c>
      <c r="H159" s="720"/>
      <c r="I159" s="24">
        <f t="shared" si="30"/>
        <v>1</v>
      </c>
      <c r="J159" s="720"/>
      <c r="K159" s="24">
        <f t="shared" si="31"/>
        <v>1</v>
      </c>
      <c r="L159" s="720"/>
      <c r="M159" s="24">
        <f t="shared" si="32"/>
        <v>1</v>
      </c>
      <c r="N159" s="720"/>
      <c r="O159" s="24">
        <f t="shared" si="33"/>
        <v>1</v>
      </c>
      <c r="P159" s="720"/>
      <c r="Q159" s="24">
        <f t="shared" si="34"/>
        <v>1</v>
      </c>
      <c r="R159" s="716">
        <f t="shared" si="35"/>
        <v>0</v>
      </c>
      <c r="S159" s="361">
        <f t="shared" si="26"/>
        <v>0</v>
      </c>
    </row>
    <row r="160" spans="1:19">
      <c r="A160" s="159"/>
      <c r="B160" s="59"/>
      <c r="C160" s="24">
        <f t="shared" si="27"/>
        <v>1</v>
      </c>
      <c r="D160" s="720"/>
      <c r="E160" s="24">
        <f t="shared" si="28"/>
        <v>1</v>
      </c>
      <c r="F160" s="720"/>
      <c r="G160" s="24">
        <f t="shared" si="29"/>
        <v>0.03</v>
      </c>
      <c r="H160" s="720"/>
      <c r="I160" s="24">
        <f t="shared" si="30"/>
        <v>1</v>
      </c>
      <c r="J160" s="720"/>
      <c r="K160" s="24">
        <f t="shared" si="31"/>
        <v>1</v>
      </c>
      <c r="L160" s="720"/>
      <c r="M160" s="24">
        <f t="shared" si="32"/>
        <v>1</v>
      </c>
      <c r="N160" s="720"/>
      <c r="O160" s="24">
        <f t="shared" si="33"/>
        <v>1</v>
      </c>
      <c r="P160" s="720"/>
      <c r="Q160" s="24">
        <f t="shared" si="34"/>
        <v>1</v>
      </c>
      <c r="R160" s="716">
        <f t="shared" si="35"/>
        <v>0</v>
      </c>
      <c r="S160" s="361">
        <f t="shared" si="26"/>
        <v>0</v>
      </c>
    </row>
    <row r="161" spans="1:19">
      <c r="A161" s="159"/>
      <c r="B161" s="59"/>
      <c r="C161" s="24">
        <f t="shared" si="27"/>
        <v>1</v>
      </c>
      <c r="D161" s="720"/>
      <c r="E161" s="24">
        <f t="shared" si="28"/>
        <v>1</v>
      </c>
      <c r="F161" s="720"/>
      <c r="G161" s="24">
        <f t="shared" si="29"/>
        <v>0.03</v>
      </c>
      <c r="H161" s="720"/>
      <c r="I161" s="24">
        <f t="shared" si="30"/>
        <v>1</v>
      </c>
      <c r="J161" s="720"/>
      <c r="K161" s="24">
        <f t="shared" si="31"/>
        <v>1</v>
      </c>
      <c r="L161" s="720"/>
      <c r="M161" s="24">
        <f t="shared" si="32"/>
        <v>1</v>
      </c>
      <c r="N161" s="720"/>
      <c r="O161" s="24">
        <f t="shared" si="33"/>
        <v>1</v>
      </c>
      <c r="P161" s="720"/>
      <c r="Q161" s="24">
        <f t="shared" si="34"/>
        <v>1</v>
      </c>
      <c r="R161" s="716">
        <f t="shared" si="35"/>
        <v>0</v>
      </c>
      <c r="S161" s="361">
        <f t="shared" si="26"/>
        <v>0</v>
      </c>
    </row>
    <row r="162" spans="1:19">
      <c r="A162" s="159"/>
      <c r="B162" s="59"/>
      <c r="C162" s="24">
        <f t="shared" si="27"/>
        <v>1</v>
      </c>
      <c r="D162" s="720"/>
      <c r="E162" s="24">
        <f t="shared" si="28"/>
        <v>1</v>
      </c>
      <c r="F162" s="720"/>
      <c r="G162" s="24">
        <f t="shared" si="29"/>
        <v>0.03</v>
      </c>
      <c r="H162" s="720"/>
      <c r="I162" s="24">
        <f t="shared" si="30"/>
        <v>1</v>
      </c>
      <c r="J162" s="720"/>
      <c r="K162" s="24">
        <f t="shared" si="31"/>
        <v>1</v>
      </c>
      <c r="L162" s="720"/>
      <c r="M162" s="24">
        <f t="shared" si="32"/>
        <v>1</v>
      </c>
      <c r="N162" s="720"/>
      <c r="O162" s="24">
        <f t="shared" si="33"/>
        <v>1</v>
      </c>
      <c r="P162" s="720"/>
      <c r="Q162" s="24">
        <f t="shared" si="34"/>
        <v>1</v>
      </c>
      <c r="R162" s="716">
        <f t="shared" si="35"/>
        <v>0</v>
      </c>
      <c r="S162" s="361">
        <f t="shared" si="26"/>
        <v>0</v>
      </c>
    </row>
    <row r="163" spans="1:19">
      <c r="A163" s="159"/>
      <c r="B163" s="59"/>
      <c r="C163" s="24">
        <f t="shared" si="27"/>
        <v>1</v>
      </c>
      <c r="D163" s="720"/>
      <c r="E163" s="24">
        <f t="shared" si="28"/>
        <v>1</v>
      </c>
      <c r="F163" s="720"/>
      <c r="G163" s="24">
        <f t="shared" si="29"/>
        <v>0.03</v>
      </c>
      <c r="H163" s="720"/>
      <c r="I163" s="24">
        <f t="shared" si="30"/>
        <v>1</v>
      </c>
      <c r="J163" s="720"/>
      <c r="K163" s="24">
        <f t="shared" si="31"/>
        <v>1</v>
      </c>
      <c r="L163" s="720"/>
      <c r="M163" s="24">
        <f t="shared" si="32"/>
        <v>1</v>
      </c>
      <c r="N163" s="720"/>
      <c r="O163" s="24">
        <f t="shared" si="33"/>
        <v>1</v>
      </c>
      <c r="P163" s="720"/>
      <c r="Q163" s="24">
        <f t="shared" si="34"/>
        <v>1</v>
      </c>
      <c r="R163" s="716">
        <f t="shared" si="35"/>
        <v>0</v>
      </c>
      <c r="S163" s="361">
        <f t="shared" si="26"/>
        <v>0</v>
      </c>
    </row>
    <row r="164" spans="1:19">
      <c r="A164" s="159"/>
      <c r="B164" s="59"/>
      <c r="C164" s="24">
        <f t="shared" si="27"/>
        <v>1</v>
      </c>
      <c r="D164" s="720"/>
      <c r="E164" s="24">
        <f t="shared" si="28"/>
        <v>1</v>
      </c>
      <c r="F164" s="720"/>
      <c r="G164" s="24">
        <f t="shared" si="29"/>
        <v>0.03</v>
      </c>
      <c r="H164" s="720"/>
      <c r="I164" s="24">
        <f t="shared" si="30"/>
        <v>1</v>
      </c>
      <c r="J164" s="720"/>
      <c r="K164" s="24">
        <f t="shared" si="31"/>
        <v>1</v>
      </c>
      <c r="L164" s="720"/>
      <c r="M164" s="24">
        <f t="shared" si="32"/>
        <v>1</v>
      </c>
      <c r="N164" s="720"/>
      <c r="O164" s="24">
        <f t="shared" si="33"/>
        <v>1</v>
      </c>
      <c r="P164" s="720"/>
      <c r="Q164" s="24">
        <f t="shared" si="34"/>
        <v>1</v>
      </c>
      <c r="R164" s="716">
        <f t="shared" si="35"/>
        <v>0</v>
      </c>
      <c r="S164" s="361">
        <f t="shared" si="26"/>
        <v>0</v>
      </c>
    </row>
    <row r="165" spans="1:19">
      <c r="A165" s="159"/>
      <c r="B165" s="59"/>
      <c r="C165" s="24">
        <f t="shared" si="27"/>
        <v>1</v>
      </c>
      <c r="D165" s="720"/>
      <c r="E165" s="24">
        <f t="shared" si="28"/>
        <v>1</v>
      </c>
      <c r="F165" s="720"/>
      <c r="G165" s="24">
        <f t="shared" si="29"/>
        <v>0.03</v>
      </c>
      <c r="H165" s="720"/>
      <c r="I165" s="24">
        <f t="shared" si="30"/>
        <v>1</v>
      </c>
      <c r="J165" s="720"/>
      <c r="K165" s="24">
        <f t="shared" si="31"/>
        <v>1</v>
      </c>
      <c r="L165" s="720"/>
      <c r="M165" s="24">
        <f t="shared" si="32"/>
        <v>1</v>
      </c>
      <c r="N165" s="720"/>
      <c r="O165" s="24">
        <f t="shared" si="33"/>
        <v>1</v>
      </c>
      <c r="P165" s="720"/>
      <c r="Q165" s="24">
        <f t="shared" si="34"/>
        <v>1</v>
      </c>
      <c r="R165" s="716">
        <f t="shared" si="35"/>
        <v>0</v>
      </c>
      <c r="S165" s="361">
        <f t="shared" si="26"/>
        <v>0</v>
      </c>
    </row>
    <row r="166" spans="1:19">
      <c r="A166" s="159"/>
      <c r="B166" s="59"/>
      <c r="C166" s="24">
        <f t="shared" si="27"/>
        <v>1</v>
      </c>
      <c r="D166" s="720"/>
      <c r="E166" s="24">
        <f t="shared" si="28"/>
        <v>1</v>
      </c>
      <c r="F166" s="720"/>
      <c r="G166" s="24">
        <f t="shared" si="29"/>
        <v>0.03</v>
      </c>
      <c r="H166" s="720"/>
      <c r="I166" s="24">
        <f t="shared" si="30"/>
        <v>1</v>
      </c>
      <c r="J166" s="720"/>
      <c r="K166" s="24">
        <f t="shared" si="31"/>
        <v>1</v>
      </c>
      <c r="L166" s="720"/>
      <c r="M166" s="24">
        <f t="shared" si="32"/>
        <v>1</v>
      </c>
      <c r="N166" s="720"/>
      <c r="O166" s="24">
        <f t="shared" si="33"/>
        <v>1</v>
      </c>
      <c r="P166" s="720"/>
      <c r="Q166" s="24">
        <f t="shared" si="34"/>
        <v>1</v>
      </c>
      <c r="R166" s="716">
        <f t="shared" si="35"/>
        <v>0</v>
      </c>
      <c r="S166" s="361">
        <f t="shared" si="26"/>
        <v>0</v>
      </c>
    </row>
    <row r="167" spans="1:19">
      <c r="A167" s="159"/>
      <c r="B167" s="59"/>
      <c r="C167" s="24">
        <f t="shared" si="27"/>
        <v>1</v>
      </c>
      <c r="D167" s="720"/>
      <c r="E167" s="24">
        <f t="shared" si="28"/>
        <v>1</v>
      </c>
      <c r="F167" s="720"/>
      <c r="G167" s="24">
        <f t="shared" si="29"/>
        <v>0.03</v>
      </c>
      <c r="H167" s="720"/>
      <c r="I167" s="24">
        <f t="shared" si="30"/>
        <v>1</v>
      </c>
      <c r="J167" s="720"/>
      <c r="K167" s="24">
        <f t="shared" si="31"/>
        <v>1</v>
      </c>
      <c r="L167" s="720"/>
      <c r="M167" s="24">
        <f t="shared" si="32"/>
        <v>1</v>
      </c>
      <c r="N167" s="720"/>
      <c r="O167" s="24">
        <f t="shared" si="33"/>
        <v>1</v>
      </c>
      <c r="P167" s="720"/>
      <c r="Q167" s="24">
        <f t="shared" si="34"/>
        <v>1</v>
      </c>
      <c r="R167" s="716">
        <f t="shared" si="35"/>
        <v>0</v>
      </c>
      <c r="S167" s="361">
        <f t="shared" si="26"/>
        <v>0</v>
      </c>
    </row>
    <row r="168" spans="1:19">
      <c r="A168" s="159"/>
      <c r="B168" s="59"/>
      <c r="C168" s="24">
        <f t="shared" si="27"/>
        <v>1</v>
      </c>
      <c r="D168" s="720"/>
      <c r="E168" s="24">
        <f t="shared" si="28"/>
        <v>1</v>
      </c>
      <c r="F168" s="720"/>
      <c r="G168" s="24">
        <f t="shared" si="29"/>
        <v>0.03</v>
      </c>
      <c r="H168" s="720"/>
      <c r="I168" s="24">
        <f t="shared" si="30"/>
        <v>1</v>
      </c>
      <c r="J168" s="720"/>
      <c r="K168" s="24">
        <f t="shared" si="31"/>
        <v>1</v>
      </c>
      <c r="L168" s="720"/>
      <c r="M168" s="24">
        <f t="shared" si="32"/>
        <v>1</v>
      </c>
      <c r="N168" s="720"/>
      <c r="O168" s="24">
        <f t="shared" si="33"/>
        <v>1</v>
      </c>
      <c r="P168" s="720"/>
      <c r="Q168" s="24">
        <f t="shared" si="34"/>
        <v>1</v>
      </c>
      <c r="R168" s="716">
        <f t="shared" si="35"/>
        <v>0</v>
      </c>
      <c r="S168" s="361">
        <f t="shared" si="26"/>
        <v>0</v>
      </c>
    </row>
    <row r="169" spans="1:19">
      <c r="A169" s="159"/>
      <c r="B169" s="59"/>
      <c r="C169" s="24">
        <f t="shared" si="27"/>
        <v>1</v>
      </c>
      <c r="D169" s="720"/>
      <c r="E169" s="24">
        <f t="shared" si="28"/>
        <v>1</v>
      </c>
      <c r="F169" s="720"/>
      <c r="G169" s="24">
        <f t="shared" si="29"/>
        <v>0.03</v>
      </c>
      <c r="H169" s="720"/>
      <c r="I169" s="24">
        <f t="shared" si="30"/>
        <v>1</v>
      </c>
      <c r="J169" s="720"/>
      <c r="K169" s="24">
        <f t="shared" si="31"/>
        <v>1</v>
      </c>
      <c r="L169" s="720"/>
      <c r="M169" s="24">
        <f t="shared" si="32"/>
        <v>1</v>
      </c>
      <c r="N169" s="720"/>
      <c r="O169" s="24">
        <f t="shared" si="33"/>
        <v>1</v>
      </c>
      <c r="P169" s="720"/>
      <c r="Q169" s="24">
        <f t="shared" si="34"/>
        <v>1</v>
      </c>
      <c r="R169" s="716">
        <f t="shared" si="35"/>
        <v>0</v>
      </c>
      <c r="S169" s="361">
        <f t="shared" si="26"/>
        <v>0</v>
      </c>
    </row>
    <row r="170" spans="1:19">
      <c r="A170" s="159"/>
      <c r="B170" s="59"/>
      <c r="C170" s="24">
        <f t="shared" si="27"/>
        <v>1</v>
      </c>
      <c r="D170" s="720"/>
      <c r="E170" s="24">
        <f t="shared" si="28"/>
        <v>1</v>
      </c>
      <c r="F170" s="720"/>
      <c r="G170" s="24">
        <f t="shared" si="29"/>
        <v>0.03</v>
      </c>
      <c r="H170" s="720"/>
      <c r="I170" s="24">
        <f t="shared" si="30"/>
        <v>1</v>
      </c>
      <c r="J170" s="720"/>
      <c r="K170" s="24">
        <f t="shared" si="31"/>
        <v>1</v>
      </c>
      <c r="L170" s="720"/>
      <c r="M170" s="24">
        <f t="shared" si="32"/>
        <v>1</v>
      </c>
      <c r="N170" s="720"/>
      <c r="O170" s="24">
        <f t="shared" si="33"/>
        <v>1</v>
      </c>
      <c r="P170" s="720"/>
      <c r="Q170" s="24">
        <f t="shared" si="34"/>
        <v>1</v>
      </c>
      <c r="R170" s="716">
        <f t="shared" si="35"/>
        <v>0</v>
      </c>
      <c r="S170" s="361">
        <f t="shared" si="26"/>
        <v>0</v>
      </c>
    </row>
    <row r="171" spans="1:19">
      <c r="A171" s="159"/>
      <c r="B171" s="59"/>
      <c r="C171" s="24">
        <f t="shared" si="27"/>
        <v>1</v>
      </c>
      <c r="D171" s="720"/>
      <c r="E171" s="24">
        <f t="shared" si="28"/>
        <v>1</v>
      </c>
      <c r="F171" s="720"/>
      <c r="G171" s="24">
        <f t="shared" si="29"/>
        <v>0.03</v>
      </c>
      <c r="H171" s="720"/>
      <c r="I171" s="24">
        <f t="shared" si="30"/>
        <v>1</v>
      </c>
      <c r="J171" s="720"/>
      <c r="K171" s="24">
        <f t="shared" si="31"/>
        <v>1</v>
      </c>
      <c r="L171" s="720"/>
      <c r="M171" s="24">
        <f t="shared" si="32"/>
        <v>1</v>
      </c>
      <c r="N171" s="720"/>
      <c r="O171" s="24">
        <f t="shared" si="33"/>
        <v>1</v>
      </c>
      <c r="P171" s="720"/>
      <c r="Q171" s="24">
        <f t="shared" si="34"/>
        <v>1</v>
      </c>
      <c r="R171" s="716">
        <f t="shared" si="35"/>
        <v>0</v>
      </c>
      <c r="S171" s="361">
        <f t="shared" si="26"/>
        <v>0</v>
      </c>
    </row>
    <row r="172" spans="1:19">
      <c r="A172" s="159"/>
      <c r="B172" s="59"/>
      <c r="C172" s="24">
        <f t="shared" si="27"/>
        <v>1</v>
      </c>
      <c r="D172" s="720"/>
      <c r="E172" s="24">
        <f t="shared" si="28"/>
        <v>1</v>
      </c>
      <c r="F172" s="720"/>
      <c r="G172" s="24">
        <f t="shared" si="29"/>
        <v>0.03</v>
      </c>
      <c r="H172" s="720"/>
      <c r="I172" s="24">
        <f t="shared" si="30"/>
        <v>1</v>
      </c>
      <c r="J172" s="720"/>
      <c r="K172" s="24">
        <f t="shared" si="31"/>
        <v>1</v>
      </c>
      <c r="L172" s="720"/>
      <c r="M172" s="24">
        <f t="shared" si="32"/>
        <v>1</v>
      </c>
      <c r="N172" s="720"/>
      <c r="O172" s="24">
        <f t="shared" si="33"/>
        <v>1</v>
      </c>
      <c r="P172" s="720"/>
      <c r="Q172" s="24">
        <f t="shared" si="34"/>
        <v>1</v>
      </c>
      <c r="R172" s="716">
        <f t="shared" si="35"/>
        <v>0</v>
      </c>
      <c r="S172" s="361">
        <f t="shared" si="26"/>
        <v>0</v>
      </c>
    </row>
    <row r="173" spans="1:19">
      <c r="A173" s="159"/>
      <c r="B173" s="59"/>
      <c r="C173" s="24">
        <f t="shared" si="27"/>
        <v>1</v>
      </c>
      <c r="D173" s="720"/>
      <c r="E173" s="24">
        <f t="shared" si="28"/>
        <v>1</v>
      </c>
      <c r="F173" s="720"/>
      <c r="G173" s="24">
        <f t="shared" si="29"/>
        <v>0.03</v>
      </c>
      <c r="H173" s="720"/>
      <c r="I173" s="24">
        <f t="shared" si="30"/>
        <v>1</v>
      </c>
      <c r="J173" s="720"/>
      <c r="K173" s="24">
        <f t="shared" si="31"/>
        <v>1</v>
      </c>
      <c r="L173" s="720"/>
      <c r="M173" s="24">
        <f t="shared" si="32"/>
        <v>1</v>
      </c>
      <c r="N173" s="720"/>
      <c r="O173" s="24">
        <f t="shared" si="33"/>
        <v>1</v>
      </c>
      <c r="P173" s="720"/>
      <c r="Q173" s="24">
        <f t="shared" si="34"/>
        <v>1</v>
      </c>
      <c r="R173" s="716">
        <f t="shared" si="35"/>
        <v>0</v>
      </c>
      <c r="S173" s="361">
        <f t="shared" si="26"/>
        <v>0</v>
      </c>
    </row>
    <row r="174" spans="1:19">
      <c r="A174" s="159"/>
      <c r="B174" s="59"/>
      <c r="C174" s="24">
        <f t="shared" si="27"/>
        <v>1</v>
      </c>
      <c r="D174" s="720"/>
      <c r="E174" s="24">
        <f t="shared" si="28"/>
        <v>1</v>
      </c>
      <c r="F174" s="720"/>
      <c r="G174" s="24">
        <f t="shared" si="29"/>
        <v>0.03</v>
      </c>
      <c r="H174" s="720"/>
      <c r="I174" s="24">
        <f t="shared" si="30"/>
        <v>1</v>
      </c>
      <c r="J174" s="720"/>
      <c r="K174" s="24">
        <f t="shared" si="31"/>
        <v>1</v>
      </c>
      <c r="L174" s="720"/>
      <c r="M174" s="24">
        <f t="shared" si="32"/>
        <v>1</v>
      </c>
      <c r="N174" s="720"/>
      <c r="O174" s="24">
        <f t="shared" si="33"/>
        <v>1</v>
      </c>
      <c r="P174" s="720"/>
      <c r="Q174" s="24">
        <f t="shared" si="34"/>
        <v>1</v>
      </c>
      <c r="R174" s="716">
        <f t="shared" si="35"/>
        <v>0</v>
      </c>
      <c r="S174" s="361">
        <f t="shared" si="26"/>
        <v>0</v>
      </c>
    </row>
    <row r="175" spans="1:19">
      <c r="A175" s="159"/>
      <c r="B175" s="59"/>
      <c r="C175" s="24">
        <f t="shared" si="27"/>
        <v>1</v>
      </c>
      <c r="D175" s="720"/>
      <c r="E175" s="24">
        <f t="shared" si="28"/>
        <v>1</v>
      </c>
      <c r="F175" s="720"/>
      <c r="G175" s="24">
        <f t="shared" si="29"/>
        <v>0.03</v>
      </c>
      <c r="H175" s="720"/>
      <c r="I175" s="24">
        <f t="shared" si="30"/>
        <v>1</v>
      </c>
      <c r="J175" s="720"/>
      <c r="K175" s="24">
        <f t="shared" si="31"/>
        <v>1</v>
      </c>
      <c r="L175" s="720"/>
      <c r="M175" s="24">
        <f t="shared" si="32"/>
        <v>1</v>
      </c>
      <c r="N175" s="720"/>
      <c r="O175" s="24">
        <f t="shared" si="33"/>
        <v>1</v>
      </c>
      <c r="P175" s="720"/>
      <c r="Q175" s="24">
        <f t="shared" si="34"/>
        <v>1</v>
      </c>
      <c r="R175" s="716">
        <f t="shared" si="35"/>
        <v>0</v>
      </c>
      <c r="S175" s="361">
        <f t="shared" si="26"/>
        <v>0</v>
      </c>
    </row>
    <row r="176" spans="1:19">
      <c r="A176" s="159"/>
      <c r="B176" s="59"/>
      <c r="C176" s="24">
        <f t="shared" si="27"/>
        <v>1</v>
      </c>
      <c r="D176" s="720"/>
      <c r="E176" s="24">
        <f t="shared" si="28"/>
        <v>1</v>
      </c>
      <c r="F176" s="720"/>
      <c r="G176" s="24">
        <f t="shared" si="29"/>
        <v>0.03</v>
      </c>
      <c r="H176" s="720"/>
      <c r="I176" s="24">
        <f t="shared" si="30"/>
        <v>1</v>
      </c>
      <c r="J176" s="720"/>
      <c r="K176" s="24">
        <f t="shared" si="31"/>
        <v>1</v>
      </c>
      <c r="L176" s="720"/>
      <c r="M176" s="24">
        <f t="shared" si="32"/>
        <v>1</v>
      </c>
      <c r="N176" s="720"/>
      <c r="O176" s="24">
        <f t="shared" si="33"/>
        <v>1</v>
      </c>
      <c r="P176" s="720"/>
      <c r="Q176" s="24">
        <f t="shared" si="34"/>
        <v>1</v>
      </c>
      <c r="R176" s="716">
        <f t="shared" si="35"/>
        <v>0</v>
      </c>
      <c r="S176" s="361">
        <f t="shared" si="26"/>
        <v>0</v>
      </c>
    </row>
    <row r="177" spans="1:19">
      <c r="A177" s="159"/>
      <c r="B177" s="59"/>
      <c r="C177" s="24">
        <f t="shared" si="27"/>
        <v>1</v>
      </c>
      <c r="D177" s="720"/>
      <c r="E177" s="24">
        <f t="shared" si="28"/>
        <v>1</v>
      </c>
      <c r="F177" s="720"/>
      <c r="G177" s="24">
        <f t="shared" si="29"/>
        <v>0.03</v>
      </c>
      <c r="H177" s="720"/>
      <c r="I177" s="24">
        <f t="shared" si="30"/>
        <v>1</v>
      </c>
      <c r="J177" s="720"/>
      <c r="K177" s="24">
        <f t="shared" si="31"/>
        <v>1</v>
      </c>
      <c r="L177" s="720"/>
      <c r="M177" s="24">
        <f t="shared" si="32"/>
        <v>1</v>
      </c>
      <c r="N177" s="720"/>
      <c r="O177" s="24">
        <f t="shared" si="33"/>
        <v>1</v>
      </c>
      <c r="P177" s="720"/>
      <c r="Q177" s="24">
        <f t="shared" si="34"/>
        <v>1</v>
      </c>
      <c r="R177" s="716">
        <f t="shared" si="35"/>
        <v>0</v>
      </c>
      <c r="S177" s="361">
        <f t="shared" si="26"/>
        <v>0</v>
      </c>
    </row>
    <row r="178" spans="1:19">
      <c r="A178" s="159"/>
      <c r="B178" s="59"/>
      <c r="C178" s="24">
        <f t="shared" si="27"/>
        <v>1</v>
      </c>
      <c r="D178" s="720"/>
      <c r="E178" s="24">
        <f t="shared" si="28"/>
        <v>1</v>
      </c>
      <c r="F178" s="720"/>
      <c r="G178" s="24">
        <f t="shared" si="29"/>
        <v>0.03</v>
      </c>
      <c r="H178" s="720"/>
      <c r="I178" s="24">
        <f t="shared" si="30"/>
        <v>1</v>
      </c>
      <c r="J178" s="720"/>
      <c r="K178" s="24">
        <f t="shared" si="31"/>
        <v>1</v>
      </c>
      <c r="L178" s="720"/>
      <c r="M178" s="24">
        <f t="shared" si="32"/>
        <v>1</v>
      </c>
      <c r="N178" s="720"/>
      <c r="O178" s="24">
        <f t="shared" si="33"/>
        <v>1</v>
      </c>
      <c r="P178" s="720"/>
      <c r="Q178" s="24">
        <f t="shared" si="34"/>
        <v>1</v>
      </c>
      <c r="R178" s="716">
        <f t="shared" si="35"/>
        <v>0</v>
      </c>
      <c r="S178" s="361">
        <f t="shared" si="26"/>
        <v>0</v>
      </c>
    </row>
    <row r="179" spans="1:19">
      <c r="A179" s="159"/>
      <c r="B179" s="59"/>
      <c r="C179" s="24">
        <f t="shared" si="27"/>
        <v>1</v>
      </c>
      <c r="D179" s="720"/>
      <c r="E179" s="24">
        <f t="shared" si="28"/>
        <v>1</v>
      </c>
      <c r="F179" s="720"/>
      <c r="G179" s="24">
        <f t="shared" si="29"/>
        <v>0.03</v>
      </c>
      <c r="H179" s="720"/>
      <c r="I179" s="24">
        <f t="shared" si="30"/>
        <v>1</v>
      </c>
      <c r="J179" s="720"/>
      <c r="K179" s="24">
        <f t="shared" si="31"/>
        <v>1</v>
      </c>
      <c r="L179" s="720"/>
      <c r="M179" s="24">
        <f t="shared" si="32"/>
        <v>1</v>
      </c>
      <c r="N179" s="720"/>
      <c r="O179" s="24">
        <f t="shared" si="33"/>
        <v>1</v>
      </c>
      <c r="P179" s="720"/>
      <c r="Q179" s="24">
        <f t="shared" si="34"/>
        <v>1</v>
      </c>
      <c r="R179" s="716">
        <f t="shared" si="35"/>
        <v>0</v>
      </c>
      <c r="S179" s="361">
        <f t="shared" si="26"/>
        <v>0</v>
      </c>
    </row>
    <row r="180" spans="1:19">
      <c r="A180" s="159"/>
      <c r="B180" s="59"/>
      <c r="C180" s="24">
        <f t="shared" si="27"/>
        <v>1</v>
      </c>
      <c r="D180" s="720"/>
      <c r="E180" s="24">
        <f t="shared" si="28"/>
        <v>1</v>
      </c>
      <c r="F180" s="720"/>
      <c r="G180" s="24">
        <f t="shared" si="29"/>
        <v>0.03</v>
      </c>
      <c r="H180" s="720"/>
      <c r="I180" s="24">
        <f t="shared" si="30"/>
        <v>1</v>
      </c>
      <c r="J180" s="720"/>
      <c r="K180" s="24">
        <f t="shared" si="31"/>
        <v>1</v>
      </c>
      <c r="L180" s="720"/>
      <c r="M180" s="24">
        <f t="shared" si="32"/>
        <v>1</v>
      </c>
      <c r="N180" s="720"/>
      <c r="O180" s="24">
        <f t="shared" si="33"/>
        <v>1</v>
      </c>
      <c r="P180" s="720"/>
      <c r="Q180" s="24">
        <f t="shared" si="34"/>
        <v>1</v>
      </c>
      <c r="R180" s="716">
        <f t="shared" si="35"/>
        <v>0</v>
      </c>
      <c r="S180" s="361">
        <f t="shared" si="26"/>
        <v>0</v>
      </c>
    </row>
    <row r="181" spans="1:19">
      <c r="A181" s="159"/>
      <c r="B181" s="59"/>
      <c r="C181" s="24">
        <f t="shared" si="27"/>
        <v>1</v>
      </c>
      <c r="D181" s="720"/>
      <c r="E181" s="24">
        <f t="shared" si="28"/>
        <v>1</v>
      </c>
      <c r="F181" s="720"/>
      <c r="G181" s="24">
        <f t="shared" si="29"/>
        <v>0.03</v>
      </c>
      <c r="H181" s="720"/>
      <c r="I181" s="24">
        <f t="shared" si="30"/>
        <v>1</v>
      </c>
      <c r="J181" s="720"/>
      <c r="K181" s="24">
        <f t="shared" si="31"/>
        <v>1</v>
      </c>
      <c r="L181" s="720"/>
      <c r="M181" s="24">
        <f t="shared" si="32"/>
        <v>1</v>
      </c>
      <c r="N181" s="720"/>
      <c r="O181" s="24">
        <f t="shared" si="33"/>
        <v>1</v>
      </c>
      <c r="P181" s="720"/>
      <c r="Q181" s="24">
        <f t="shared" si="34"/>
        <v>1</v>
      </c>
      <c r="R181" s="716">
        <f t="shared" si="35"/>
        <v>0</v>
      </c>
      <c r="S181" s="361">
        <f t="shared" si="26"/>
        <v>0</v>
      </c>
    </row>
    <row r="182" spans="1:19">
      <c r="A182" s="159"/>
      <c r="B182" s="59"/>
      <c r="C182" s="24">
        <f t="shared" si="27"/>
        <v>1</v>
      </c>
      <c r="D182" s="720"/>
      <c r="E182" s="24">
        <f t="shared" si="28"/>
        <v>1</v>
      </c>
      <c r="F182" s="720"/>
      <c r="G182" s="24">
        <f t="shared" si="29"/>
        <v>0.03</v>
      </c>
      <c r="H182" s="720"/>
      <c r="I182" s="24">
        <f t="shared" si="30"/>
        <v>1</v>
      </c>
      <c r="J182" s="720"/>
      <c r="K182" s="24">
        <f t="shared" si="31"/>
        <v>1</v>
      </c>
      <c r="L182" s="720"/>
      <c r="M182" s="24">
        <f t="shared" si="32"/>
        <v>1</v>
      </c>
      <c r="N182" s="720"/>
      <c r="O182" s="24">
        <f t="shared" si="33"/>
        <v>1</v>
      </c>
      <c r="P182" s="720"/>
      <c r="Q182" s="24">
        <f t="shared" si="34"/>
        <v>1</v>
      </c>
      <c r="R182" s="716">
        <f t="shared" si="35"/>
        <v>0</v>
      </c>
      <c r="S182" s="361">
        <f t="shared" si="26"/>
        <v>0</v>
      </c>
    </row>
    <row r="183" spans="1:19">
      <c r="A183" s="159"/>
      <c r="B183" s="59"/>
      <c r="C183" s="24">
        <f t="shared" si="27"/>
        <v>1</v>
      </c>
      <c r="D183" s="720"/>
      <c r="E183" s="24">
        <f t="shared" si="28"/>
        <v>1</v>
      </c>
      <c r="F183" s="720"/>
      <c r="G183" s="24">
        <f t="shared" si="29"/>
        <v>0.03</v>
      </c>
      <c r="H183" s="720"/>
      <c r="I183" s="24">
        <f t="shared" si="30"/>
        <v>1</v>
      </c>
      <c r="J183" s="720"/>
      <c r="K183" s="24">
        <f t="shared" si="31"/>
        <v>1</v>
      </c>
      <c r="L183" s="720"/>
      <c r="M183" s="24">
        <f t="shared" si="32"/>
        <v>1</v>
      </c>
      <c r="N183" s="720"/>
      <c r="O183" s="24">
        <f t="shared" si="33"/>
        <v>1</v>
      </c>
      <c r="P183" s="720"/>
      <c r="Q183" s="24">
        <f t="shared" si="34"/>
        <v>1</v>
      </c>
      <c r="R183" s="716">
        <f t="shared" si="35"/>
        <v>0</v>
      </c>
      <c r="S183" s="361">
        <f t="shared" si="26"/>
        <v>0</v>
      </c>
    </row>
    <row r="184" spans="1:19">
      <c r="A184" s="159"/>
      <c r="B184" s="59"/>
      <c r="C184" s="24">
        <f t="shared" si="27"/>
        <v>1</v>
      </c>
      <c r="D184" s="720"/>
      <c r="E184" s="24">
        <f t="shared" si="28"/>
        <v>1</v>
      </c>
      <c r="F184" s="720"/>
      <c r="G184" s="24">
        <f t="shared" si="29"/>
        <v>0.03</v>
      </c>
      <c r="H184" s="720"/>
      <c r="I184" s="24">
        <f t="shared" si="30"/>
        <v>1</v>
      </c>
      <c r="J184" s="720"/>
      <c r="K184" s="24">
        <f t="shared" si="31"/>
        <v>1</v>
      </c>
      <c r="L184" s="720"/>
      <c r="M184" s="24">
        <f t="shared" si="32"/>
        <v>1</v>
      </c>
      <c r="N184" s="720"/>
      <c r="O184" s="24">
        <f t="shared" si="33"/>
        <v>1</v>
      </c>
      <c r="P184" s="720"/>
      <c r="Q184" s="24">
        <f t="shared" si="34"/>
        <v>1</v>
      </c>
      <c r="R184" s="716">
        <f t="shared" si="35"/>
        <v>0</v>
      </c>
      <c r="S184" s="361">
        <f t="shared" si="26"/>
        <v>0</v>
      </c>
    </row>
    <row r="185" spans="1:19">
      <c r="A185" s="159"/>
      <c r="B185" s="59"/>
      <c r="C185" s="24">
        <f t="shared" si="27"/>
        <v>1</v>
      </c>
      <c r="D185" s="720"/>
      <c r="E185" s="24">
        <f t="shared" si="28"/>
        <v>1</v>
      </c>
      <c r="F185" s="720"/>
      <c r="G185" s="24">
        <f t="shared" si="29"/>
        <v>0.03</v>
      </c>
      <c r="H185" s="720"/>
      <c r="I185" s="24">
        <f t="shared" si="30"/>
        <v>1</v>
      </c>
      <c r="J185" s="720"/>
      <c r="K185" s="24">
        <f t="shared" si="31"/>
        <v>1</v>
      </c>
      <c r="L185" s="720"/>
      <c r="M185" s="24">
        <f t="shared" si="32"/>
        <v>1</v>
      </c>
      <c r="N185" s="720"/>
      <c r="O185" s="24">
        <f t="shared" si="33"/>
        <v>1</v>
      </c>
      <c r="P185" s="720"/>
      <c r="Q185" s="24">
        <f t="shared" si="34"/>
        <v>1</v>
      </c>
      <c r="R185" s="716">
        <f t="shared" si="35"/>
        <v>0</v>
      </c>
      <c r="S185" s="361">
        <f t="shared" si="26"/>
        <v>0</v>
      </c>
    </row>
    <row r="186" spans="1:19">
      <c r="A186" s="159"/>
      <c r="B186" s="59"/>
      <c r="C186" s="24">
        <f t="shared" si="27"/>
        <v>1</v>
      </c>
      <c r="D186" s="720"/>
      <c r="E186" s="24">
        <f t="shared" si="28"/>
        <v>1</v>
      </c>
      <c r="F186" s="720"/>
      <c r="G186" s="24">
        <f t="shared" si="29"/>
        <v>0.03</v>
      </c>
      <c r="H186" s="720"/>
      <c r="I186" s="24">
        <f t="shared" si="30"/>
        <v>1</v>
      </c>
      <c r="J186" s="720"/>
      <c r="K186" s="24">
        <f t="shared" si="31"/>
        <v>1</v>
      </c>
      <c r="L186" s="720"/>
      <c r="M186" s="24">
        <f t="shared" si="32"/>
        <v>1</v>
      </c>
      <c r="N186" s="720"/>
      <c r="O186" s="24">
        <f t="shared" si="33"/>
        <v>1</v>
      </c>
      <c r="P186" s="720"/>
      <c r="Q186" s="24">
        <f t="shared" si="34"/>
        <v>1</v>
      </c>
      <c r="R186" s="716">
        <f t="shared" si="35"/>
        <v>0</v>
      </c>
      <c r="S186" s="361">
        <f t="shared" si="26"/>
        <v>0</v>
      </c>
    </row>
    <row r="187" spans="1:19">
      <c r="A187" s="159"/>
      <c r="B187" s="59"/>
      <c r="C187" s="24">
        <f t="shared" si="27"/>
        <v>1</v>
      </c>
      <c r="D187" s="720"/>
      <c r="E187" s="24">
        <f t="shared" si="28"/>
        <v>1</v>
      </c>
      <c r="F187" s="720"/>
      <c r="G187" s="24">
        <f t="shared" si="29"/>
        <v>0.03</v>
      </c>
      <c r="H187" s="720"/>
      <c r="I187" s="24">
        <f t="shared" si="30"/>
        <v>1</v>
      </c>
      <c r="J187" s="720"/>
      <c r="K187" s="24">
        <f t="shared" si="31"/>
        <v>1</v>
      </c>
      <c r="L187" s="720"/>
      <c r="M187" s="24">
        <f t="shared" si="32"/>
        <v>1</v>
      </c>
      <c r="N187" s="720"/>
      <c r="O187" s="24">
        <f t="shared" si="33"/>
        <v>1</v>
      </c>
      <c r="P187" s="720"/>
      <c r="Q187" s="24">
        <f t="shared" si="34"/>
        <v>1</v>
      </c>
      <c r="R187" s="716">
        <f t="shared" si="35"/>
        <v>0</v>
      </c>
      <c r="S187" s="361">
        <f t="shared" si="26"/>
        <v>0</v>
      </c>
    </row>
    <row r="188" spans="1:19">
      <c r="A188" s="159"/>
      <c r="B188" s="59"/>
      <c r="C188" s="24">
        <f t="shared" si="27"/>
        <v>1</v>
      </c>
      <c r="D188" s="720"/>
      <c r="E188" s="24">
        <f t="shared" si="28"/>
        <v>1</v>
      </c>
      <c r="F188" s="720"/>
      <c r="G188" s="24">
        <f t="shared" si="29"/>
        <v>0.03</v>
      </c>
      <c r="H188" s="720"/>
      <c r="I188" s="24">
        <f t="shared" si="30"/>
        <v>1</v>
      </c>
      <c r="J188" s="720"/>
      <c r="K188" s="24">
        <f t="shared" si="31"/>
        <v>1</v>
      </c>
      <c r="L188" s="720"/>
      <c r="M188" s="24">
        <f t="shared" si="32"/>
        <v>1</v>
      </c>
      <c r="N188" s="720"/>
      <c r="O188" s="24">
        <f t="shared" si="33"/>
        <v>1</v>
      </c>
      <c r="P188" s="720"/>
      <c r="Q188" s="24">
        <f t="shared" si="34"/>
        <v>1</v>
      </c>
      <c r="R188" s="716">
        <f t="shared" si="35"/>
        <v>0</v>
      </c>
      <c r="S188" s="361">
        <f t="shared" si="26"/>
        <v>0</v>
      </c>
    </row>
    <row r="189" spans="1:19">
      <c r="A189" s="159"/>
      <c r="B189" s="59"/>
      <c r="C189" s="24">
        <f t="shared" si="27"/>
        <v>1</v>
      </c>
      <c r="D189" s="720"/>
      <c r="E189" s="24">
        <f t="shared" si="28"/>
        <v>1</v>
      </c>
      <c r="F189" s="720"/>
      <c r="G189" s="24">
        <f t="shared" si="29"/>
        <v>0.03</v>
      </c>
      <c r="H189" s="720"/>
      <c r="I189" s="24">
        <f t="shared" si="30"/>
        <v>1</v>
      </c>
      <c r="J189" s="720"/>
      <c r="K189" s="24">
        <f t="shared" si="31"/>
        <v>1</v>
      </c>
      <c r="L189" s="720"/>
      <c r="M189" s="24">
        <f t="shared" si="32"/>
        <v>1</v>
      </c>
      <c r="N189" s="720"/>
      <c r="O189" s="24">
        <f t="shared" si="33"/>
        <v>1</v>
      </c>
      <c r="P189" s="720"/>
      <c r="Q189" s="24">
        <f t="shared" si="34"/>
        <v>1</v>
      </c>
      <c r="R189" s="716">
        <f t="shared" si="35"/>
        <v>0</v>
      </c>
      <c r="S189" s="361">
        <f t="shared" si="26"/>
        <v>0</v>
      </c>
    </row>
    <row r="190" spans="1:19">
      <c r="A190" s="159"/>
      <c r="B190" s="59"/>
      <c r="C190" s="24">
        <f t="shared" si="27"/>
        <v>1</v>
      </c>
      <c r="D190" s="720"/>
      <c r="E190" s="24">
        <f t="shared" si="28"/>
        <v>1</v>
      </c>
      <c r="F190" s="720"/>
      <c r="G190" s="24">
        <f t="shared" si="29"/>
        <v>0.03</v>
      </c>
      <c r="H190" s="720"/>
      <c r="I190" s="24">
        <f t="shared" si="30"/>
        <v>1</v>
      </c>
      <c r="J190" s="720"/>
      <c r="K190" s="24">
        <f t="shared" si="31"/>
        <v>1</v>
      </c>
      <c r="L190" s="720"/>
      <c r="M190" s="24">
        <f t="shared" si="32"/>
        <v>1</v>
      </c>
      <c r="N190" s="720"/>
      <c r="O190" s="24">
        <f t="shared" si="33"/>
        <v>1</v>
      </c>
      <c r="P190" s="720"/>
      <c r="Q190" s="24">
        <f t="shared" si="34"/>
        <v>1</v>
      </c>
      <c r="R190" s="716">
        <f t="shared" si="35"/>
        <v>0</v>
      </c>
      <c r="S190" s="361">
        <f t="shared" si="26"/>
        <v>0</v>
      </c>
    </row>
    <row r="191" spans="1:19">
      <c r="A191" s="159"/>
      <c r="B191" s="59"/>
      <c r="C191" s="24">
        <f t="shared" si="27"/>
        <v>1</v>
      </c>
      <c r="D191" s="720"/>
      <c r="E191" s="24">
        <f t="shared" si="28"/>
        <v>1</v>
      </c>
      <c r="F191" s="720"/>
      <c r="G191" s="24">
        <f t="shared" si="29"/>
        <v>0.03</v>
      </c>
      <c r="H191" s="720"/>
      <c r="I191" s="24">
        <f t="shared" si="30"/>
        <v>1</v>
      </c>
      <c r="J191" s="720"/>
      <c r="K191" s="24">
        <f t="shared" si="31"/>
        <v>1</v>
      </c>
      <c r="L191" s="720"/>
      <c r="M191" s="24">
        <f t="shared" si="32"/>
        <v>1</v>
      </c>
      <c r="N191" s="720"/>
      <c r="O191" s="24">
        <f t="shared" si="33"/>
        <v>1</v>
      </c>
      <c r="P191" s="720"/>
      <c r="Q191" s="24">
        <f t="shared" si="34"/>
        <v>1</v>
      </c>
      <c r="R191" s="716">
        <f t="shared" si="35"/>
        <v>0</v>
      </c>
      <c r="S191" s="361">
        <f t="shared" si="26"/>
        <v>0</v>
      </c>
    </row>
    <row r="192" spans="1:19">
      <c r="A192" s="159"/>
      <c r="B192" s="59"/>
      <c r="C192" s="24">
        <f t="shared" si="27"/>
        <v>1</v>
      </c>
      <c r="D192" s="720"/>
      <c r="E192" s="24">
        <f t="shared" si="28"/>
        <v>1</v>
      </c>
      <c r="F192" s="720"/>
      <c r="G192" s="24">
        <f t="shared" si="29"/>
        <v>0.03</v>
      </c>
      <c r="H192" s="720"/>
      <c r="I192" s="24">
        <f t="shared" si="30"/>
        <v>1</v>
      </c>
      <c r="J192" s="720"/>
      <c r="K192" s="24">
        <f t="shared" si="31"/>
        <v>1</v>
      </c>
      <c r="L192" s="720"/>
      <c r="M192" s="24">
        <f t="shared" si="32"/>
        <v>1</v>
      </c>
      <c r="N192" s="720"/>
      <c r="O192" s="24">
        <f t="shared" si="33"/>
        <v>1</v>
      </c>
      <c r="P192" s="720"/>
      <c r="Q192" s="24">
        <f t="shared" si="34"/>
        <v>1</v>
      </c>
      <c r="R192" s="716">
        <f t="shared" si="35"/>
        <v>0</v>
      </c>
      <c r="S192" s="361">
        <f t="shared" si="26"/>
        <v>0</v>
      </c>
    </row>
    <row r="193" spans="1:19">
      <c r="A193" s="159"/>
      <c r="B193" s="59"/>
      <c r="C193" s="24">
        <f t="shared" si="27"/>
        <v>1</v>
      </c>
      <c r="D193" s="720"/>
      <c r="E193" s="24">
        <f t="shared" si="28"/>
        <v>1</v>
      </c>
      <c r="F193" s="720"/>
      <c r="G193" s="24">
        <f t="shared" si="29"/>
        <v>0.03</v>
      </c>
      <c r="H193" s="720"/>
      <c r="I193" s="24">
        <f t="shared" si="30"/>
        <v>1</v>
      </c>
      <c r="J193" s="720"/>
      <c r="K193" s="24">
        <f t="shared" si="31"/>
        <v>1</v>
      </c>
      <c r="L193" s="720"/>
      <c r="M193" s="24">
        <f t="shared" si="32"/>
        <v>1</v>
      </c>
      <c r="N193" s="720"/>
      <c r="O193" s="24">
        <f t="shared" si="33"/>
        <v>1</v>
      </c>
      <c r="P193" s="720"/>
      <c r="Q193" s="24">
        <f t="shared" si="34"/>
        <v>1</v>
      </c>
      <c r="R193" s="716">
        <f t="shared" si="35"/>
        <v>0</v>
      </c>
      <c r="S193" s="361">
        <f t="shared" si="26"/>
        <v>0</v>
      </c>
    </row>
    <row r="194" spans="1:19">
      <c r="A194" s="159"/>
      <c r="B194" s="59"/>
      <c r="C194" s="24">
        <f t="shared" si="27"/>
        <v>1</v>
      </c>
      <c r="D194" s="720"/>
      <c r="E194" s="24">
        <f t="shared" si="28"/>
        <v>1</v>
      </c>
      <c r="F194" s="720"/>
      <c r="G194" s="24">
        <f t="shared" si="29"/>
        <v>0.03</v>
      </c>
      <c r="H194" s="720"/>
      <c r="I194" s="24">
        <f t="shared" si="30"/>
        <v>1</v>
      </c>
      <c r="J194" s="720"/>
      <c r="K194" s="24">
        <f t="shared" si="31"/>
        <v>1</v>
      </c>
      <c r="L194" s="720"/>
      <c r="M194" s="24">
        <f t="shared" si="32"/>
        <v>1</v>
      </c>
      <c r="N194" s="720"/>
      <c r="O194" s="24">
        <f t="shared" si="33"/>
        <v>1</v>
      </c>
      <c r="P194" s="720"/>
      <c r="Q194" s="24">
        <f t="shared" si="34"/>
        <v>1</v>
      </c>
      <c r="R194" s="716">
        <f t="shared" si="35"/>
        <v>0</v>
      </c>
      <c r="S194" s="361">
        <f t="shared" si="26"/>
        <v>0</v>
      </c>
    </row>
    <row r="195" spans="1:19">
      <c r="A195" s="159"/>
      <c r="B195" s="59"/>
      <c r="C195" s="24">
        <f t="shared" si="27"/>
        <v>1</v>
      </c>
      <c r="D195" s="720"/>
      <c r="E195" s="24">
        <f t="shared" si="28"/>
        <v>1</v>
      </c>
      <c r="F195" s="720"/>
      <c r="G195" s="24">
        <f t="shared" si="29"/>
        <v>0.03</v>
      </c>
      <c r="H195" s="720"/>
      <c r="I195" s="24">
        <f t="shared" si="30"/>
        <v>1</v>
      </c>
      <c r="J195" s="720"/>
      <c r="K195" s="24">
        <f t="shared" si="31"/>
        <v>1</v>
      </c>
      <c r="L195" s="720"/>
      <c r="M195" s="24">
        <f t="shared" si="32"/>
        <v>1</v>
      </c>
      <c r="N195" s="720"/>
      <c r="O195" s="24">
        <f t="shared" si="33"/>
        <v>1</v>
      </c>
      <c r="P195" s="720"/>
      <c r="Q195" s="24">
        <f t="shared" si="34"/>
        <v>1</v>
      </c>
      <c r="R195" s="716">
        <f t="shared" si="35"/>
        <v>0</v>
      </c>
      <c r="S195" s="361">
        <f t="shared" si="26"/>
        <v>0</v>
      </c>
    </row>
    <row r="196" spans="1:19">
      <c r="A196" s="159"/>
      <c r="B196" s="59"/>
      <c r="C196" s="24">
        <f t="shared" si="27"/>
        <v>1</v>
      </c>
      <c r="D196" s="720"/>
      <c r="E196" s="24">
        <f t="shared" si="28"/>
        <v>1</v>
      </c>
      <c r="F196" s="720"/>
      <c r="G196" s="24">
        <f t="shared" si="29"/>
        <v>0.03</v>
      </c>
      <c r="H196" s="720"/>
      <c r="I196" s="24">
        <f t="shared" si="30"/>
        <v>1</v>
      </c>
      <c r="J196" s="720"/>
      <c r="K196" s="24">
        <f t="shared" si="31"/>
        <v>1</v>
      </c>
      <c r="L196" s="720"/>
      <c r="M196" s="24">
        <f t="shared" si="32"/>
        <v>1</v>
      </c>
      <c r="N196" s="720"/>
      <c r="O196" s="24">
        <f t="shared" si="33"/>
        <v>1</v>
      </c>
      <c r="P196" s="720"/>
      <c r="Q196" s="24">
        <f t="shared" si="34"/>
        <v>1</v>
      </c>
      <c r="R196" s="716">
        <f t="shared" si="35"/>
        <v>0</v>
      </c>
      <c r="S196" s="361">
        <f t="shared" si="26"/>
        <v>0</v>
      </c>
    </row>
    <row r="197" spans="1:19">
      <c r="A197" s="159"/>
      <c r="B197" s="59"/>
      <c r="C197" s="24">
        <f t="shared" si="27"/>
        <v>1</v>
      </c>
      <c r="D197" s="720"/>
      <c r="E197" s="24">
        <f t="shared" si="28"/>
        <v>1</v>
      </c>
      <c r="F197" s="720"/>
      <c r="G197" s="24">
        <f t="shared" si="29"/>
        <v>0.03</v>
      </c>
      <c r="H197" s="720"/>
      <c r="I197" s="24">
        <f t="shared" si="30"/>
        <v>1</v>
      </c>
      <c r="J197" s="720"/>
      <c r="K197" s="24">
        <f t="shared" si="31"/>
        <v>1</v>
      </c>
      <c r="L197" s="720"/>
      <c r="M197" s="24">
        <f t="shared" si="32"/>
        <v>1</v>
      </c>
      <c r="N197" s="720"/>
      <c r="O197" s="24">
        <f t="shared" si="33"/>
        <v>1</v>
      </c>
      <c r="P197" s="720"/>
      <c r="Q197" s="24">
        <f t="shared" si="34"/>
        <v>1</v>
      </c>
      <c r="R197" s="716">
        <f t="shared" si="35"/>
        <v>0</v>
      </c>
      <c r="S197" s="361">
        <f t="shared" si="26"/>
        <v>0</v>
      </c>
    </row>
    <row r="198" spans="1:19">
      <c r="A198" s="159"/>
      <c r="B198" s="59"/>
      <c r="C198" s="24">
        <f t="shared" si="27"/>
        <v>1</v>
      </c>
      <c r="D198" s="720"/>
      <c r="E198" s="24">
        <f t="shared" si="28"/>
        <v>1</v>
      </c>
      <c r="F198" s="720"/>
      <c r="G198" s="24">
        <f t="shared" si="29"/>
        <v>0.03</v>
      </c>
      <c r="H198" s="720"/>
      <c r="I198" s="24">
        <f t="shared" si="30"/>
        <v>1</v>
      </c>
      <c r="J198" s="720"/>
      <c r="K198" s="24">
        <f t="shared" si="31"/>
        <v>1</v>
      </c>
      <c r="L198" s="720"/>
      <c r="M198" s="24">
        <f t="shared" si="32"/>
        <v>1</v>
      </c>
      <c r="N198" s="720"/>
      <c r="O198" s="24">
        <f t="shared" si="33"/>
        <v>1</v>
      </c>
      <c r="P198" s="720"/>
      <c r="Q198" s="24">
        <f t="shared" si="34"/>
        <v>1</v>
      </c>
      <c r="R198" s="716">
        <f t="shared" si="35"/>
        <v>0</v>
      </c>
      <c r="S198" s="361">
        <f t="shared" si="26"/>
        <v>0</v>
      </c>
    </row>
    <row r="199" spans="1:19">
      <c r="A199" s="159"/>
      <c r="B199" s="59"/>
      <c r="C199" s="24">
        <f t="shared" si="27"/>
        <v>1</v>
      </c>
      <c r="D199" s="720"/>
      <c r="E199" s="24">
        <f t="shared" si="28"/>
        <v>1</v>
      </c>
      <c r="F199" s="720"/>
      <c r="G199" s="24">
        <f t="shared" si="29"/>
        <v>0.03</v>
      </c>
      <c r="H199" s="720"/>
      <c r="I199" s="24">
        <f t="shared" si="30"/>
        <v>1</v>
      </c>
      <c r="J199" s="720"/>
      <c r="K199" s="24">
        <f t="shared" si="31"/>
        <v>1</v>
      </c>
      <c r="L199" s="720"/>
      <c r="M199" s="24">
        <f t="shared" si="32"/>
        <v>1</v>
      </c>
      <c r="N199" s="720"/>
      <c r="O199" s="24">
        <f t="shared" si="33"/>
        <v>1</v>
      </c>
      <c r="P199" s="720"/>
      <c r="Q199" s="24">
        <f t="shared" si="34"/>
        <v>1</v>
      </c>
      <c r="R199" s="716">
        <f t="shared" si="35"/>
        <v>0</v>
      </c>
      <c r="S199" s="361">
        <f t="shared" si="26"/>
        <v>0</v>
      </c>
    </row>
    <row r="200" spans="1:19">
      <c r="A200" s="159"/>
      <c r="B200" s="59"/>
      <c r="C200" s="24">
        <f t="shared" si="27"/>
        <v>1</v>
      </c>
      <c r="D200" s="720"/>
      <c r="E200" s="24">
        <f t="shared" si="28"/>
        <v>1</v>
      </c>
      <c r="F200" s="720"/>
      <c r="G200" s="24">
        <f t="shared" si="29"/>
        <v>0.03</v>
      </c>
      <c r="H200" s="720"/>
      <c r="I200" s="24">
        <f t="shared" si="30"/>
        <v>1</v>
      </c>
      <c r="J200" s="720"/>
      <c r="K200" s="24">
        <f t="shared" si="31"/>
        <v>1</v>
      </c>
      <c r="L200" s="720"/>
      <c r="M200" s="24">
        <f t="shared" si="32"/>
        <v>1</v>
      </c>
      <c r="N200" s="720"/>
      <c r="O200" s="24">
        <f t="shared" si="33"/>
        <v>1</v>
      </c>
      <c r="P200" s="720"/>
      <c r="Q200" s="24">
        <f t="shared" si="34"/>
        <v>1</v>
      </c>
      <c r="R200" s="716">
        <f t="shared" si="35"/>
        <v>0</v>
      </c>
      <c r="S200" s="361">
        <f t="shared" si="26"/>
        <v>0</v>
      </c>
    </row>
    <row r="201" spans="1:19">
      <c r="A201" s="159"/>
      <c r="B201" s="59"/>
      <c r="C201" s="24">
        <f t="shared" si="27"/>
        <v>1</v>
      </c>
      <c r="D201" s="720"/>
      <c r="E201" s="24">
        <f t="shared" si="28"/>
        <v>1</v>
      </c>
      <c r="F201" s="720"/>
      <c r="G201" s="24">
        <f t="shared" si="29"/>
        <v>0.03</v>
      </c>
      <c r="H201" s="720"/>
      <c r="I201" s="24">
        <f t="shared" si="30"/>
        <v>1</v>
      </c>
      <c r="J201" s="720"/>
      <c r="K201" s="24">
        <f t="shared" si="31"/>
        <v>1</v>
      </c>
      <c r="L201" s="720"/>
      <c r="M201" s="24">
        <f t="shared" si="32"/>
        <v>1</v>
      </c>
      <c r="N201" s="720"/>
      <c r="O201" s="24">
        <f t="shared" si="33"/>
        <v>1</v>
      </c>
      <c r="P201" s="720"/>
      <c r="Q201" s="24">
        <f t="shared" si="34"/>
        <v>1</v>
      </c>
      <c r="R201" s="716">
        <f t="shared" si="35"/>
        <v>0</v>
      </c>
      <c r="S201" s="361">
        <f t="shared" si="26"/>
        <v>0</v>
      </c>
    </row>
    <row r="202" spans="1:19">
      <c r="A202" s="159"/>
      <c r="B202" s="59"/>
      <c r="C202" s="24">
        <f t="shared" si="27"/>
        <v>1</v>
      </c>
      <c r="D202" s="720"/>
      <c r="E202" s="24">
        <f t="shared" si="28"/>
        <v>1</v>
      </c>
      <c r="F202" s="720"/>
      <c r="G202" s="24">
        <f t="shared" si="29"/>
        <v>0.03</v>
      </c>
      <c r="H202" s="720"/>
      <c r="I202" s="24">
        <f t="shared" si="30"/>
        <v>1</v>
      </c>
      <c r="J202" s="720"/>
      <c r="K202" s="24">
        <f t="shared" si="31"/>
        <v>1</v>
      </c>
      <c r="L202" s="720"/>
      <c r="M202" s="24">
        <f t="shared" si="32"/>
        <v>1</v>
      </c>
      <c r="N202" s="720"/>
      <c r="O202" s="24">
        <f t="shared" si="33"/>
        <v>1</v>
      </c>
      <c r="P202" s="720"/>
      <c r="Q202" s="24">
        <f t="shared" si="34"/>
        <v>1</v>
      </c>
      <c r="R202" s="716">
        <f t="shared" si="35"/>
        <v>0</v>
      </c>
      <c r="S202" s="361">
        <f t="shared" si="26"/>
        <v>0</v>
      </c>
    </row>
    <row r="203" spans="1:19">
      <c r="A203" s="159"/>
      <c r="B203" s="59"/>
      <c r="C203" s="24">
        <f t="shared" si="27"/>
        <v>1</v>
      </c>
      <c r="D203" s="720"/>
      <c r="E203" s="24">
        <f t="shared" si="28"/>
        <v>1</v>
      </c>
      <c r="F203" s="720"/>
      <c r="G203" s="24">
        <f t="shared" si="29"/>
        <v>0.03</v>
      </c>
      <c r="H203" s="720"/>
      <c r="I203" s="24">
        <f t="shared" si="30"/>
        <v>1</v>
      </c>
      <c r="J203" s="720"/>
      <c r="K203" s="24">
        <f t="shared" si="31"/>
        <v>1</v>
      </c>
      <c r="L203" s="720"/>
      <c r="M203" s="24">
        <f t="shared" si="32"/>
        <v>1</v>
      </c>
      <c r="N203" s="720"/>
      <c r="O203" s="24">
        <f t="shared" si="33"/>
        <v>1</v>
      </c>
      <c r="P203" s="720"/>
      <c r="Q203" s="24">
        <f t="shared" si="34"/>
        <v>1</v>
      </c>
      <c r="R203" s="716">
        <f t="shared" si="35"/>
        <v>0</v>
      </c>
      <c r="S203" s="361">
        <f t="shared" si="26"/>
        <v>0</v>
      </c>
    </row>
    <row r="204" spans="1:19">
      <c r="A204" s="159"/>
      <c r="B204" s="59"/>
      <c r="C204" s="24">
        <f t="shared" si="27"/>
        <v>1</v>
      </c>
      <c r="D204" s="720"/>
      <c r="E204" s="24">
        <f t="shared" si="28"/>
        <v>1</v>
      </c>
      <c r="F204" s="720"/>
      <c r="G204" s="24">
        <f t="shared" si="29"/>
        <v>0.03</v>
      </c>
      <c r="H204" s="720"/>
      <c r="I204" s="24">
        <f t="shared" si="30"/>
        <v>1</v>
      </c>
      <c r="J204" s="720"/>
      <c r="K204" s="24">
        <f t="shared" si="31"/>
        <v>1</v>
      </c>
      <c r="L204" s="720"/>
      <c r="M204" s="24">
        <f t="shared" si="32"/>
        <v>1</v>
      </c>
      <c r="N204" s="720"/>
      <c r="O204" s="24">
        <f t="shared" si="33"/>
        <v>1</v>
      </c>
      <c r="P204" s="720"/>
      <c r="Q204" s="24">
        <f t="shared" si="34"/>
        <v>1</v>
      </c>
      <c r="R204" s="716">
        <f t="shared" si="35"/>
        <v>0</v>
      </c>
      <c r="S204" s="361">
        <f t="shared" si="26"/>
        <v>0</v>
      </c>
    </row>
    <row r="205" spans="1:19">
      <c r="A205" s="159"/>
      <c r="B205" s="59"/>
      <c r="C205" s="24">
        <f t="shared" si="27"/>
        <v>1</v>
      </c>
      <c r="D205" s="720"/>
      <c r="E205" s="24">
        <f t="shared" si="28"/>
        <v>1</v>
      </c>
      <c r="F205" s="720"/>
      <c r="G205" s="24">
        <f t="shared" si="29"/>
        <v>0.03</v>
      </c>
      <c r="H205" s="720"/>
      <c r="I205" s="24">
        <f t="shared" si="30"/>
        <v>1</v>
      </c>
      <c r="J205" s="720"/>
      <c r="K205" s="24">
        <f t="shared" si="31"/>
        <v>1</v>
      </c>
      <c r="L205" s="720"/>
      <c r="M205" s="24">
        <f t="shared" si="32"/>
        <v>1</v>
      </c>
      <c r="N205" s="720"/>
      <c r="O205" s="24">
        <f t="shared" si="33"/>
        <v>1</v>
      </c>
      <c r="P205" s="720"/>
      <c r="Q205" s="24">
        <f t="shared" si="34"/>
        <v>1</v>
      </c>
      <c r="R205" s="716">
        <f t="shared" si="35"/>
        <v>0</v>
      </c>
      <c r="S205" s="361">
        <f t="shared" si="26"/>
        <v>0</v>
      </c>
    </row>
    <row r="206" spans="1:19">
      <c r="A206" s="159"/>
      <c r="B206" s="59"/>
      <c r="C206" s="24">
        <f t="shared" si="27"/>
        <v>1</v>
      </c>
      <c r="D206" s="720"/>
      <c r="E206" s="24">
        <f t="shared" si="28"/>
        <v>1</v>
      </c>
      <c r="F206" s="720"/>
      <c r="G206" s="24">
        <f t="shared" si="29"/>
        <v>0.03</v>
      </c>
      <c r="H206" s="720"/>
      <c r="I206" s="24">
        <f t="shared" si="30"/>
        <v>1</v>
      </c>
      <c r="J206" s="720"/>
      <c r="K206" s="24">
        <f t="shared" si="31"/>
        <v>1</v>
      </c>
      <c r="L206" s="720"/>
      <c r="M206" s="24">
        <f t="shared" si="32"/>
        <v>1</v>
      </c>
      <c r="N206" s="720"/>
      <c r="O206" s="24">
        <f t="shared" si="33"/>
        <v>1</v>
      </c>
      <c r="P206" s="720"/>
      <c r="Q206" s="24">
        <f t="shared" si="34"/>
        <v>1</v>
      </c>
      <c r="R206" s="716">
        <f t="shared" si="35"/>
        <v>0</v>
      </c>
      <c r="S206" s="361">
        <f t="shared" si="26"/>
        <v>0</v>
      </c>
    </row>
    <row r="207" spans="1:19">
      <c r="A207" s="159"/>
      <c r="B207" s="59"/>
      <c r="C207" s="24">
        <f t="shared" si="27"/>
        <v>1</v>
      </c>
      <c r="D207" s="720"/>
      <c r="E207" s="24">
        <f t="shared" si="28"/>
        <v>1</v>
      </c>
      <c r="F207" s="720"/>
      <c r="G207" s="24">
        <f t="shared" si="29"/>
        <v>0.03</v>
      </c>
      <c r="H207" s="720"/>
      <c r="I207" s="24">
        <f t="shared" si="30"/>
        <v>1</v>
      </c>
      <c r="J207" s="720"/>
      <c r="K207" s="24">
        <f t="shared" si="31"/>
        <v>1</v>
      </c>
      <c r="L207" s="720"/>
      <c r="M207" s="24">
        <f t="shared" si="32"/>
        <v>1</v>
      </c>
      <c r="N207" s="720"/>
      <c r="O207" s="24">
        <f t="shared" si="33"/>
        <v>1</v>
      </c>
      <c r="P207" s="720"/>
      <c r="Q207" s="24">
        <f t="shared" si="34"/>
        <v>1</v>
      </c>
      <c r="R207" s="716">
        <f t="shared" si="35"/>
        <v>0</v>
      </c>
      <c r="S207" s="361">
        <f t="shared" si="26"/>
        <v>0</v>
      </c>
    </row>
    <row r="208" spans="1:19">
      <c r="A208" s="159"/>
      <c r="B208" s="59"/>
      <c r="C208" s="24">
        <f t="shared" si="27"/>
        <v>1</v>
      </c>
      <c r="D208" s="720"/>
      <c r="E208" s="24">
        <f t="shared" si="28"/>
        <v>1</v>
      </c>
      <c r="F208" s="720"/>
      <c r="G208" s="24">
        <f t="shared" si="29"/>
        <v>0.03</v>
      </c>
      <c r="H208" s="720"/>
      <c r="I208" s="24">
        <f t="shared" si="30"/>
        <v>1</v>
      </c>
      <c r="J208" s="720"/>
      <c r="K208" s="24">
        <f t="shared" si="31"/>
        <v>1</v>
      </c>
      <c r="L208" s="720"/>
      <c r="M208" s="24">
        <f t="shared" si="32"/>
        <v>1</v>
      </c>
      <c r="N208" s="720"/>
      <c r="O208" s="24">
        <f t="shared" si="33"/>
        <v>1</v>
      </c>
      <c r="P208" s="720"/>
      <c r="Q208" s="24">
        <f t="shared" si="34"/>
        <v>1</v>
      </c>
      <c r="R208" s="716">
        <f t="shared" si="35"/>
        <v>0</v>
      </c>
      <c r="S208" s="361">
        <f t="shared" si="26"/>
        <v>0</v>
      </c>
    </row>
    <row r="209" spans="1:19">
      <c r="A209" s="159"/>
      <c r="B209" s="59"/>
      <c r="C209" s="24">
        <f t="shared" si="27"/>
        <v>1</v>
      </c>
      <c r="D209" s="720"/>
      <c r="E209" s="24">
        <f t="shared" si="28"/>
        <v>1</v>
      </c>
      <c r="F209" s="720"/>
      <c r="G209" s="24">
        <f t="shared" si="29"/>
        <v>0.03</v>
      </c>
      <c r="H209" s="720"/>
      <c r="I209" s="24">
        <f t="shared" si="30"/>
        <v>1</v>
      </c>
      <c r="J209" s="720"/>
      <c r="K209" s="24">
        <f t="shared" si="31"/>
        <v>1</v>
      </c>
      <c r="L209" s="720"/>
      <c r="M209" s="24">
        <f t="shared" si="32"/>
        <v>1</v>
      </c>
      <c r="N209" s="720"/>
      <c r="O209" s="24">
        <f t="shared" si="33"/>
        <v>1</v>
      </c>
      <c r="P209" s="720"/>
      <c r="Q209" s="24">
        <f t="shared" si="34"/>
        <v>1</v>
      </c>
      <c r="R209" s="716">
        <f t="shared" si="35"/>
        <v>0</v>
      </c>
      <c r="S209" s="361">
        <f t="shared" si="26"/>
        <v>0</v>
      </c>
    </row>
    <row r="210" spans="1:19">
      <c r="A210" s="159"/>
      <c r="B210" s="59"/>
      <c r="C210" s="24">
        <f t="shared" si="27"/>
        <v>1</v>
      </c>
      <c r="D210" s="720"/>
      <c r="E210" s="24">
        <f t="shared" si="28"/>
        <v>1</v>
      </c>
      <c r="F210" s="720"/>
      <c r="G210" s="24">
        <f t="shared" si="29"/>
        <v>0.03</v>
      </c>
      <c r="H210" s="720"/>
      <c r="I210" s="24">
        <f t="shared" si="30"/>
        <v>1</v>
      </c>
      <c r="J210" s="720"/>
      <c r="K210" s="24">
        <f t="shared" si="31"/>
        <v>1</v>
      </c>
      <c r="L210" s="720"/>
      <c r="M210" s="24">
        <f t="shared" si="32"/>
        <v>1</v>
      </c>
      <c r="N210" s="720"/>
      <c r="O210" s="24">
        <f t="shared" si="33"/>
        <v>1</v>
      </c>
      <c r="P210" s="720"/>
      <c r="Q210" s="24">
        <f t="shared" si="34"/>
        <v>1</v>
      </c>
      <c r="R210" s="716">
        <f t="shared" si="35"/>
        <v>0</v>
      </c>
      <c r="S210" s="361">
        <f t="shared" si="26"/>
        <v>0</v>
      </c>
    </row>
    <row r="211" spans="1:19">
      <c r="A211" s="159"/>
      <c r="B211" s="59"/>
      <c r="C211" s="24">
        <f t="shared" si="27"/>
        <v>1</v>
      </c>
      <c r="D211" s="720"/>
      <c r="E211" s="24">
        <f t="shared" si="28"/>
        <v>1</v>
      </c>
      <c r="F211" s="720"/>
      <c r="G211" s="24">
        <f t="shared" si="29"/>
        <v>0.03</v>
      </c>
      <c r="H211" s="720"/>
      <c r="I211" s="24">
        <f t="shared" si="30"/>
        <v>1</v>
      </c>
      <c r="J211" s="720"/>
      <c r="K211" s="24">
        <f t="shared" si="31"/>
        <v>1</v>
      </c>
      <c r="L211" s="720"/>
      <c r="M211" s="24">
        <f t="shared" si="32"/>
        <v>1</v>
      </c>
      <c r="N211" s="720"/>
      <c r="O211" s="24">
        <f t="shared" si="33"/>
        <v>1</v>
      </c>
      <c r="P211" s="720"/>
      <c r="Q211" s="24">
        <f t="shared" si="34"/>
        <v>1</v>
      </c>
      <c r="R211" s="716">
        <f t="shared" si="35"/>
        <v>0</v>
      </c>
      <c r="S211" s="361">
        <f t="shared" si="26"/>
        <v>0</v>
      </c>
    </row>
    <row r="212" spans="1:19">
      <c r="A212" s="159"/>
      <c r="B212" s="59"/>
      <c r="C212" s="24">
        <f t="shared" si="27"/>
        <v>1</v>
      </c>
      <c r="D212" s="720"/>
      <c r="E212" s="24">
        <f t="shared" si="28"/>
        <v>1</v>
      </c>
      <c r="F212" s="720"/>
      <c r="G212" s="24">
        <f t="shared" si="29"/>
        <v>0.03</v>
      </c>
      <c r="H212" s="720"/>
      <c r="I212" s="24">
        <f t="shared" si="30"/>
        <v>1</v>
      </c>
      <c r="J212" s="720"/>
      <c r="K212" s="24">
        <f t="shared" si="31"/>
        <v>1</v>
      </c>
      <c r="L212" s="720"/>
      <c r="M212" s="24">
        <f t="shared" si="32"/>
        <v>1</v>
      </c>
      <c r="N212" s="720"/>
      <c r="O212" s="24">
        <f t="shared" si="33"/>
        <v>1</v>
      </c>
      <c r="P212" s="720"/>
      <c r="Q212" s="24">
        <f t="shared" si="34"/>
        <v>1</v>
      </c>
      <c r="R212" s="716">
        <f t="shared" si="35"/>
        <v>0</v>
      </c>
      <c r="S212" s="361">
        <f t="shared" si="26"/>
        <v>0</v>
      </c>
    </row>
    <row r="213" spans="1:19">
      <c r="A213" s="159"/>
      <c r="B213" s="59"/>
      <c r="C213" s="24">
        <f t="shared" si="27"/>
        <v>1</v>
      </c>
      <c r="D213" s="720"/>
      <c r="E213" s="24">
        <f t="shared" si="28"/>
        <v>1</v>
      </c>
      <c r="F213" s="720"/>
      <c r="G213" s="24">
        <f t="shared" si="29"/>
        <v>0.03</v>
      </c>
      <c r="H213" s="720"/>
      <c r="I213" s="24">
        <f t="shared" si="30"/>
        <v>1</v>
      </c>
      <c r="J213" s="720"/>
      <c r="K213" s="24">
        <f t="shared" si="31"/>
        <v>1</v>
      </c>
      <c r="L213" s="720"/>
      <c r="M213" s="24">
        <f t="shared" si="32"/>
        <v>1</v>
      </c>
      <c r="N213" s="720"/>
      <c r="O213" s="24">
        <f t="shared" si="33"/>
        <v>1</v>
      </c>
      <c r="P213" s="720"/>
      <c r="Q213" s="24">
        <f t="shared" si="34"/>
        <v>1</v>
      </c>
      <c r="R213" s="716">
        <f t="shared" si="35"/>
        <v>0</v>
      </c>
      <c r="S213" s="361">
        <f t="shared" si="26"/>
        <v>0</v>
      </c>
    </row>
    <row r="214" spans="1:19">
      <c r="A214" s="159"/>
      <c r="B214" s="59"/>
      <c r="C214" s="24">
        <f t="shared" si="27"/>
        <v>1</v>
      </c>
      <c r="D214" s="720"/>
      <c r="E214" s="24">
        <f t="shared" si="28"/>
        <v>1</v>
      </c>
      <c r="F214" s="720"/>
      <c r="G214" s="24">
        <f t="shared" si="29"/>
        <v>0.03</v>
      </c>
      <c r="H214" s="720"/>
      <c r="I214" s="24">
        <f t="shared" si="30"/>
        <v>1</v>
      </c>
      <c r="J214" s="720"/>
      <c r="K214" s="24">
        <f t="shared" si="31"/>
        <v>1</v>
      </c>
      <c r="L214" s="720"/>
      <c r="M214" s="24">
        <f t="shared" si="32"/>
        <v>1</v>
      </c>
      <c r="N214" s="720"/>
      <c r="O214" s="24">
        <f t="shared" si="33"/>
        <v>1</v>
      </c>
      <c r="P214" s="720"/>
      <c r="Q214" s="24">
        <f t="shared" si="34"/>
        <v>1</v>
      </c>
      <c r="R214" s="716">
        <f t="shared" si="35"/>
        <v>0</v>
      </c>
      <c r="S214" s="361">
        <f t="shared" si="26"/>
        <v>0</v>
      </c>
    </row>
    <row r="215" spans="1:19">
      <c r="A215" s="159"/>
      <c r="B215" s="59"/>
      <c r="C215" s="24">
        <f t="shared" si="27"/>
        <v>1</v>
      </c>
      <c r="D215" s="720"/>
      <c r="E215" s="24">
        <f t="shared" si="28"/>
        <v>1</v>
      </c>
      <c r="F215" s="720"/>
      <c r="G215" s="24">
        <f t="shared" si="29"/>
        <v>0.03</v>
      </c>
      <c r="H215" s="720"/>
      <c r="I215" s="24">
        <f t="shared" si="30"/>
        <v>1</v>
      </c>
      <c r="J215" s="720"/>
      <c r="K215" s="24">
        <f t="shared" si="31"/>
        <v>1</v>
      </c>
      <c r="L215" s="720"/>
      <c r="M215" s="24">
        <f t="shared" si="32"/>
        <v>1</v>
      </c>
      <c r="N215" s="720"/>
      <c r="O215" s="24">
        <f t="shared" si="33"/>
        <v>1</v>
      </c>
      <c r="P215" s="720"/>
      <c r="Q215" s="24">
        <f t="shared" si="34"/>
        <v>1</v>
      </c>
      <c r="R215" s="716">
        <f t="shared" si="35"/>
        <v>0</v>
      </c>
      <c r="S215" s="361">
        <f t="shared" si="26"/>
        <v>0</v>
      </c>
    </row>
    <row r="216" spans="1:19">
      <c r="A216" s="159"/>
      <c r="B216" s="59"/>
      <c r="C216" s="24">
        <f t="shared" si="27"/>
        <v>1</v>
      </c>
      <c r="D216" s="720"/>
      <c r="E216" s="24">
        <f t="shared" si="28"/>
        <v>1</v>
      </c>
      <c r="F216" s="720"/>
      <c r="G216" s="24">
        <f t="shared" si="29"/>
        <v>0.03</v>
      </c>
      <c r="H216" s="720"/>
      <c r="I216" s="24">
        <f t="shared" si="30"/>
        <v>1</v>
      </c>
      <c r="J216" s="720"/>
      <c r="K216" s="24">
        <f t="shared" si="31"/>
        <v>1</v>
      </c>
      <c r="L216" s="720"/>
      <c r="M216" s="24">
        <f t="shared" si="32"/>
        <v>1</v>
      </c>
      <c r="N216" s="720"/>
      <c r="O216" s="24">
        <f t="shared" si="33"/>
        <v>1</v>
      </c>
      <c r="P216" s="720"/>
      <c r="Q216" s="24">
        <f t="shared" si="34"/>
        <v>1</v>
      </c>
      <c r="R216" s="716">
        <f t="shared" si="35"/>
        <v>0</v>
      </c>
      <c r="S216" s="361">
        <f t="shared" ref="S216:S279" si="36">ROUND(R216*B216/10000,0)</f>
        <v>0</v>
      </c>
    </row>
    <row r="217" spans="1:19">
      <c r="A217" s="159"/>
      <c r="B217" s="59"/>
      <c r="C217" s="24">
        <f t="shared" si="27"/>
        <v>1</v>
      </c>
      <c r="D217" s="720"/>
      <c r="E217" s="24">
        <f t="shared" si="28"/>
        <v>1</v>
      </c>
      <c r="F217" s="720"/>
      <c r="G217" s="24">
        <f t="shared" si="29"/>
        <v>0.03</v>
      </c>
      <c r="H217" s="720"/>
      <c r="I217" s="24">
        <f t="shared" si="30"/>
        <v>1</v>
      </c>
      <c r="J217" s="720"/>
      <c r="K217" s="24">
        <f t="shared" si="31"/>
        <v>1</v>
      </c>
      <c r="L217" s="720"/>
      <c r="M217" s="24">
        <f t="shared" si="32"/>
        <v>1</v>
      </c>
      <c r="N217" s="720"/>
      <c r="O217" s="24">
        <f t="shared" si="33"/>
        <v>1</v>
      </c>
      <c r="P217" s="720"/>
      <c r="Q217" s="24">
        <f t="shared" si="34"/>
        <v>1</v>
      </c>
      <c r="R217" s="716">
        <f t="shared" si="35"/>
        <v>0</v>
      </c>
      <c r="S217" s="361">
        <f t="shared" si="36"/>
        <v>0</v>
      </c>
    </row>
    <row r="218" spans="1:19">
      <c r="A218" s="159"/>
      <c r="B218" s="59"/>
      <c r="C218" s="24">
        <f t="shared" ref="C218:C281" si="37">IF(B218="",1,(LOOKUP(B218,$3:$3,$4:$4)-LOOKUP($B$24,$3:$3,$4:$4)+100)/100)</f>
        <v>1</v>
      </c>
      <c r="D218" s="720"/>
      <c r="E218" s="24">
        <f t="shared" ref="E218:E281" si="38">(SUMIF($5:$5,D218,$6:$6)-SUMIF($5:$5,$D$24,$6:$6)+100)/100</f>
        <v>1</v>
      </c>
      <c r="F218" s="720"/>
      <c r="G218" s="24">
        <f t="shared" ref="G218:G281" si="39">(SUMIF($7:$7,F218,$8:$8)-SUMIF($7:$7,$F$24,$8:$8)+100)/100</f>
        <v>0.03</v>
      </c>
      <c r="H218" s="720"/>
      <c r="I218" s="24">
        <f t="shared" ref="I218:I281" si="40">(SUMIF($9:$9,H218,$10:$10)-SUMIF($9:$9,$H$24,$10:$10)+100)/100</f>
        <v>1</v>
      </c>
      <c r="J218" s="720"/>
      <c r="K218" s="24">
        <f t="shared" ref="K218:K281" si="41">(SUMIF($11:$11,J218,$12:$12)-SUMIF($11:$11,$J$24,$12:$12)+100)/100</f>
        <v>1</v>
      </c>
      <c r="L218" s="720"/>
      <c r="M218" s="24">
        <f t="shared" ref="M218:M281" si="42">(SUMIF($13:$13,L218,$14:$14)-SUMIF($13:$13,$L$24,$14:$14)+100)/100</f>
        <v>1</v>
      </c>
      <c r="N218" s="720"/>
      <c r="O218" s="24">
        <f t="shared" ref="O218:O281" si="43">(SUMIF($15:$15,N218,$16:$16)-SUMIF($15:$15,$N$24,$16:$16)+100)/100</f>
        <v>1</v>
      </c>
      <c r="P218" s="720"/>
      <c r="Q218" s="24">
        <f t="shared" ref="Q218:Q281" si="44">(SUMIF($17:$17,P218,$18:$18)-SUMIF($17:$17,$P$24,$18:$18)+100)/100</f>
        <v>1</v>
      </c>
      <c r="R218" s="716">
        <f t="shared" ref="R218:R281" si="45">IF(B218="",0,ROUND($R$24*C218*E218*G218*I218*K218*M218*O218*Q218,0))</f>
        <v>0</v>
      </c>
      <c r="S218" s="361">
        <f t="shared" si="36"/>
        <v>0</v>
      </c>
    </row>
    <row r="219" spans="1:19">
      <c r="A219" s="159"/>
      <c r="B219" s="59"/>
      <c r="C219" s="24">
        <f t="shared" si="37"/>
        <v>1</v>
      </c>
      <c r="D219" s="720"/>
      <c r="E219" s="24">
        <f t="shared" si="38"/>
        <v>1</v>
      </c>
      <c r="F219" s="720"/>
      <c r="G219" s="24">
        <f t="shared" si="39"/>
        <v>0.03</v>
      </c>
      <c r="H219" s="720"/>
      <c r="I219" s="24">
        <f t="shared" si="40"/>
        <v>1</v>
      </c>
      <c r="J219" s="720"/>
      <c r="K219" s="24">
        <f t="shared" si="41"/>
        <v>1</v>
      </c>
      <c r="L219" s="720"/>
      <c r="M219" s="24">
        <f t="shared" si="42"/>
        <v>1</v>
      </c>
      <c r="N219" s="720"/>
      <c r="O219" s="24">
        <f t="shared" si="43"/>
        <v>1</v>
      </c>
      <c r="P219" s="720"/>
      <c r="Q219" s="24">
        <f t="shared" si="44"/>
        <v>1</v>
      </c>
      <c r="R219" s="716">
        <f t="shared" si="45"/>
        <v>0</v>
      </c>
      <c r="S219" s="361">
        <f t="shared" si="36"/>
        <v>0</v>
      </c>
    </row>
    <row r="220" spans="1:19">
      <c r="A220" s="159"/>
      <c r="B220" s="59"/>
      <c r="C220" s="24">
        <f t="shared" si="37"/>
        <v>1</v>
      </c>
      <c r="D220" s="720"/>
      <c r="E220" s="24">
        <f t="shared" si="38"/>
        <v>1</v>
      </c>
      <c r="F220" s="720"/>
      <c r="G220" s="24">
        <f t="shared" si="39"/>
        <v>0.03</v>
      </c>
      <c r="H220" s="720"/>
      <c r="I220" s="24">
        <f t="shared" si="40"/>
        <v>1</v>
      </c>
      <c r="J220" s="720"/>
      <c r="K220" s="24">
        <f t="shared" si="41"/>
        <v>1</v>
      </c>
      <c r="L220" s="720"/>
      <c r="M220" s="24">
        <f t="shared" si="42"/>
        <v>1</v>
      </c>
      <c r="N220" s="720"/>
      <c r="O220" s="24">
        <f t="shared" si="43"/>
        <v>1</v>
      </c>
      <c r="P220" s="720"/>
      <c r="Q220" s="24">
        <f t="shared" si="44"/>
        <v>1</v>
      </c>
      <c r="R220" s="716">
        <f t="shared" si="45"/>
        <v>0</v>
      </c>
      <c r="S220" s="361">
        <f t="shared" si="36"/>
        <v>0</v>
      </c>
    </row>
    <row r="221" spans="1:19">
      <c r="A221" s="159"/>
      <c r="B221" s="59"/>
      <c r="C221" s="24">
        <f t="shared" si="37"/>
        <v>1</v>
      </c>
      <c r="D221" s="720"/>
      <c r="E221" s="24">
        <f t="shared" si="38"/>
        <v>1</v>
      </c>
      <c r="F221" s="720"/>
      <c r="G221" s="24">
        <f t="shared" si="39"/>
        <v>0.03</v>
      </c>
      <c r="H221" s="720"/>
      <c r="I221" s="24">
        <f t="shared" si="40"/>
        <v>1</v>
      </c>
      <c r="J221" s="720"/>
      <c r="K221" s="24">
        <f t="shared" si="41"/>
        <v>1</v>
      </c>
      <c r="L221" s="720"/>
      <c r="M221" s="24">
        <f t="shared" si="42"/>
        <v>1</v>
      </c>
      <c r="N221" s="720"/>
      <c r="O221" s="24">
        <f t="shared" si="43"/>
        <v>1</v>
      </c>
      <c r="P221" s="720"/>
      <c r="Q221" s="24">
        <f t="shared" si="44"/>
        <v>1</v>
      </c>
      <c r="R221" s="716">
        <f t="shared" si="45"/>
        <v>0</v>
      </c>
      <c r="S221" s="361">
        <f t="shared" si="36"/>
        <v>0</v>
      </c>
    </row>
    <row r="222" spans="1:19">
      <c r="A222" s="159"/>
      <c r="B222" s="59"/>
      <c r="C222" s="24">
        <f t="shared" si="37"/>
        <v>1</v>
      </c>
      <c r="D222" s="720"/>
      <c r="E222" s="24">
        <f t="shared" si="38"/>
        <v>1</v>
      </c>
      <c r="F222" s="720"/>
      <c r="G222" s="24">
        <f t="shared" si="39"/>
        <v>0.03</v>
      </c>
      <c r="H222" s="720"/>
      <c r="I222" s="24">
        <f t="shared" si="40"/>
        <v>1</v>
      </c>
      <c r="J222" s="720"/>
      <c r="K222" s="24">
        <f t="shared" si="41"/>
        <v>1</v>
      </c>
      <c r="L222" s="720"/>
      <c r="M222" s="24">
        <f t="shared" si="42"/>
        <v>1</v>
      </c>
      <c r="N222" s="720"/>
      <c r="O222" s="24">
        <f t="shared" si="43"/>
        <v>1</v>
      </c>
      <c r="P222" s="720"/>
      <c r="Q222" s="24">
        <f t="shared" si="44"/>
        <v>1</v>
      </c>
      <c r="R222" s="716">
        <f t="shared" si="45"/>
        <v>0</v>
      </c>
      <c r="S222" s="361">
        <f t="shared" si="36"/>
        <v>0</v>
      </c>
    </row>
    <row r="223" spans="1:19">
      <c r="A223" s="159"/>
      <c r="B223" s="59"/>
      <c r="C223" s="24">
        <f t="shared" si="37"/>
        <v>1</v>
      </c>
      <c r="D223" s="720"/>
      <c r="E223" s="24">
        <f t="shared" si="38"/>
        <v>1</v>
      </c>
      <c r="F223" s="720"/>
      <c r="G223" s="24">
        <f t="shared" si="39"/>
        <v>0.03</v>
      </c>
      <c r="H223" s="720"/>
      <c r="I223" s="24">
        <f t="shared" si="40"/>
        <v>1</v>
      </c>
      <c r="J223" s="720"/>
      <c r="K223" s="24">
        <f t="shared" si="41"/>
        <v>1</v>
      </c>
      <c r="L223" s="720"/>
      <c r="M223" s="24">
        <f t="shared" si="42"/>
        <v>1</v>
      </c>
      <c r="N223" s="720"/>
      <c r="O223" s="24">
        <f t="shared" si="43"/>
        <v>1</v>
      </c>
      <c r="P223" s="720"/>
      <c r="Q223" s="24">
        <f t="shared" si="44"/>
        <v>1</v>
      </c>
      <c r="R223" s="716">
        <f t="shared" si="45"/>
        <v>0</v>
      </c>
      <c r="S223" s="361">
        <f t="shared" si="36"/>
        <v>0</v>
      </c>
    </row>
    <row r="224" spans="1:19">
      <c r="A224" s="159"/>
      <c r="B224" s="59"/>
      <c r="C224" s="24">
        <f t="shared" si="37"/>
        <v>1</v>
      </c>
      <c r="D224" s="720"/>
      <c r="E224" s="24">
        <f t="shared" si="38"/>
        <v>1</v>
      </c>
      <c r="F224" s="720"/>
      <c r="G224" s="24">
        <f t="shared" si="39"/>
        <v>0.03</v>
      </c>
      <c r="H224" s="720"/>
      <c r="I224" s="24">
        <f t="shared" si="40"/>
        <v>1</v>
      </c>
      <c r="J224" s="720"/>
      <c r="K224" s="24">
        <f t="shared" si="41"/>
        <v>1</v>
      </c>
      <c r="L224" s="720"/>
      <c r="M224" s="24">
        <f t="shared" si="42"/>
        <v>1</v>
      </c>
      <c r="N224" s="720"/>
      <c r="O224" s="24">
        <f t="shared" si="43"/>
        <v>1</v>
      </c>
      <c r="P224" s="720"/>
      <c r="Q224" s="24">
        <f t="shared" si="44"/>
        <v>1</v>
      </c>
      <c r="R224" s="716">
        <f t="shared" si="45"/>
        <v>0</v>
      </c>
      <c r="S224" s="361">
        <f t="shared" si="36"/>
        <v>0</v>
      </c>
    </row>
    <row r="225" spans="1:19">
      <c r="A225" s="159"/>
      <c r="B225" s="59"/>
      <c r="C225" s="24">
        <f t="shared" si="37"/>
        <v>1</v>
      </c>
      <c r="D225" s="720"/>
      <c r="E225" s="24">
        <f t="shared" si="38"/>
        <v>1</v>
      </c>
      <c r="F225" s="720"/>
      <c r="G225" s="24">
        <f t="shared" si="39"/>
        <v>0.03</v>
      </c>
      <c r="H225" s="720"/>
      <c r="I225" s="24">
        <f t="shared" si="40"/>
        <v>1</v>
      </c>
      <c r="J225" s="720"/>
      <c r="K225" s="24">
        <f t="shared" si="41"/>
        <v>1</v>
      </c>
      <c r="L225" s="720"/>
      <c r="M225" s="24">
        <f t="shared" si="42"/>
        <v>1</v>
      </c>
      <c r="N225" s="720"/>
      <c r="O225" s="24">
        <f t="shared" si="43"/>
        <v>1</v>
      </c>
      <c r="P225" s="720"/>
      <c r="Q225" s="24">
        <f t="shared" si="44"/>
        <v>1</v>
      </c>
      <c r="R225" s="716">
        <f t="shared" si="45"/>
        <v>0</v>
      </c>
      <c r="S225" s="361">
        <f t="shared" si="36"/>
        <v>0</v>
      </c>
    </row>
    <row r="226" spans="1:19">
      <c r="A226" s="159"/>
      <c r="B226" s="59"/>
      <c r="C226" s="24">
        <f t="shared" si="37"/>
        <v>1</v>
      </c>
      <c r="D226" s="720"/>
      <c r="E226" s="24">
        <f t="shared" si="38"/>
        <v>1</v>
      </c>
      <c r="F226" s="720"/>
      <c r="G226" s="24">
        <f t="shared" si="39"/>
        <v>0.03</v>
      </c>
      <c r="H226" s="720"/>
      <c r="I226" s="24">
        <f t="shared" si="40"/>
        <v>1</v>
      </c>
      <c r="J226" s="720"/>
      <c r="K226" s="24">
        <f t="shared" si="41"/>
        <v>1</v>
      </c>
      <c r="L226" s="720"/>
      <c r="M226" s="24">
        <f t="shared" si="42"/>
        <v>1</v>
      </c>
      <c r="N226" s="720"/>
      <c r="O226" s="24">
        <f t="shared" si="43"/>
        <v>1</v>
      </c>
      <c r="P226" s="720"/>
      <c r="Q226" s="24">
        <f t="shared" si="44"/>
        <v>1</v>
      </c>
      <c r="R226" s="716">
        <f t="shared" si="45"/>
        <v>0</v>
      </c>
      <c r="S226" s="361">
        <f t="shared" si="36"/>
        <v>0</v>
      </c>
    </row>
    <row r="227" spans="1:19">
      <c r="A227" s="159"/>
      <c r="B227" s="59"/>
      <c r="C227" s="24">
        <f t="shared" si="37"/>
        <v>1</v>
      </c>
      <c r="D227" s="720"/>
      <c r="E227" s="24">
        <f t="shared" si="38"/>
        <v>1</v>
      </c>
      <c r="F227" s="720"/>
      <c r="G227" s="24">
        <f t="shared" si="39"/>
        <v>0.03</v>
      </c>
      <c r="H227" s="720"/>
      <c r="I227" s="24">
        <f t="shared" si="40"/>
        <v>1</v>
      </c>
      <c r="J227" s="720"/>
      <c r="K227" s="24">
        <f t="shared" si="41"/>
        <v>1</v>
      </c>
      <c r="L227" s="720"/>
      <c r="M227" s="24">
        <f t="shared" si="42"/>
        <v>1</v>
      </c>
      <c r="N227" s="720"/>
      <c r="O227" s="24">
        <f t="shared" si="43"/>
        <v>1</v>
      </c>
      <c r="P227" s="720"/>
      <c r="Q227" s="24">
        <f t="shared" si="44"/>
        <v>1</v>
      </c>
      <c r="R227" s="716">
        <f t="shared" si="45"/>
        <v>0</v>
      </c>
      <c r="S227" s="361">
        <f t="shared" si="36"/>
        <v>0</v>
      </c>
    </row>
    <row r="228" spans="1:19">
      <c r="A228" s="159"/>
      <c r="B228" s="59"/>
      <c r="C228" s="24">
        <f t="shared" si="37"/>
        <v>1</v>
      </c>
      <c r="D228" s="720"/>
      <c r="E228" s="24">
        <f t="shared" si="38"/>
        <v>1</v>
      </c>
      <c r="F228" s="720"/>
      <c r="G228" s="24">
        <f t="shared" si="39"/>
        <v>0.03</v>
      </c>
      <c r="H228" s="720"/>
      <c r="I228" s="24">
        <f t="shared" si="40"/>
        <v>1</v>
      </c>
      <c r="J228" s="720"/>
      <c r="K228" s="24">
        <f t="shared" si="41"/>
        <v>1</v>
      </c>
      <c r="L228" s="720"/>
      <c r="M228" s="24">
        <f t="shared" si="42"/>
        <v>1</v>
      </c>
      <c r="N228" s="720"/>
      <c r="O228" s="24">
        <f t="shared" si="43"/>
        <v>1</v>
      </c>
      <c r="P228" s="720"/>
      <c r="Q228" s="24">
        <f t="shared" si="44"/>
        <v>1</v>
      </c>
      <c r="R228" s="716">
        <f t="shared" si="45"/>
        <v>0</v>
      </c>
      <c r="S228" s="361">
        <f t="shared" si="36"/>
        <v>0</v>
      </c>
    </row>
    <row r="229" spans="1:19">
      <c r="A229" s="159"/>
      <c r="B229" s="59"/>
      <c r="C229" s="24">
        <f t="shared" si="37"/>
        <v>1</v>
      </c>
      <c r="D229" s="720"/>
      <c r="E229" s="24">
        <f t="shared" si="38"/>
        <v>1</v>
      </c>
      <c r="F229" s="720"/>
      <c r="G229" s="24">
        <f t="shared" si="39"/>
        <v>0.03</v>
      </c>
      <c r="H229" s="720"/>
      <c r="I229" s="24">
        <f t="shared" si="40"/>
        <v>1</v>
      </c>
      <c r="J229" s="720"/>
      <c r="K229" s="24">
        <f t="shared" si="41"/>
        <v>1</v>
      </c>
      <c r="L229" s="720"/>
      <c r="M229" s="24">
        <f t="shared" si="42"/>
        <v>1</v>
      </c>
      <c r="N229" s="720"/>
      <c r="O229" s="24">
        <f t="shared" si="43"/>
        <v>1</v>
      </c>
      <c r="P229" s="720"/>
      <c r="Q229" s="24">
        <f t="shared" si="44"/>
        <v>1</v>
      </c>
      <c r="R229" s="716">
        <f t="shared" si="45"/>
        <v>0</v>
      </c>
      <c r="S229" s="361">
        <f t="shared" si="36"/>
        <v>0</v>
      </c>
    </row>
    <row r="230" spans="1:19">
      <c r="A230" s="159"/>
      <c r="B230" s="59"/>
      <c r="C230" s="24">
        <f t="shared" si="37"/>
        <v>1</v>
      </c>
      <c r="D230" s="720"/>
      <c r="E230" s="24">
        <f t="shared" si="38"/>
        <v>1</v>
      </c>
      <c r="F230" s="720"/>
      <c r="G230" s="24">
        <f t="shared" si="39"/>
        <v>0.03</v>
      </c>
      <c r="H230" s="720"/>
      <c r="I230" s="24">
        <f t="shared" si="40"/>
        <v>1</v>
      </c>
      <c r="J230" s="720"/>
      <c r="K230" s="24">
        <f t="shared" si="41"/>
        <v>1</v>
      </c>
      <c r="L230" s="720"/>
      <c r="M230" s="24">
        <f t="shared" si="42"/>
        <v>1</v>
      </c>
      <c r="N230" s="720"/>
      <c r="O230" s="24">
        <f t="shared" si="43"/>
        <v>1</v>
      </c>
      <c r="P230" s="720"/>
      <c r="Q230" s="24">
        <f t="shared" si="44"/>
        <v>1</v>
      </c>
      <c r="R230" s="716">
        <f t="shared" si="45"/>
        <v>0</v>
      </c>
      <c r="S230" s="361">
        <f t="shared" si="36"/>
        <v>0</v>
      </c>
    </row>
    <row r="231" spans="1:19">
      <c r="A231" s="159"/>
      <c r="B231" s="59"/>
      <c r="C231" s="24">
        <f t="shared" si="37"/>
        <v>1</v>
      </c>
      <c r="D231" s="720"/>
      <c r="E231" s="24">
        <f t="shared" si="38"/>
        <v>1</v>
      </c>
      <c r="F231" s="720"/>
      <c r="G231" s="24">
        <f t="shared" si="39"/>
        <v>0.03</v>
      </c>
      <c r="H231" s="720"/>
      <c r="I231" s="24">
        <f t="shared" si="40"/>
        <v>1</v>
      </c>
      <c r="J231" s="720"/>
      <c r="K231" s="24">
        <f t="shared" si="41"/>
        <v>1</v>
      </c>
      <c r="L231" s="720"/>
      <c r="M231" s="24">
        <f t="shared" si="42"/>
        <v>1</v>
      </c>
      <c r="N231" s="720"/>
      <c r="O231" s="24">
        <f t="shared" si="43"/>
        <v>1</v>
      </c>
      <c r="P231" s="720"/>
      <c r="Q231" s="24">
        <f t="shared" si="44"/>
        <v>1</v>
      </c>
      <c r="R231" s="716">
        <f t="shared" si="45"/>
        <v>0</v>
      </c>
      <c r="S231" s="361">
        <f t="shared" si="36"/>
        <v>0</v>
      </c>
    </row>
    <row r="232" spans="1:19">
      <c r="A232" s="159"/>
      <c r="B232" s="59"/>
      <c r="C232" s="24">
        <f t="shared" si="37"/>
        <v>1</v>
      </c>
      <c r="D232" s="720"/>
      <c r="E232" s="24">
        <f t="shared" si="38"/>
        <v>1</v>
      </c>
      <c r="F232" s="720"/>
      <c r="G232" s="24">
        <f t="shared" si="39"/>
        <v>0.03</v>
      </c>
      <c r="H232" s="720"/>
      <c r="I232" s="24">
        <f t="shared" si="40"/>
        <v>1</v>
      </c>
      <c r="J232" s="720"/>
      <c r="K232" s="24">
        <f t="shared" si="41"/>
        <v>1</v>
      </c>
      <c r="L232" s="720"/>
      <c r="M232" s="24">
        <f t="shared" si="42"/>
        <v>1</v>
      </c>
      <c r="N232" s="720"/>
      <c r="O232" s="24">
        <f t="shared" si="43"/>
        <v>1</v>
      </c>
      <c r="P232" s="720"/>
      <c r="Q232" s="24">
        <f t="shared" si="44"/>
        <v>1</v>
      </c>
      <c r="R232" s="716">
        <f t="shared" si="45"/>
        <v>0</v>
      </c>
      <c r="S232" s="361">
        <f t="shared" si="36"/>
        <v>0</v>
      </c>
    </row>
    <row r="233" spans="1:19">
      <c r="A233" s="159"/>
      <c r="B233" s="59"/>
      <c r="C233" s="24">
        <f t="shared" si="37"/>
        <v>1</v>
      </c>
      <c r="D233" s="720"/>
      <c r="E233" s="24">
        <f t="shared" si="38"/>
        <v>1</v>
      </c>
      <c r="F233" s="720"/>
      <c r="G233" s="24">
        <f t="shared" si="39"/>
        <v>0.03</v>
      </c>
      <c r="H233" s="720"/>
      <c r="I233" s="24">
        <f t="shared" si="40"/>
        <v>1</v>
      </c>
      <c r="J233" s="720"/>
      <c r="K233" s="24">
        <f t="shared" si="41"/>
        <v>1</v>
      </c>
      <c r="L233" s="720"/>
      <c r="M233" s="24">
        <f t="shared" si="42"/>
        <v>1</v>
      </c>
      <c r="N233" s="720"/>
      <c r="O233" s="24">
        <f t="shared" si="43"/>
        <v>1</v>
      </c>
      <c r="P233" s="720"/>
      <c r="Q233" s="24">
        <f t="shared" si="44"/>
        <v>1</v>
      </c>
      <c r="R233" s="716">
        <f t="shared" si="45"/>
        <v>0</v>
      </c>
      <c r="S233" s="361">
        <f t="shared" si="36"/>
        <v>0</v>
      </c>
    </row>
    <row r="234" spans="1:19">
      <c r="A234" s="159"/>
      <c r="B234" s="59"/>
      <c r="C234" s="24">
        <f t="shared" si="37"/>
        <v>1</v>
      </c>
      <c r="D234" s="720"/>
      <c r="E234" s="24">
        <f t="shared" si="38"/>
        <v>1</v>
      </c>
      <c r="F234" s="720"/>
      <c r="G234" s="24">
        <f t="shared" si="39"/>
        <v>0.03</v>
      </c>
      <c r="H234" s="720"/>
      <c r="I234" s="24">
        <f t="shared" si="40"/>
        <v>1</v>
      </c>
      <c r="J234" s="720"/>
      <c r="K234" s="24">
        <f t="shared" si="41"/>
        <v>1</v>
      </c>
      <c r="L234" s="720"/>
      <c r="M234" s="24">
        <f t="shared" si="42"/>
        <v>1</v>
      </c>
      <c r="N234" s="720"/>
      <c r="O234" s="24">
        <f t="shared" si="43"/>
        <v>1</v>
      </c>
      <c r="P234" s="720"/>
      <c r="Q234" s="24">
        <f t="shared" si="44"/>
        <v>1</v>
      </c>
      <c r="R234" s="716">
        <f t="shared" si="45"/>
        <v>0</v>
      </c>
      <c r="S234" s="361">
        <f t="shared" si="36"/>
        <v>0</v>
      </c>
    </row>
    <row r="235" spans="1:19">
      <c r="A235" s="159"/>
      <c r="B235" s="59"/>
      <c r="C235" s="24">
        <f t="shared" si="37"/>
        <v>1</v>
      </c>
      <c r="D235" s="720"/>
      <c r="E235" s="24">
        <f t="shared" si="38"/>
        <v>1</v>
      </c>
      <c r="F235" s="720"/>
      <c r="G235" s="24">
        <f t="shared" si="39"/>
        <v>0.03</v>
      </c>
      <c r="H235" s="720"/>
      <c r="I235" s="24">
        <f t="shared" si="40"/>
        <v>1</v>
      </c>
      <c r="J235" s="720"/>
      <c r="K235" s="24">
        <f t="shared" si="41"/>
        <v>1</v>
      </c>
      <c r="L235" s="720"/>
      <c r="M235" s="24">
        <f t="shared" si="42"/>
        <v>1</v>
      </c>
      <c r="N235" s="720"/>
      <c r="O235" s="24">
        <f t="shared" si="43"/>
        <v>1</v>
      </c>
      <c r="P235" s="720"/>
      <c r="Q235" s="24">
        <f t="shared" si="44"/>
        <v>1</v>
      </c>
      <c r="R235" s="716">
        <f t="shared" si="45"/>
        <v>0</v>
      </c>
      <c r="S235" s="361">
        <f t="shared" si="36"/>
        <v>0</v>
      </c>
    </row>
    <row r="236" spans="1:19">
      <c r="A236" s="159"/>
      <c r="B236" s="59"/>
      <c r="C236" s="24">
        <f t="shared" si="37"/>
        <v>1</v>
      </c>
      <c r="D236" s="720"/>
      <c r="E236" s="24">
        <f t="shared" si="38"/>
        <v>1</v>
      </c>
      <c r="F236" s="720"/>
      <c r="G236" s="24">
        <f t="shared" si="39"/>
        <v>0.03</v>
      </c>
      <c r="H236" s="720"/>
      <c r="I236" s="24">
        <f t="shared" si="40"/>
        <v>1</v>
      </c>
      <c r="J236" s="720"/>
      <c r="K236" s="24">
        <f t="shared" si="41"/>
        <v>1</v>
      </c>
      <c r="L236" s="720"/>
      <c r="M236" s="24">
        <f t="shared" si="42"/>
        <v>1</v>
      </c>
      <c r="N236" s="720"/>
      <c r="O236" s="24">
        <f t="shared" si="43"/>
        <v>1</v>
      </c>
      <c r="P236" s="720"/>
      <c r="Q236" s="24">
        <f t="shared" si="44"/>
        <v>1</v>
      </c>
      <c r="R236" s="716">
        <f t="shared" si="45"/>
        <v>0</v>
      </c>
      <c r="S236" s="361">
        <f t="shared" si="36"/>
        <v>0</v>
      </c>
    </row>
    <row r="237" spans="1:19">
      <c r="A237" s="159"/>
      <c r="B237" s="59"/>
      <c r="C237" s="24">
        <f t="shared" si="37"/>
        <v>1</v>
      </c>
      <c r="D237" s="720"/>
      <c r="E237" s="24">
        <f t="shared" si="38"/>
        <v>1</v>
      </c>
      <c r="F237" s="720"/>
      <c r="G237" s="24">
        <f t="shared" si="39"/>
        <v>0.03</v>
      </c>
      <c r="H237" s="720"/>
      <c r="I237" s="24">
        <f t="shared" si="40"/>
        <v>1</v>
      </c>
      <c r="J237" s="720"/>
      <c r="K237" s="24">
        <f t="shared" si="41"/>
        <v>1</v>
      </c>
      <c r="L237" s="720"/>
      <c r="M237" s="24">
        <f t="shared" si="42"/>
        <v>1</v>
      </c>
      <c r="N237" s="720"/>
      <c r="O237" s="24">
        <f t="shared" si="43"/>
        <v>1</v>
      </c>
      <c r="P237" s="720"/>
      <c r="Q237" s="24">
        <f t="shared" si="44"/>
        <v>1</v>
      </c>
      <c r="R237" s="716">
        <f t="shared" si="45"/>
        <v>0</v>
      </c>
      <c r="S237" s="361">
        <f t="shared" si="36"/>
        <v>0</v>
      </c>
    </row>
    <row r="238" spans="1:19">
      <c r="A238" s="159"/>
      <c r="B238" s="59"/>
      <c r="C238" s="24">
        <f t="shared" si="37"/>
        <v>1</v>
      </c>
      <c r="D238" s="720"/>
      <c r="E238" s="24">
        <f t="shared" si="38"/>
        <v>1</v>
      </c>
      <c r="F238" s="720"/>
      <c r="G238" s="24">
        <f t="shared" si="39"/>
        <v>0.03</v>
      </c>
      <c r="H238" s="720"/>
      <c r="I238" s="24">
        <f t="shared" si="40"/>
        <v>1</v>
      </c>
      <c r="J238" s="720"/>
      <c r="K238" s="24">
        <f t="shared" si="41"/>
        <v>1</v>
      </c>
      <c r="L238" s="720"/>
      <c r="M238" s="24">
        <f t="shared" si="42"/>
        <v>1</v>
      </c>
      <c r="N238" s="720"/>
      <c r="O238" s="24">
        <f t="shared" si="43"/>
        <v>1</v>
      </c>
      <c r="P238" s="720"/>
      <c r="Q238" s="24">
        <f t="shared" si="44"/>
        <v>1</v>
      </c>
      <c r="R238" s="716">
        <f t="shared" si="45"/>
        <v>0</v>
      </c>
      <c r="S238" s="361">
        <f t="shared" si="36"/>
        <v>0</v>
      </c>
    </row>
    <row r="239" spans="1:19">
      <c r="A239" s="159"/>
      <c r="B239" s="59"/>
      <c r="C239" s="24">
        <f t="shared" si="37"/>
        <v>1</v>
      </c>
      <c r="D239" s="720"/>
      <c r="E239" s="24">
        <f t="shared" si="38"/>
        <v>1</v>
      </c>
      <c r="F239" s="720"/>
      <c r="G239" s="24">
        <f t="shared" si="39"/>
        <v>0.03</v>
      </c>
      <c r="H239" s="720"/>
      <c r="I239" s="24">
        <f t="shared" si="40"/>
        <v>1</v>
      </c>
      <c r="J239" s="720"/>
      <c r="K239" s="24">
        <f t="shared" si="41"/>
        <v>1</v>
      </c>
      <c r="L239" s="720"/>
      <c r="M239" s="24">
        <f t="shared" si="42"/>
        <v>1</v>
      </c>
      <c r="N239" s="720"/>
      <c r="O239" s="24">
        <f t="shared" si="43"/>
        <v>1</v>
      </c>
      <c r="P239" s="720"/>
      <c r="Q239" s="24">
        <f t="shared" si="44"/>
        <v>1</v>
      </c>
      <c r="R239" s="716">
        <f t="shared" si="45"/>
        <v>0</v>
      </c>
      <c r="S239" s="361">
        <f t="shared" si="36"/>
        <v>0</v>
      </c>
    </row>
    <row r="240" spans="1:19">
      <c r="A240" s="159"/>
      <c r="B240" s="59"/>
      <c r="C240" s="24">
        <f t="shared" si="37"/>
        <v>1</v>
      </c>
      <c r="D240" s="720"/>
      <c r="E240" s="24">
        <f t="shared" si="38"/>
        <v>1</v>
      </c>
      <c r="F240" s="720"/>
      <c r="G240" s="24">
        <f t="shared" si="39"/>
        <v>0.03</v>
      </c>
      <c r="H240" s="720"/>
      <c r="I240" s="24">
        <f t="shared" si="40"/>
        <v>1</v>
      </c>
      <c r="J240" s="720"/>
      <c r="K240" s="24">
        <f t="shared" si="41"/>
        <v>1</v>
      </c>
      <c r="L240" s="720"/>
      <c r="M240" s="24">
        <f t="shared" si="42"/>
        <v>1</v>
      </c>
      <c r="N240" s="720"/>
      <c r="O240" s="24">
        <f t="shared" si="43"/>
        <v>1</v>
      </c>
      <c r="P240" s="720"/>
      <c r="Q240" s="24">
        <f t="shared" si="44"/>
        <v>1</v>
      </c>
      <c r="R240" s="716">
        <f t="shared" si="45"/>
        <v>0</v>
      </c>
      <c r="S240" s="361">
        <f t="shared" si="36"/>
        <v>0</v>
      </c>
    </row>
    <row r="241" spans="1:19">
      <c r="A241" s="159"/>
      <c r="B241" s="59"/>
      <c r="C241" s="24">
        <f t="shared" si="37"/>
        <v>1</v>
      </c>
      <c r="D241" s="720"/>
      <c r="E241" s="24">
        <f t="shared" si="38"/>
        <v>1</v>
      </c>
      <c r="F241" s="720"/>
      <c r="G241" s="24">
        <f t="shared" si="39"/>
        <v>0.03</v>
      </c>
      <c r="H241" s="720"/>
      <c r="I241" s="24">
        <f t="shared" si="40"/>
        <v>1</v>
      </c>
      <c r="J241" s="720"/>
      <c r="K241" s="24">
        <f t="shared" si="41"/>
        <v>1</v>
      </c>
      <c r="L241" s="720"/>
      <c r="M241" s="24">
        <f t="shared" si="42"/>
        <v>1</v>
      </c>
      <c r="N241" s="720"/>
      <c r="O241" s="24">
        <f t="shared" si="43"/>
        <v>1</v>
      </c>
      <c r="P241" s="720"/>
      <c r="Q241" s="24">
        <f t="shared" si="44"/>
        <v>1</v>
      </c>
      <c r="R241" s="716">
        <f t="shared" si="45"/>
        <v>0</v>
      </c>
      <c r="S241" s="361">
        <f t="shared" si="36"/>
        <v>0</v>
      </c>
    </row>
    <row r="242" spans="1:19">
      <c r="A242" s="159"/>
      <c r="B242" s="59"/>
      <c r="C242" s="24">
        <f t="shared" si="37"/>
        <v>1</v>
      </c>
      <c r="D242" s="720"/>
      <c r="E242" s="24">
        <f t="shared" si="38"/>
        <v>1</v>
      </c>
      <c r="F242" s="720"/>
      <c r="G242" s="24">
        <f t="shared" si="39"/>
        <v>0.03</v>
      </c>
      <c r="H242" s="720"/>
      <c r="I242" s="24">
        <f t="shared" si="40"/>
        <v>1</v>
      </c>
      <c r="J242" s="720"/>
      <c r="K242" s="24">
        <f t="shared" si="41"/>
        <v>1</v>
      </c>
      <c r="L242" s="720"/>
      <c r="M242" s="24">
        <f t="shared" si="42"/>
        <v>1</v>
      </c>
      <c r="N242" s="720"/>
      <c r="O242" s="24">
        <f t="shared" si="43"/>
        <v>1</v>
      </c>
      <c r="P242" s="720"/>
      <c r="Q242" s="24">
        <f t="shared" si="44"/>
        <v>1</v>
      </c>
      <c r="R242" s="716">
        <f t="shared" si="45"/>
        <v>0</v>
      </c>
      <c r="S242" s="361">
        <f t="shared" si="36"/>
        <v>0</v>
      </c>
    </row>
    <row r="243" spans="1:19">
      <c r="A243" s="159"/>
      <c r="B243" s="59"/>
      <c r="C243" s="24">
        <f t="shared" si="37"/>
        <v>1</v>
      </c>
      <c r="D243" s="720"/>
      <c r="E243" s="24">
        <f t="shared" si="38"/>
        <v>1</v>
      </c>
      <c r="F243" s="720"/>
      <c r="G243" s="24">
        <f t="shared" si="39"/>
        <v>0.03</v>
      </c>
      <c r="H243" s="720"/>
      <c r="I243" s="24">
        <f t="shared" si="40"/>
        <v>1</v>
      </c>
      <c r="J243" s="720"/>
      <c r="K243" s="24">
        <f t="shared" si="41"/>
        <v>1</v>
      </c>
      <c r="L243" s="720"/>
      <c r="M243" s="24">
        <f t="shared" si="42"/>
        <v>1</v>
      </c>
      <c r="N243" s="720"/>
      <c r="O243" s="24">
        <f t="shared" si="43"/>
        <v>1</v>
      </c>
      <c r="P243" s="720"/>
      <c r="Q243" s="24">
        <f t="shared" si="44"/>
        <v>1</v>
      </c>
      <c r="R243" s="716">
        <f t="shared" si="45"/>
        <v>0</v>
      </c>
      <c r="S243" s="361">
        <f t="shared" si="36"/>
        <v>0</v>
      </c>
    </row>
    <row r="244" spans="1:19">
      <c r="A244" s="159"/>
      <c r="B244" s="59"/>
      <c r="C244" s="24">
        <f t="shared" si="37"/>
        <v>1</v>
      </c>
      <c r="D244" s="720"/>
      <c r="E244" s="24">
        <f t="shared" si="38"/>
        <v>1</v>
      </c>
      <c r="F244" s="720"/>
      <c r="G244" s="24">
        <f t="shared" si="39"/>
        <v>0.03</v>
      </c>
      <c r="H244" s="720"/>
      <c r="I244" s="24">
        <f t="shared" si="40"/>
        <v>1</v>
      </c>
      <c r="J244" s="720"/>
      <c r="K244" s="24">
        <f t="shared" si="41"/>
        <v>1</v>
      </c>
      <c r="L244" s="720"/>
      <c r="M244" s="24">
        <f t="shared" si="42"/>
        <v>1</v>
      </c>
      <c r="N244" s="720"/>
      <c r="O244" s="24">
        <f t="shared" si="43"/>
        <v>1</v>
      </c>
      <c r="P244" s="720"/>
      <c r="Q244" s="24">
        <f t="shared" si="44"/>
        <v>1</v>
      </c>
      <c r="R244" s="716">
        <f t="shared" si="45"/>
        <v>0</v>
      </c>
      <c r="S244" s="361">
        <f t="shared" si="36"/>
        <v>0</v>
      </c>
    </row>
    <row r="245" spans="1:19">
      <c r="A245" s="159"/>
      <c r="B245" s="59"/>
      <c r="C245" s="24">
        <f t="shared" si="37"/>
        <v>1</v>
      </c>
      <c r="D245" s="720"/>
      <c r="E245" s="24">
        <f t="shared" si="38"/>
        <v>1</v>
      </c>
      <c r="F245" s="720"/>
      <c r="G245" s="24">
        <f t="shared" si="39"/>
        <v>0.03</v>
      </c>
      <c r="H245" s="720"/>
      <c r="I245" s="24">
        <f t="shared" si="40"/>
        <v>1</v>
      </c>
      <c r="J245" s="720"/>
      <c r="K245" s="24">
        <f t="shared" si="41"/>
        <v>1</v>
      </c>
      <c r="L245" s="720"/>
      <c r="M245" s="24">
        <f t="shared" si="42"/>
        <v>1</v>
      </c>
      <c r="N245" s="720"/>
      <c r="O245" s="24">
        <f t="shared" si="43"/>
        <v>1</v>
      </c>
      <c r="P245" s="720"/>
      <c r="Q245" s="24">
        <f t="shared" si="44"/>
        <v>1</v>
      </c>
      <c r="R245" s="716">
        <f t="shared" si="45"/>
        <v>0</v>
      </c>
      <c r="S245" s="361">
        <f t="shared" si="36"/>
        <v>0</v>
      </c>
    </row>
    <row r="246" spans="1:19">
      <c r="A246" s="159"/>
      <c r="B246" s="59"/>
      <c r="C246" s="24">
        <f t="shared" si="37"/>
        <v>1</v>
      </c>
      <c r="D246" s="720"/>
      <c r="E246" s="24">
        <f t="shared" si="38"/>
        <v>1</v>
      </c>
      <c r="F246" s="720"/>
      <c r="G246" s="24">
        <f t="shared" si="39"/>
        <v>0.03</v>
      </c>
      <c r="H246" s="720"/>
      <c r="I246" s="24">
        <f t="shared" si="40"/>
        <v>1</v>
      </c>
      <c r="J246" s="720"/>
      <c r="K246" s="24">
        <f t="shared" si="41"/>
        <v>1</v>
      </c>
      <c r="L246" s="720"/>
      <c r="M246" s="24">
        <f t="shared" si="42"/>
        <v>1</v>
      </c>
      <c r="N246" s="720"/>
      <c r="O246" s="24">
        <f t="shared" si="43"/>
        <v>1</v>
      </c>
      <c r="P246" s="720"/>
      <c r="Q246" s="24">
        <f t="shared" si="44"/>
        <v>1</v>
      </c>
      <c r="R246" s="716">
        <f t="shared" si="45"/>
        <v>0</v>
      </c>
      <c r="S246" s="361">
        <f t="shared" si="36"/>
        <v>0</v>
      </c>
    </row>
    <row r="247" spans="1:19">
      <c r="A247" s="159"/>
      <c r="B247" s="59"/>
      <c r="C247" s="24">
        <f t="shared" si="37"/>
        <v>1</v>
      </c>
      <c r="D247" s="720"/>
      <c r="E247" s="24">
        <f t="shared" si="38"/>
        <v>1</v>
      </c>
      <c r="F247" s="720"/>
      <c r="G247" s="24">
        <f t="shared" si="39"/>
        <v>0.03</v>
      </c>
      <c r="H247" s="720"/>
      <c r="I247" s="24">
        <f t="shared" si="40"/>
        <v>1</v>
      </c>
      <c r="J247" s="720"/>
      <c r="K247" s="24">
        <f t="shared" si="41"/>
        <v>1</v>
      </c>
      <c r="L247" s="720"/>
      <c r="M247" s="24">
        <f t="shared" si="42"/>
        <v>1</v>
      </c>
      <c r="N247" s="720"/>
      <c r="O247" s="24">
        <f t="shared" si="43"/>
        <v>1</v>
      </c>
      <c r="P247" s="720"/>
      <c r="Q247" s="24">
        <f t="shared" si="44"/>
        <v>1</v>
      </c>
      <c r="R247" s="716">
        <f t="shared" si="45"/>
        <v>0</v>
      </c>
      <c r="S247" s="361">
        <f t="shared" si="36"/>
        <v>0</v>
      </c>
    </row>
    <row r="248" spans="1:19">
      <c r="A248" s="159"/>
      <c r="B248" s="59"/>
      <c r="C248" s="24">
        <f t="shared" si="37"/>
        <v>1</v>
      </c>
      <c r="D248" s="720"/>
      <c r="E248" s="24">
        <f t="shared" si="38"/>
        <v>1</v>
      </c>
      <c r="F248" s="720"/>
      <c r="G248" s="24">
        <f t="shared" si="39"/>
        <v>0.03</v>
      </c>
      <c r="H248" s="720"/>
      <c r="I248" s="24">
        <f t="shared" si="40"/>
        <v>1</v>
      </c>
      <c r="J248" s="720"/>
      <c r="K248" s="24">
        <f t="shared" si="41"/>
        <v>1</v>
      </c>
      <c r="L248" s="720"/>
      <c r="M248" s="24">
        <f t="shared" si="42"/>
        <v>1</v>
      </c>
      <c r="N248" s="720"/>
      <c r="O248" s="24">
        <f t="shared" si="43"/>
        <v>1</v>
      </c>
      <c r="P248" s="720"/>
      <c r="Q248" s="24">
        <f t="shared" si="44"/>
        <v>1</v>
      </c>
      <c r="R248" s="716">
        <f t="shared" si="45"/>
        <v>0</v>
      </c>
      <c r="S248" s="361">
        <f t="shared" si="36"/>
        <v>0</v>
      </c>
    </row>
    <row r="249" spans="1:19">
      <c r="A249" s="159"/>
      <c r="B249" s="59"/>
      <c r="C249" s="24">
        <f t="shared" si="37"/>
        <v>1</v>
      </c>
      <c r="D249" s="720"/>
      <c r="E249" s="24">
        <f t="shared" si="38"/>
        <v>1</v>
      </c>
      <c r="F249" s="720"/>
      <c r="G249" s="24">
        <f t="shared" si="39"/>
        <v>0.03</v>
      </c>
      <c r="H249" s="720"/>
      <c r="I249" s="24">
        <f t="shared" si="40"/>
        <v>1</v>
      </c>
      <c r="J249" s="720"/>
      <c r="K249" s="24">
        <f t="shared" si="41"/>
        <v>1</v>
      </c>
      <c r="L249" s="720"/>
      <c r="M249" s="24">
        <f t="shared" si="42"/>
        <v>1</v>
      </c>
      <c r="N249" s="720"/>
      <c r="O249" s="24">
        <f t="shared" si="43"/>
        <v>1</v>
      </c>
      <c r="P249" s="720"/>
      <c r="Q249" s="24">
        <f t="shared" si="44"/>
        <v>1</v>
      </c>
      <c r="R249" s="716">
        <f t="shared" si="45"/>
        <v>0</v>
      </c>
      <c r="S249" s="361">
        <f t="shared" si="36"/>
        <v>0</v>
      </c>
    </row>
    <row r="250" spans="1:19">
      <c r="A250" s="159"/>
      <c r="B250" s="59"/>
      <c r="C250" s="24">
        <f t="shared" si="37"/>
        <v>1</v>
      </c>
      <c r="D250" s="720"/>
      <c r="E250" s="24">
        <f t="shared" si="38"/>
        <v>1</v>
      </c>
      <c r="F250" s="720"/>
      <c r="G250" s="24">
        <f t="shared" si="39"/>
        <v>0.03</v>
      </c>
      <c r="H250" s="720"/>
      <c r="I250" s="24">
        <f t="shared" si="40"/>
        <v>1</v>
      </c>
      <c r="J250" s="720"/>
      <c r="K250" s="24">
        <f t="shared" si="41"/>
        <v>1</v>
      </c>
      <c r="L250" s="720"/>
      <c r="M250" s="24">
        <f t="shared" si="42"/>
        <v>1</v>
      </c>
      <c r="N250" s="720"/>
      <c r="O250" s="24">
        <f t="shared" si="43"/>
        <v>1</v>
      </c>
      <c r="P250" s="720"/>
      <c r="Q250" s="24">
        <f t="shared" si="44"/>
        <v>1</v>
      </c>
      <c r="R250" s="716">
        <f t="shared" si="45"/>
        <v>0</v>
      </c>
      <c r="S250" s="361">
        <f t="shared" si="36"/>
        <v>0</v>
      </c>
    </row>
    <row r="251" spans="1:19">
      <c r="A251" s="159"/>
      <c r="B251" s="59"/>
      <c r="C251" s="24">
        <f t="shared" si="37"/>
        <v>1</v>
      </c>
      <c r="D251" s="720"/>
      <c r="E251" s="24">
        <f t="shared" si="38"/>
        <v>1</v>
      </c>
      <c r="F251" s="720"/>
      <c r="G251" s="24">
        <f t="shared" si="39"/>
        <v>0.03</v>
      </c>
      <c r="H251" s="720"/>
      <c r="I251" s="24">
        <f t="shared" si="40"/>
        <v>1</v>
      </c>
      <c r="J251" s="720"/>
      <c r="K251" s="24">
        <f t="shared" si="41"/>
        <v>1</v>
      </c>
      <c r="L251" s="720"/>
      <c r="M251" s="24">
        <f t="shared" si="42"/>
        <v>1</v>
      </c>
      <c r="N251" s="720"/>
      <c r="O251" s="24">
        <f t="shared" si="43"/>
        <v>1</v>
      </c>
      <c r="P251" s="720"/>
      <c r="Q251" s="24">
        <f t="shared" si="44"/>
        <v>1</v>
      </c>
      <c r="R251" s="716">
        <f t="shared" si="45"/>
        <v>0</v>
      </c>
      <c r="S251" s="361">
        <f t="shared" si="36"/>
        <v>0</v>
      </c>
    </row>
    <row r="252" spans="1:19">
      <c r="A252" s="159"/>
      <c r="B252" s="59"/>
      <c r="C252" s="24">
        <f t="shared" si="37"/>
        <v>1</v>
      </c>
      <c r="D252" s="720"/>
      <c r="E252" s="24">
        <f t="shared" si="38"/>
        <v>1</v>
      </c>
      <c r="F252" s="720"/>
      <c r="G252" s="24">
        <f t="shared" si="39"/>
        <v>0.03</v>
      </c>
      <c r="H252" s="720"/>
      <c r="I252" s="24">
        <f t="shared" si="40"/>
        <v>1</v>
      </c>
      <c r="J252" s="720"/>
      <c r="K252" s="24">
        <f t="shared" si="41"/>
        <v>1</v>
      </c>
      <c r="L252" s="720"/>
      <c r="M252" s="24">
        <f t="shared" si="42"/>
        <v>1</v>
      </c>
      <c r="N252" s="720"/>
      <c r="O252" s="24">
        <f t="shared" si="43"/>
        <v>1</v>
      </c>
      <c r="P252" s="720"/>
      <c r="Q252" s="24">
        <f t="shared" si="44"/>
        <v>1</v>
      </c>
      <c r="R252" s="716">
        <f t="shared" si="45"/>
        <v>0</v>
      </c>
      <c r="S252" s="361">
        <f t="shared" si="36"/>
        <v>0</v>
      </c>
    </row>
    <row r="253" spans="1:19">
      <c r="A253" s="159"/>
      <c r="B253" s="59"/>
      <c r="C253" s="24">
        <f t="shared" si="37"/>
        <v>1</v>
      </c>
      <c r="D253" s="720"/>
      <c r="E253" s="24">
        <f t="shared" si="38"/>
        <v>1</v>
      </c>
      <c r="F253" s="720"/>
      <c r="G253" s="24">
        <f t="shared" si="39"/>
        <v>0.03</v>
      </c>
      <c r="H253" s="720"/>
      <c r="I253" s="24">
        <f t="shared" si="40"/>
        <v>1</v>
      </c>
      <c r="J253" s="720"/>
      <c r="K253" s="24">
        <f t="shared" si="41"/>
        <v>1</v>
      </c>
      <c r="L253" s="720"/>
      <c r="M253" s="24">
        <f t="shared" si="42"/>
        <v>1</v>
      </c>
      <c r="N253" s="720"/>
      <c r="O253" s="24">
        <f t="shared" si="43"/>
        <v>1</v>
      </c>
      <c r="P253" s="720"/>
      <c r="Q253" s="24">
        <f t="shared" si="44"/>
        <v>1</v>
      </c>
      <c r="R253" s="716">
        <f t="shared" si="45"/>
        <v>0</v>
      </c>
      <c r="S253" s="361">
        <f t="shared" si="36"/>
        <v>0</v>
      </c>
    </row>
    <row r="254" spans="1:19">
      <c r="A254" s="159"/>
      <c r="B254" s="59"/>
      <c r="C254" s="24">
        <f t="shared" si="37"/>
        <v>1</v>
      </c>
      <c r="D254" s="720"/>
      <c r="E254" s="24">
        <f t="shared" si="38"/>
        <v>1</v>
      </c>
      <c r="F254" s="720"/>
      <c r="G254" s="24">
        <f t="shared" si="39"/>
        <v>0.03</v>
      </c>
      <c r="H254" s="720"/>
      <c r="I254" s="24">
        <f t="shared" si="40"/>
        <v>1</v>
      </c>
      <c r="J254" s="720"/>
      <c r="K254" s="24">
        <f t="shared" si="41"/>
        <v>1</v>
      </c>
      <c r="L254" s="720"/>
      <c r="M254" s="24">
        <f t="shared" si="42"/>
        <v>1</v>
      </c>
      <c r="N254" s="720"/>
      <c r="O254" s="24">
        <f t="shared" si="43"/>
        <v>1</v>
      </c>
      <c r="P254" s="720"/>
      <c r="Q254" s="24">
        <f t="shared" si="44"/>
        <v>1</v>
      </c>
      <c r="R254" s="716">
        <f t="shared" si="45"/>
        <v>0</v>
      </c>
      <c r="S254" s="361">
        <f t="shared" si="36"/>
        <v>0</v>
      </c>
    </row>
    <row r="255" spans="1:19">
      <c r="A255" s="159"/>
      <c r="B255" s="59"/>
      <c r="C255" s="24">
        <f t="shared" si="37"/>
        <v>1</v>
      </c>
      <c r="D255" s="720"/>
      <c r="E255" s="24">
        <f t="shared" si="38"/>
        <v>1</v>
      </c>
      <c r="F255" s="720"/>
      <c r="G255" s="24">
        <f t="shared" si="39"/>
        <v>0.03</v>
      </c>
      <c r="H255" s="720"/>
      <c r="I255" s="24">
        <f t="shared" si="40"/>
        <v>1</v>
      </c>
      <c r="J255" s="720"/>
      <c r="K255" s="24">
        <f t="shared" si="41"/>
        <v>1</v>
      </c>
      <c r="L255" s="720"/>
      <c r="M255" s="24">
        <f t="shared" si="42"/>
        <v>1</v>
      </c>
      <c r="N255" s="720"/>
      <c r="O255" s="24">
        <f t="shared" si="43"/>
        <v>1</v>
      </c>
      <c r="P255" s="720"/>
      <c r="Q255" s="24">
        <f t="shared" si="44"/>
        <v>1</v>
      </c>
      <c r="R255" s="716">
        <f t="shared" si="45"/>
        <v>0</v>
      </c>
      <c r="S255" s="361">
        <f t="shared" si="36"/>
        <v>0</v>
      </c>
    </row>
    <row r="256" spans="1:19">
      <c r="A256" s="159"/>
      <c r="B256" s="59"/>
      <c r="C256" s="24">
        <f t="shared" si="37"/>
        <v>1</v>
      </c>
      <c r="D256" s="720"/>
      <c r="E256" s="24">
        <f t="shared" si="38"/>
        <v>1</v>
      </c>
      <c r="F256" s="720"/>
      <c r="G256" s="24">
        <f t="shared" si="39"/>
        <v>0.03</v>
      </c>
      <c r="H256" s="720"/>
      <c r="I256" s="24">
        <f t="shared" si="40"/>
        <v>1</v>
      </c>
      <c r="J256" s="720"/>
      <c r="K256" s="24">
        <f t="shared" si="41"/>
        <v>1</v>
      </c>
      <c r="L256" s="720"/>
      <c r="M256" s="24">
        <f t="shared" si="42"/>
        <v>1</v>
      </c>
      <c r="N256" s="720"/>
      <c r="O256" s="24">
        <f t="shared" si="43"/>
        <v>1</v>
      </c>
      <c r="P256" s="720"/>
      <c r="Q256" s="24">
        <f t="shared" si="44"/>
        <v>1</v>
      </c>
      <c r="R256" s="716">
        <f t="shared" si="45"/>
        <v>0</v>
      </c>
      <c r="S256" s="361">
        <f t="shared" si="36"/>
        <v>0</v>
      </c>
    </row>
    <row r="257" spans="1:19">
      <c r="A257" s="159"/>
      <c r="B257" s="59"/>
      <c r="C257" s="24">
        <f t="shared" si="37"/>
        <v>1</v>
      </c>
      <c r="D257" s="720"/>
      <c r="E257" s="24">
        <f t="shared" si="38"/>
        <v>1</v>
      </c>
      <c r="F257" s="720"/>
      <c r="G257" s="24">
        <f t="shared" si="39"/>
        <v>0.03</v>
      </c>
      <c r="H257" s="720"/>
      <c r="I257" s="24">
        <f t="shared" si="40"/>
        <v>1</v>
      </c>
      <c r="J257" s="720"/>
      <c r="K257" s="24">
        <f t="shared" si="41"/>
        <v>1</v>
      </c>
      <c r="L257" s="720"/>
      <c r="M257" s="24">
        <f t="shared" si="42"/>
        <v>1</v>
      </c>
      <c r="N257" s="720"/>
      <c r="O257" s="24">
        <f t="shared" si="43"/>
        <v>1</v>
      </c>
      <c r="P257" s="720"/>
      <c r="Q257" s="24">
        <f t="shared" si="44"/>
        <v>1</v>
      </c>
      <c r="R257" s="716">
        <f t="shared" si="45"/>
        <v>0</v>
      </c>
      <c r="S257" s="361">
        <f t="shared" si="36"/>
        <v>0</v>
      </c>
    </row>
    <row r="258" spans="1:19">
      <c r="A258" s="159"/>
      <c r="B258" s="59"/>
      <c r="C258" s="24">
        <f t="shared" si="37"/>
        <v>1</v>
      </c>
      <c r="D258" s="720"/>
      <c r="E258" s="24">
        <f t="shared" si="38"/>
        <v>1</v>
      </c>
      <c r="F258" s="720"/>
      <c r="G258" s="24">
        <f t="shared" si="39"/>
        <v>0.03</v>
      </c>
      <c r="H258" s="720"/>
      <c r="I258" s="24">
        <f t="shared" si="40"/>
        <v>1</v>
      </c>
      <c r="J258" s="720"/>
      <c r="K258" s="24">
        <f t="shared" si="41"/>
        <v>1</v>
      </c>
      <c r="L258" s="720"/>
      <c r="M258" s="24">
        <f t="shared" si="42"/>
        <v>1</v>
      </c>
      <c r="N258" s="720"/>
      <c r="O258" s="24">
        <f t="shared" si="43"/>
        <v>1</v>
      </c>
      <c r="P258" s="720"/>
      <c r="Q258" s="24">
        <f t="shared" si="44"/>
        <v>1</v>
      </c>
      <c r="R258" s="716">
        <f t="shared" si="45"/>
        <v>0</v>
      </c>
      <c r="S258" s="361">
        <f t="shared" si="36"/>
        <v>0</v>
      </c>
    </row>
    <row r="259" spans="1:19">
      <c r="A259" s="159"/>
      <c r="B259" s="59"/>
      <c r="C259" s="24">
        <f t="shared" si="37"/>
        <v>1</v>
      </c>
      <c r="D259" s="720"/>
      <c r="E259" s="24">
        <f t="shared" si="38"/>
        <v>1</v>
      </c>
      <c r="F259" s="720"/>
      <c r="G259" s="24">
        <f t="shared" si="39"/>
        <v>0.03</v>
      </c>
      <c r="H259" s="720"/>
      <c r="I259" s="24">
        <f t="shared" si="40"/>
        <v>1</v>
      </c>
      <c r="J259" s="720"/>
      <c r="K259" s="24">
        <f t="shared" si="41"/>
        <v>1</v>
      </c>
      <c r="L259" s="720"/>
      <c r="M259" s="24">
        <f t="shared" si="42"/>
        <v>1</v>
      </c>
      <c r="N259" s="720"/>
      <c r="O259" s="24">
        <f t="shared" si="43"/>
        <v>1</v>
      </c>
      <c r="P259" s="720"/>
      <c r="Q259" s="24">
        <f t="shared" si="44"/>
        <v>1</v>
      </c>
      <c r="R259" s="716">
        <f t="shared" si="45"/>
        <v>0</v>
      </c>
      <c r="S259" s="361">
        <f t="shared" si="36"/>
        <v>0</v>
      </c>
    </row>
    <row r="260" spans="1:19">
      <c r="A260" s="159"/>
      <c r="B260" s="59"/>
      <c r="C260" s="24">
        <f t="shared" si="37"/>
        <v>1</v>
      </c>
      <c r="D260" s="720"/>
      <c r="E260" s="24">
        <f t="shared" si="38"/>
        <v>1</v>
      </c>
      <c r="F260" s="720"/>
      <c r="G260" s="24">
        <f t="shared" si="39"/>
        <v>0.03</v>
      </c>
      <c r="H260" s="720"/>
      <c r="I260" s="24">
        <f t="shared" si="40"/>
        <v>1</v>
      </c>
      <c r="J260" s="720"/>
      <c r="K260" s="24">
        <f t="shared" si="41"/>
        <v>1</v>
      </c>
      <c r="L260" s="720"/>
      <c r="M260" s="24">
        <f t="shared" si="42"/>
        <v>1</v>
      </c>
      <c r="N260" s="720"/>
      <c r="O260" s="24">
        <f t="shared" si="43"/>
        <v>1</v>
      </c>
      <c r="P260" s="720"/>
      <c r="Q260" s="24">
        <f t="shared" si="44"/>
        <v>1</v>
      </c>
      <c r="R260" s="716">
        <f t="shared" si="45"/>
        <v>0</v>
      </c>
      <c r="S260" s="361">
        <f t="shared" si="36"/>
        <v>0</v>
      </c>
    </row>
    <row r="261" spans="1:19">
      <c r="A261" s="159"/>
      <c r="B261" s="59"/>
      <c r="C261" s="24">
        <f t="shared" si="37"/>
        <v>1</v>
      </c>
      <c r="D261" s="720"/>
      <c r="E261" s="24">
        <f t="shared" si="38"/>
        <v>1</v>
      </c>
      <c r="F261" s="720"/>
      <c r="G261" s="24">
        <f t="shared" si="39"/>
        <v>0.03</v>
      </c>
      <c r="H261" s="720"/>
      <c r="I261" s="24">
        <f t="shared" si="40"/>
        <v>1</v>
      </c>
      <c r="J261" s="720"/>
      <c r="K261" s="24">
        <f t="shared" si="41"/>
        <v>1</v>
      </c>
      <c r="L261" s="720"/>
      <c r="M261" s="24">
        <f t="shared" si="42"/>
        <v>1</v>
      </c>
      <c r="N261" s="720"/>
      <c r="O261" s="24">
        <f t="shared" si="43"/>
        <v>1</v>
      </c>
      <c r="P261" s="720"/>
      <c r="Q261" s="24">
        <f t="shared" si="44"/>
        <v>1</v>
      </c>
      <c r="R261" s="716">
        <f t="shared" si="45"/>
        <v>0</v>
      </c>
      <c r="S261" s="361">
        <f t="shared" si="36"/>
        <v>0</v>
      </c>
    </row>
    <row r="262" spans="1:19">
      <c r="A262" s="159"/>
      <c r="B262" s="59"/>
      <c r="C262" s="24">
        <f t="shared" si="37"/>
        <v>1</v>
      </c>
      <c r="D262" s="720"/>
      <c r="E262" s="24">
        <f t="shared" si="38"/>
        <v>1</v>
      </c>
      <c r="F262" s="720"/>
      <c r="G262" s="24">
        <f t="shared" si="39"/>
        <v>0.03</v>
      </c>
      <c r="H262" s="720"/>
      <c r="I262" s="24">
        <f t="shared" si="40"/>
        <v>1</v>
      </c>
      <c r="J262" s="720"/>
      <c r="K262" s="24">
        <f t="shared" si="41"/>
        <v>1</v>
      </c>
      <c r="L262" s="720"/>
      <c r="M262" s="24">
        <f t="shared" si="42"/>
        <v>1</v>
      </c>
      <c r="N262" s="720"/>
      <c r="O262" s="24">
        <f t="shared" si="43"/>
        <v>1</v>
      </c>
      <c r="P262" s="720"/>
      <c r="Q262" s="24">
        <f t="shared" si="44"/>
        <v>1</v>
      </c>
      <c r="R262" s="716">
        <f t="shared" si="45"/>
        <v>0</v>
      </c>
      <c r="S262" s="361">
        <f t="shared" si="36"/>
        <v>0</v>
      </c>
    </row>
    <row r="263" spans="1:19">
      <c r="A263" s="159"/>
      <c r="B263" s="59"/>
      <c r="C263" s="24">
        <f t="shared" si="37"/>
        <v>1</v>
      </c>
      <c r="D263" s="720"/>
      <c r="E263" s="24">
        <f t="shared" si="38"/>
        <v>1</v>
      </c>
      <c r="F263" s="720"/>
      <c r="G263" s="24">
        <f t="shared" si="39"/>
        <v>0.03</v>
      </c>
      <c r="H263" s="720"/>
      <c r="I263" s="24">
        <f t="shared" si="40"/>
        <v>1</v>
      </c>
      <c r="J263" s="720"/>
      <c r="K263" s="24">
        <f t="shared" si="41"/>
        <v>1</v>
      </c>
      <c r="L263" s="720"/>
      <c r="M263" s="24">
        <f t="shared" si="42"/>
        <v>1</v>
      </c>
      <c r="N263" s="720"/>
      <c r="O263" s="24">
        <f t="shared" si="43"/>
        <v>1</v>
      </c>
      <c r="P263" s="720"/>
      <c r="Q263" s="24">
        <f t="shared" si="44"/>
        <v>1</v>
      </c>
      <c r="R263" s="716">
        <f t="shared" si="45"/>
        <v>0</v>
      </c>
      <c r="S263" s="361">
        <f t="shared" si="36"/>
        <v>0</v>
      </c>
    </row>
    <row r="264" spans="1:19">
      <c r="A264" s="159"/>
      <c r="B264" s="59"/>
      <c r="C264" s="24">
        <f t="shared" si="37"/>
        <v>1</v>
      </c>
      <c r="D264" s="720"/>
      <c r="E264" s="24">
        <f t="shared" si="38"/>
        <v>1</v>
      </c>
      <c r="F264" s="720"/>
      <c r="G264" s="24">
        <f t="shared" si="39"/>
        <v>0.03</v>
      </c>
      <c r="H264" s="720"/>
      <c r="I264" s="24">
        <f t="shared" si="40"/>
        <v>1</v>
      </c>
      <c r="J264" s="720"/>
      <c r="K264" s="24">
        <f t="shared" si="41"/>
        <v>1</v>
      </c>
      <c r="L264" s="720"/>
      <c r="M264" s="24">
        <f t="shared" si="42"/>
        <v>1</v>
      </c>
      <c r="N264" s="720"/>
      <c r="O264" s="24">
        <f t="shared" si="43"/>
        <v>1</v>
      </c>
      <c r="P264" s="720"/>
      <c r="Q264" s="24">
        <f t="shared" si="44"/>
        <v>1</v>
      </c>
      <c r="R264" s="716">
        <f t="shared" si="45"/>
        <v>0</v>
      </c>
      <c r="S264" s="361">
        <f t="shared" si="36"/>
        <v>0</v>
      </c>
    </row>
    <row r="265" spans="1:19">
      <c r="A265" s="159"/>
      <c r="B265" s="59"/>
      <c r="C265" s="24">
        <f t="shared" si="37"/>
        <v>1</v>
      </c>
      <c r="D265" s="720"/>
      <c r="E265" s="24">
        <f t="shared" si="38"/>
        <v>1</v>
      </c>
      <c r="F265" s="720"/>
      <c r="G265" s="24">
        <f t="shared" si="39"/>
        <v>0.03</v>
      </c>
      <c r="H265" s="720"/>
      <c r="I265" s="24">
        <f t="shared" si="40"/>
        <v>1</v>
      </c>
      <c r="J265" s="720"/>
      <c r="K265" s="24">
        <f t="shared" si="41"/>
        <v>1</v>
      </c>
      <c r="L265" s="720"/>
      <c r="M265" s="24">
        <f t="shared" si="42"/>
        <v>1</v>
      </c>
      <c r="N265" s="720"/>
      <c r="O265" s="24">
        <f t="shared" si="43"/>
        <v>1</v>
      </c>
      <c r="P265" s="720"/>
      <c r="Q265" s="24">
        <f t="shared" si="44"/>
        <v>1</v>
      </c>
      <c r="R265" s="716">
        <f t="shared" si="45"/>
        <v>0</v>
      </c>
      <c r="S265" s="361">
        <f t="shared" si="36"/>
        <v>0</v>
      </c>
    </row>
    <row r="266" spans="1:19">
      <c r="A266" s="159"/>
      <c r="B266" s="59"/>
      <c r="C266" s="24">
        <f t="shared" si="37"/>
        <v>1</v>
      </c>
      <c r="D266" s="720"/>
      <c r="E266" s="24">
        <f t="shared" si="38"/>
        <v>1</v>
      </c>
      <c r="F266" s="720"/>
      <c r="G266" s="24">
        <f t="shared" si="39"/>
        <v>0.03</v>
      </c>
      <c r="H266" s="720"/>
      <c r="I266" s="24">
        <f t="shared" si="40"/>
        <v>1</v>
      </c>
      <c r="J266" s="720"/>
      <c r="K266" s="24">
        <f t="shared" si="41"/>
        <v>1</v>
      </c>
      <c r="L266" s="720"/>
      <c r="M266" s="24">
        <f t="shared" si="42"/>
        <v>1</v>
      </c>
      <c r="N266" s="720"/>
      <c r="O266" s="24">
        <f t="shared" si="43"/>
        <v>1</v>
      </c>
      <c r="P266" s="720"/>
      <c r="Q266" s="24">
        <f t="shared" si="44"/>
        <v>1</v>
      </c>
      <c r="R266" s="716">
        <f t="shared" si="45"/>
        <v>0</v>
      </c>
      <c r="S266" s="361">
        <f t="shared" si="36"/>
        <v>0</v>
      </c>
    </row>
    <row r="267" spans="1:19">
      <c r="A267" s="159"/>
      <c r="B267" s="59"/>
      <c r="C267" s="24">
        <f t="shared" si="37"/>
        <v>1</v>
      </c>
      <c r="D267" s="720"/>
      <c r="E267" s="24">
        <f t="shared" si="38"/>
        <v>1</v>
      </c>
      <c r="F267" s="720"/>
      <c r="G267" s="24">
        <f t="shared" si="39"/>
        <v>0.03</v>
      </c>
      <c r="H267" s="720"/>
      <c r="I267" s="24">
        <f t="shared" si="40"/>
        <v>1</v>
      </c>
      <c r="J267" s="720"/>
      <c r="K267" s="24">
        <f t="shared" si="41"/>
        <v>1</v>
      </c>
      <c r="L267" s="720"/>
      <c r="M267" s="24">
        <f t="shared" si="42"/>
        <v>1</v>
      </c>
      <c r="N267" s="720"/>
      <c r="O267" s="24">
        <f t="shared" si="43"/>
        <v>1</v>
      </c>
      <c r="P267" s="720"/>
      <c r="Q267" s="24">
        <f t="shared" si="44"/>
        <v>1</v>
      </c>
      <c r="R267" s="716">
        <f t="shared" si="45"/>
        <v>0</v>
      </c>
      <c r="S267" s="361">
        <f t="shared" si="36"/>
        <v>0</v>
      </c>
    </row>
    <row r="268" spans="1:19">
      <c r="A268" s="159"/>
      <c r="B268" s="59"/>
      <c r="C268" s="24">
        <f t="shared" si="37"/>
        <v>1</v>
      </c>
      <c r="D268" s="720"/>
      <c r="E268" s="24">
        <f t="shared" si="38"/>
        <v>1</v>
      </c>
      <c r="F268" s="720"/>
      <c r="G268" s="24">
        <f t="shared" si="39"/>
        <v>0.03</v>
      </c>
      <c r="H268" s="720"/>
      <c r="I268" s="24">
        <f t="shared" si="40"/>
        <v>1</v>
      </c>
      <c r="J268" s="720"/>
      <c r="K268" s="24">
        <f t="shared" si="41"/>
        <v>1</v>
      </c>
      <c r="L268" s="720"/>
      <c r="M268" s="24">
        <f t="shared" si="42"/>
        <v>1</v>
      </c>
      <c r="N268" s="720"/>
      <c r="O268" s="24">
        <f t="shared" si="43"/>
        <v>1</v>
      </c>
      <c r="P268" s="720"/>
      <c r="Q268" s="24">
        <f t="shared" si="44"/>
        <v>1</v>
      </c>
      <c r="R268" s="716">
        <f t="shared" si="45"/>
        <v>0</v>
      </c>
      <c r="S268" s="361">
        <f t="shared" si="36"/>
        <v>0</v>
      </c>
    </row>
    <row r="269" spans="1:19">
      <c r="A269" s="159"/>
      <c r="B269" s="59"/>
      <c r="C269" s="24">
        <f t="shared" si="37"/>
        <v>1</v>
      </c>
      <c r="D269" s="720"/>
      <c r="E269" s="24">
        <f t="shared" si="38"/>
        <v>1</v>
      </c>
      <c r="F269" s="720"/>
      <c r="G269" s="24">
        <f t="shared" si="39"/>
        <v>0.03</v>
      </c>
      <c r="H269" s="720"/>
      <c r="I269" s="24">
        <f t="shared" si="40"/>
        <v>1</v>
      </c>
      <c r="J269" s="720"/>
      <c r="K269" s="24">
        <f t="shared" si="41"/>
        <v>1</v>
      </c>
      <c r="L269" s="720"/>
      <c r="M269" s="24">
        <f t="shared" si="42"/>
        <v>1</v>
      </c>
      <c r="N269" s="720"/>
      <c r="O269" s="24">
        <f t="shared" si="43"/>
        <v>1</v>
      </c>
      <c r="P269" s="720"/>
      <c r="Q269" s="24">
        <f t="shared" si="44"/>
        <v>1</v>
      </c>
      <c r="R269" s="716">
        <f t="shared" si="45"/>
        <v>0</v>
      </c>
      <c r="S269" s="361">
        <f t="shared" si="36"/>
        <v>0</v>
      </c>
    </row>
    <row r="270" spans="1:19">
      <c r="A270" s="159"/>
      <c r="B270" s="59"/>
      <c r="C270" s="24">
        <f t="shared" si="37"/>
        <v>1</v>
      </c>
      <c r="D270" s="720"/>
      <c r="E270" s="24">
        <f t="shared" si="38"/>
        <v>1</v>
      </c>
      <c r="F270" s="720"/>
      <c r="G270" s="24">
        <f t="shared" si="39"/>
        <v>0.03</v>
      </c>
      <c r="H270" s="720"/>
      <c r="I270" s="24">
        <f t="shared" si="40"/>
        <v>1</v>
      </c>
      <c r="J270" s="720"/>
      <c r="K270" s="24">
        <f t="shared" si="41"/>
        <v>1</v>
      </c>
      <c r="L270" s="720"/>
      <c r="M270" s="24">
        <f t="shared" si="42"/>
        <v>1</v>
      </c>
      <c r="N270" s="720"/>
      <c r="O270" s="24">
        <f t="shared" si="43"/>
        <v>1</v>
      </c>
      <c r="P270" s="720"/>
      <c r="Q270" s="24">
        <f t="shared" si="44"/>
        <v>1</v>
      </c>
      <c r="R270" s="716">
        <f t="shared" si="45"/>
        <v>0</v>
      </c>
      <c r="S270" s="361">
        <f t="shared" si="36"/>
        <v>0</v>
      </c>
    </row>
    <row r="271" spans="1:19">
      <c r="A271" s="159"/>
      <c r="B271" s="59"/>
      <c r="C271" s="24">
        <f t="shared" si="37"/>
        <v>1</v>
      </c>
      <c r="D271" s="720"/>
      <c r="E271" s="24">
        <f t="shared" si="38"/>
        <v>1</v>
      </c>
      <c r="F271" s="720"/>
      <c r="G271" s="24">
        <f t="shared" si="39"/>
        <v>0.03</v>
      </c>
      <c r="H271" s="720"/>
      <c r="I271" s="24">
        <f t="shared" si="40"/>
        <v>1</v>
      </c>
      <c r="J271" s="720"/>
      <c r="K271" s="24">
        <f t="shared" si="41"/>
        <v>1</v>
      </c>
      <c r="L271" s="720"/>
      <c r="M271" s="24">
        <f t="shared" si="42"/>
        <v>1</v>
      </c>
      <c r="N271" s="720"/>
      <c r="O271" s="24">
        <f t="shared" si="43"/>
        <v>1</v>
      </c>
      <c r="P271" s="720"/>
      <c r="Q271" s="24">
        <f t="shared" si="44"/>
        <v>1</v>
      </c>
      <c r="R271" s="716">
        <f t="shared" si="45"/>
        <v>0</v>
      </c>
      <c r="S271" s="361">
        <f t="shared" si="36"/>
        <v>0</v>
      </c>
    </row>
    <row r="272" spans="1:19">
      <c r="A272" s="159"/>
      <c r="B272" s="59"/>
      <c r="C272" s="24">
        <f t="shared" si="37"/>
        <v>1</v>
      </c>
      <c r="D272" s="720"/>
      <c r="E272" s="24">
        <f t="shared" si="38"/>
        <v>1</v>
      </c>
      <c r="F272" s="720"/>
      <c r="G272" s="24">
        <f t="shared" si="39"/>
        <v>0.03</v>
      </c>
      <c r="H272" s="720"/>
      <c r="I272" s="24">
        <f t="shared" si="40"/>
        <v>1</v>
      </c>
      <c r="J272" s="720"/>
      <c r="K272" s="24">
        <f t="shared" si="41"/>
        <v>1</v>
      </c>
      <c r="L272" s="720"/>
      <c r="M272" s="24">
        <f t="shared" si="42"/>
        <v>1</v>
      </c>
      <c r="N272" s="720"/>
      <c r="O272" s="24">
        <f t="shared" si="43"/>
        <v>1</v>
      </c>
      <c r="P272" s="720"/>
      <c r="Q272" s="24">
        <f t="shared" si="44"/>
        <v>1</v>
      </c>
      <c r="R272" s="716">
        <f t="shared" si="45"/>
        <v>0</v>
      </c>
      <c r="S272" s="361">
        <f t="shared" si="36"/>
        <v>0</v>
      </c>
    </row>
    <row r="273" spans="1:19">
      <c r="A273" s="159"/>
      <c r="B273" s="59"/>
      <c r="C273" s="24">
        <f t="shared" si="37"/>
        <v>1</v>
      </c>
      <c r="D273" s="720"/>
      <c r="E273" s="24">
        <f t="shared" si="38"/>
        <v>1</v>
      </c>
      <c r="F273" s="720"/>
      <c r="G273" s="24">
        <f t="shared" si="39"/>
        <v>0.03</v>
      </c>
      <c r="H273" s="720"/>
      <c r="I273" s="24">
        <f t="shared" si="40"/>
        <v>1</v>
      </c>
      <c r="J273" s="720"/>
      <c r="K273" s="24">
        <f t="shared" si="41"/>
        <v>1</v>
      </c>
      <c r="L273" s="720"/>
      <c r="M273" s="24">
        <f t="shared" si="42"/>
        <v>1</v>
      </c>
      <c r="N273" s="720"/>
      <c r="O273" s="24">
        <f t="shared" si="43"/>
        <v>1</v>
      </c>
      <c r="P273" s="720"/>
      <c r="Q273" s="24">
        <f t="shared" si="44"/>
        <v>1</v>
      </c>
      <c r="R273" s="716">
        <f t="shared" si="45"/>
        <v>0</v>
      </c>
      <c r="S273" s="361">
        <f t="shared" si="36"/>
        <v>0</v>
      </c>
    </row>
    <row r="274" spans="1:19">
      <c r="A274" s="159"/>
      <c r="B274" s="59"/>
      <c r="C274" s="24">
        <f t="shared" si="37"/>
        <v>1</v>
      </c>
      <c r="D274" s="720"/>
      <c r="E274" s="24">
        <f t="shared" si="38"/>
        <v>1</v>
      </c>
      <c r="F274" s="720"/>
      <c r="G274" s="24">
        <f t="shared" si="39"/>
        <v>0.03</v>
      </c>
      <c r="H274" s="720"/>
      <c r="I274" s="24">
        <f t="shared" si="40"/>
        <v>1</v>
      </c>
      <c r="J274" s="720"/>
      <c r="K274" s="24">
        <f t="shared" si="41"/>
        <v>1</v>
      </c>
      <c r="L274" s="720"/>
      <c r="M274" s="24">
        <f t="shared" si="42"/>
        <v>1</v>
      </c>
      <c r="N274" s="720"/>
      <c r="O274" s="24">
        <f t="shared" si="43"/>
        <v>1</v>
      </c>
      <c r="P274" s="720"/>
      <c r="Q274" s="24">
        <f t="shared" si="44"/>
        <v>1</v>
      </c>
      <c r="R274" s="716">
        <f t="shared" si="45"/>
        <v>0</v>
      </c>
      <c r="S274" s="361">
        <f t="shared" si="36"/>
        <v>0</v>
      </c>
    </row>
    <row r="275" spans="1:19">
      <c r="A275" s="159"/>
      <c r="B275" s="59"/>
      <c r="C275" s="24">
        <f t="shared" si="37"/>
        <v>1</v>
      </c>
      <c r="D275" s="720"/>
      <c r="E275" s="24">
        <f t="shared" si="38"/>
        <v>1</v>
      </c>
      <c r="F275" s="720"/>
      <c r="G275" s="24">
        <f t="shared" si="39"/>
        <v>0.03</v>
      </c>
      <c r="H275" s="720"/>
      <c r="I275" s="24">
        <f t="shared" si="40"/>
        <v>1</v>
      </c>
      <c r="J275" s="720"/>
      <c r="K275" s="24">
        <f t="shared" si="41"/>
        <v>1</v>
      </c>
      <c r="L275" s="720"/>
      <c r="M275" s="24">
        <f t="shared" si="42"/>
        <v>1</v>
      </c>
      <c r="N275" s="720"/>
      <c r="O275" s="24">
        <f t="shared" si="43"/>
        <v>1</v>
      </c>
      <c r="P275" s="720"/>
      <c r="Q275" s="24">
        <f t="shared" si="44"/>
        <v>1</v>
      </c>
      <c r="R275" s="716">
        <f t="shared" si="45"/>
        <v>0</v>
      </c>
      <c r="S275" s="361">
        <f t="shared" si="36"/>
        <v>0</v>
      </c>
    </row>
    <row r="276" spans="1:19">
      <c r="A276" s="159"/>
      <c r="B276" s="59"/>
      <c r="C276" s="24">
        <f t="shared" si="37"/>
        <v>1</v>
      </c>
      <c r="D276" s="720"/>
      <c r="E276" s="24">
        <f t="shared" si="38"/>
        <v>1</v>
      </c>
      <c r="F276" s="720"/>
      <c r="G276" s="24">
        <f t="shared" si="39"/>
        <v>0.03</v>
      </c>
      <c r="H276" s="720"/>
      <c r="I276" s="24">
        <f t="shared" si="40"/>
        <v>1</v>
      </c>
      <c r="J276" s="720"/>
      <c r="K276" s="24">
        <f t="shared" si="41"/>
        <v>1</v>
      </c>
      <c r="L276" s="720"/>
      <c r="M276" s="24">
        <f t="shared" si="42"/>
        <v>1</v>
      </c>
      <c r="N276" s="720"/>
      <c r="O276" s="24">
        <f t="shared" si="43"/>
        <v>1</v>
      </c>
      <c r="P276" s="720"/>
      <c r="Q276" s="24">
        <f t="shared" si="44"/>
        <v>1</v>
      </c>
      <c r="R276" s="716">
        <f t="shared" si="45"/>
        <v>0</v>
      </c>
      <c r="S276" s="361">
        <f t="shared" si="36"/>
        <v>0</v>
      </c>
    </row>
    <row r="277" spans="1:19">
      <c r="A277" s="159"/>
      <c r="B277" s="59"/>
      <c r="C277" s="24">
        <f t="shared" si="37"/>
        <v>1</v>
      </c>
      <c r="D277" s="720"/>
      <c r="E277" s="24">
        <f t="shared" si="38"/>
        <v>1</v>
      </c>
      <c r="F277" s="720"/>
      <c r="G277" s="24">
        <f t="shared" si="39"/>
        <v>0.03</v>
      </c>
      <c r="H277" s="720"/>
      <c r="I277" s="24">
        <f t="shared" si="40"/>
        <v>1</v>
      </c>
      <c r="J277" s="720"/>
      <c r="K277" s="24">
        <f t="shared" si="41"/>
        <v>1</v>
      </c>
      <c r="L277" s="720"/>
      <c r="M277" s="24">
        <f t="shared" si="42"/>
        <v>1</v>
      </c>
      <c r="N277" s="720"/>
      <c r="O277" s="24">
        <f t="shared" si="43"/>
        <v>1</v>
      </c>
      <c r="P277" s="720"/>
      <c r="Q277" s="24">
        <f t="shared" si="44"/>
        <v>1</v>
      </c>
      <c r="R277" s="716">
        <f t="shared" si="45"/>
        <v>0</v>
      </c>
      <c r="S277" s="361">
        <f t="shared" si="36"/>
        <v>0</v>
      </c>
    </row>
    <row r="278" spans="1:19">
      <c r="A278" s="159"/>
      <c r="B278" s="59"/>
      <c r="C278" s="24">
        <f t="shared" si="37"/>
        <v>1</v>
      </c>
      <c r="D278" s="720"/>
      <c r="E278" s="24">
        <f t="shared" si="38"/>
        <v>1</v>
      </c>
      <c r="F278" s="720"/>
      <c r="G278" s="24">
        <f t="shared" si="39"/>
        <v>0.03</v>
      </c>
      <c r="H278" s="720"/>
      <c r="I278" s="24">
        <f t="shared" si="40"/>
        <v>1</v>
      </c>
      <c r="J278" s="720"/>
      <c r="K278" s="24">
        <f t="shared" si="41"/>
        <v>1</v>
      </c>
      <c r="L278" s="720"/>
      <c r="M278" s="24">
        <f t="shared" si="42"/>
        <v>1</v>
      </c>
      <c r="N278" s="720"/>
      <c r="O278" s="24">
        <f t="shared" si="43"/>
        <v>1</v>
      </c>
      <c r="P278" s="720"/>
      <c r="Q278" s="24">
        <f t="shared" si="44"/>
        <v>1</v>
      </c>
      <c r="R278" s="716">
        <f t="shared" si="45"/>
        <v>0</v>
      </c>
      <c r="S278" s="361">
        <f t="shared" si="36"/>
        <v>0</v>
      </c>
    </row>
    <row r="279" spans="1:19">
      <c r="A279" s="159"/>
      <c r="B279" s="59"/>
      <c r="C279" s="24">
        <f t="shared" si="37"/>
        <v>1</v>
      </c>
      <c r="D279" s="720"/>
      <c r="E279" s="24">
        <f t="shared" si="38"/>
        <v>1</v>
      </c>
      <c r="F279" s="720"/>
      <c r="G279" s="24">
        <f t="shared" si="39"/>
        <v>0.03</v>
      </c>
      <c r="H279" s="720"/>
      <c r="I279" s="24">
        <f t="shared" si="40"/>
        <v>1</v>
      </c>
      <c r="J279" s="720"/>
      <c r="K279" s="24">
        <f t="shared" si="41"/>
        <v>1</v>
      </c>
      <c r="L279" s="720"/>
      <c r="M279" s="24">
        <f t="shared" si="42"/>
        <v>1</v>
      </c>
      <c r="N279" s="720"/>
      <c r="O279" s="24">
        <f t="shared" si="43"/>
        <v>1</v>
      </c>
      <c r="P279" s="720"/>
      <c r="Q279" s="24">
        <f t="shared" si="44"/>
        <v>1</v>
      </c>
      <c r="R279" s="716">
        <f t="shared" si="45"/>
        <v>0</v>
      </c>
      <c r="S279" s="361">
        <f t="shared" si="36"/>
        <v>0</v>
      </c>
    </row>
    <row r="280" spans="1:19">
      <c r="A280" s="159"/>
      <c r="B280" s="59"/>
      <c r="C280" s="24">
        <f t="shared" si="37"/>
        <v>1</v>
      </c>
      <c r="D280" s="720"/>
      <c r="E280" s="24">
        <f t="shared" si="38"/>
        <v>1</v>
      </c>
      <c r="F280" s="720"/>
      <c r="G280" s="24">
        <f t="shared" si="39"/>
        <v>0.03</v>
      </c>
      <c r="H280" s="720"/>
      <c r="I280" s="24">
        <f t="shared" si="40"/>
        <v>1</v>
      </c>
      <c r="J280" s="720"/>
      <c r="K280" s="24">
        <f t="shared" si="41"/>
        <v>1</v>
      </c>
      <c r="L280" s="720"/>
      <c r="M280" s="24">
        <f t="shared" si="42"/>
        <v>1</v>
      </c>
      <c r="N280" s="720"/>
      <c r="O280" s="24">
        <f t="shared" si="43"/>
        <v>1</v>
      </c>
      <c r="P280" s="720"/>
      <c r="Q280" s="24">
        <f t="shared" si="44"/>
        <v>1</v>
      </c>
      <c r="R280" s="716">
        <f t="shared" si="45"/>
        <v>0</v>
      </c>
      <c r="S280" s="361">
        <f t="shared" ref="S280:S343" si="46">ROUND(R280*B280/10000,0)</f>
        <v>0</v>
      </c>
    </row>
    <row r="281" spans="1:19">
      <c r="A281" s="159"/>
      <c r="B281" s="59"/>
      <c r="C281" s="24">
        <f t="shared" si="37"/>
        <v>1</v>
      </c>
      <c r="D281" s="720"/>
      <c r="E281" s="24">
        <f t="shared" si="38"/>
        <v>1</v>
      </c>
      <c r="F281" s="720"/>
      <c r="G281" s="24">
        <f t="shared" si="39"/>
        <v>0.03</v>
      </c>
      <c r="H281" s="720"/>
      <c r="I281" s="24">
        <f t="shared" si="40"/>
        <v>1</v>
      </c>
      <c r="J281" s="720"/>
      <c r="K281" s="24">
        <f t="shared" si="41"/>
        <v>1</v>
      </c>
      <c r="L281" s="720"/>
      <c r="M281" s="24">
        <f t="shared" si="42"/>
        <v>1</v>
      </c>
      <c r="N281" s="720"/>
      <c r="O281" s="24">
        <f t="shared" si="43"/>
        <v>1</v>
      </c>
      <c r="P281" s="720"/>
      <c r="Q281" s="24">
        <f t="shared" si="44"/>
        <v>1</v>
      </c>
      <c r="R281" s="716">
        <f t="shared" si="45"/>
        <v>0</v>
      </c>
      <c r="S281" s="361">
        <f t="shared" si="46"/>
        <v>0</v>
      </c>
    </row>
    <row r="282" spans="1:19">
      <c r="A282" s="159"/>
      <c r="B282" s="59"/>
      <c r="C282" s="24">
        <f t="shared" ref="C282:C345" si="47">IF(B282="",1,(LOOKUP(B282,$3:$3,$4:$4)-LOOKUP($B$24,$3:$3,$4:$4)+100)/100)</f>
        <v>1</v>
      </c>
      <c r="D282" s="720"/>
      <c r="E282" s="24">
        <f t="shared" ref="E282:E345" si="48">(SUMIF($5:$5,D282,$6:$6)-SUMIF($5:$5,$D$24,$6:$6)+100)/100</f>
        <v>1</v>
      </c>
      <c r="F282" s="720"/>
      <c r="G282" s="24">
        <f t="shared" ref="G282:G345" si="49">(SUMIF($7:$7,F282,$8:$8)-SUMIF($7:$7,$F$24,$8:$8)+100)/100</f>
        <v>0.03</v>
      </c>
      <c r="H282" s="720"/>
      <c r="I282" s="24">
        <f t="shared" ref="I282:I345" si="50">(SUMIF($9:$9,H282,$10:$10)-SUMIF($9:$9,$H$24,$10:$10)+100)/100</f>
        <v>1</v>
      </c>
      <c r="J282" s="720"/>
      <c r="K282" s="24">
        <f t="shared" ref="K282:K345" si="51">(SUMIF($11:$11,J282,$12:$12)-SUMIF($11:$11,$J$24,$12:$12)+100)/100</f>
        <v>1</v>
      </c>
      <c r="L282" s="720"/>
      <c r="M282" s="24">
        <f t="shared" ref="M282:M345" si="52">(SUMIF($13:$13,L282,$14:$14)-SUMIF($13:$13,$L$24,$14:$14)+100)/100</f>
        <v>1</v>
      </c>
      <c r="N282" s="720"/>
      <c r="O282" s="24">
        <f t="shared" ref="O282:O345" si="53">(SUMIF($15:$15,N282,$16:$16)-SUMIF($15:$15,$N$24,$16:$16)+100)/100</f>
        <v>1</v>
      </c>
      <c r="P282" s="720"/>
      <c r="Q282" s="24">
        <f t="shared" ref="Q282:Q345" si="54">(SUMIF($17:$17,P282,$18:$18)-SUMIF($17:$17,$P$24,$18:$18)+100)/100</f>
        <v>1</v>
      </c>
      <c r="R282" s="716">
        <f t="shared" ref="R282:R345" si="55">IF(B282="",0,ROUND($R$24*C282*E282*G282*I282*K282*M282*O282*Q282,0))</f>
        <v>0</v>
      </c>
      <c r="S282" s="361">
        <f t="shared" si="46"/>
        <v>0</v>
      </c>
    </row>
    <row r="283" spans="1:19">
      <c r="A283" s="159"/>
      <c r="B283" s="59"/>
      <c r="C283" s="24">
        <f t="shared" si="47"/>
        <v>1</v>
      </c>
      <c r="D283" s="720"/>
      <c r="E283" s="24">
        <f t="shared" si="48"/>
        <v>1</v>
      </c>
      <c r="F283" s="720"/>
      <c r="G283" s="24">
        <f t="shared" si="49"/>
        <v>0.03</v>
      </c>
      <c r="H283" s="720"/>
      <c r="I283" s="24">
        <f t="shared" si="50"/>
        <v>1</v>
      </c>
      <c r="J283" s="720"/>
      <c r="K283" s="24">
        <f t="shared" si="51"/>
        <v>1</v>
      </c>
      <c r="L283" s="720"/>
      <c r="M283" s="24">
        <f t="shared" si="52"/>
        <v>1</v>
      </c>
      <c r="N283" s="720"/>
      <c r="O283" s="24">
        <f t="shared" si="53"/>
        <v>1</v>
      </c>
      <c r="P283" s="720"/>
      <c r="Q283" s="24">
        <f t="shared" si="54"/>
        <v>1</v>
      </c>
      <c r="R283" s="716">
        <f t="shared" si="55"/>
        <v>0</v>
      </c>
      <c r="S283" s="361">
        <f t="shared" si="46"/>
        <v>0</v>
      </c>
    </row>
    <row r="284" spans="1:19">
      <c r="A284" s="159"/>
      <c r="B284" s="59"/>
      <c r="C284" s="24">
        <f t="shared" si="47"/>
        <v>1</v>
      </c>
      <c r="D284" s="720"/>
      <c r="E284" s="24">
        <f t="shared" si="48"/>
        <v>1</v>
      </c>
      <c r="F284" s="720"/>
      <c r="G284" s="24">
        <f t="shared" si="49"/>
        <v>0.03</v>
      </c>
      <c r="H284" s="720"/>
      <c r="I284" s="24">
        <f t="shared" si="50"/>
        <v>1</v>
      </c>
      <c r="J284" s="720"/>
      <c r="K284" s="24">
        <f t="shared" si="51"/>
        <v>1</v>
      </c>
      <c r="L284" s="720"/>
      <c r="M284" s="24">
        <f t="shared" si="52"/>
        <v>1</v>
      </c>
      <c r="N284" s="720"/>
      <c r="O284" s="24">
        <f t="shared" si="53"/>
        <v>1</v>
      </c>
      <c r="P284" s="720"/>
      <c r="Q284" s="24">
        <f t="shared" si="54"/>
        <v>1</v>
      </c>
      <c r="R284" s="716">
        <f t="shared" si="55"/>
        <v>0</v>
      </c>
      <c r="S284" s="361">
        <f t="shared" si="46"/>
        <v>0</v>
      </c>
    </row>
    <row r="285" spans="1:19">
      <c r="A285" s="159"/>
      <c r="B285" s="59"/>
      <c r="C285" s="24">
        <f t="shared" si="47"/>
        <v>1</v>
      </c>
      <c r="D285" s="720"/>
      <c r="E285" s="24">
        <f t="shared" si="48"/>
        <v>1</v>
      </c>
      <c r="F285" s="720"/>
      <c r="G285" s="24">
        <f t="shared" si="49"/>
        <v>0.03</v>
      </c>
      <c r="H285" s="720"/>
      <c r="I285" s="24">
        <f t="shared" si="50"/>
        <v>1</v>
      </c>
      <c r="J285" s="720"/>
      <c r="K285" s="24">
        <f t="shared" si="51"/>
        <v>1</v>
      </c>
      <c r="L285" s="720"/>
      <c r="M285" s="24">
        <f t="shared" si="52"/>
        <v>1</v>
      </c>
      <c r="N285" s="720"/>
      <c r="O285" s="24">
        <f t="shared" si="53"/>
        <v>1</v>
      </c>
      <c r="P285" s="720"/>
      <c r="Q285" s="24">
        <f t="shared" si="54"/>
        <v>1</v>
      </c>
      <c r="R285" s="716">
        <f t="shared" si="55"/>
        <v>0</v>
      </c>
      <c r="S285" s="361">
        <f t="shared" si="46"/>
        <v>0</v>
      </c>
    </row>
    <row r="286" spans="1:19">
      <c r="A286" s="159"/>
      <c r="B286" s="59"/>
      <c r="C286" s="24">
        <f t="shared" si="47"/>
        <v>1</v>
      </c>
      <c r="D286" s="720"/>
      <c r="E286" s="24">
        <f t="shared" si="48"/>
        <v>1</v>
      </c>
      <c r="F286" s="720"/>
      <c r="G286" s="24">
        <f t="shared" si="49"/>
        <v>0.03</v>
      </c>
      <c r="H286" s="720"/>
      <c r="I286" s="24">
        <f t="shared" si="50"/>
        <v>1</v>
      </c>
      <c r="J286" s="720"/>
      <c r="K286" s="24">
        <f t="shared" si="51"/>
        <v>1</v>
      </c>
      <c r="L286" s="720"/>
      <c r="M286" s="24">
        <f t="shared" si="52"/>
        <v>1</v>
      </c>
      <c r="N286" s="720"/>
      <c r="O286" s="24">
        <f t="shared" si="53"/>
        <v>1</v>
      </c>
      <c r="P286" s="720"/>
      <c r="Q286" s="24">
        <f t="shared" si="54"/>
        <v>1</v>
      </c>
      <c r="R286" s="716">
        <f t="shared" si="55"/>
        <v>0</v>
      </c>
      <c r="S286" s="361">
        <f t="shared" si="46"/>
        <v>0</v>
      </c>
    </row>
    <row r="287" spans="1:19">
      <c r="A287" s="159"/>
      <c r="B287" s="59"/>
      <c r="C287" s="24">
        <f t="shared" si="47"/>
        <v>1</v>
      </c>
      <c r="D287" s="720"/>
      <c r="E287" s="24">
        <f t="shared" si="48"/>
        <v>1</v>
      </c>
      <c r="F287" s="720"/>
      <c r="G287" s="24">
        <f t="shared" si="49"/>
        <v>0.03</v>
      </c>
      <c r="H287" s="720"/>
      <c r="I287" s="24">
        <f t="shared" si="50"/>
        <v>1</v>
      </c>
      <c r="J287" s="720"/>
      <c r="K287" s="24">
        <f t="shared" si="51"/>
        <v>1</v>
      </c>
      <c r="L287" s="720"/>
      <c r="M287" s="24">
        <f t="shared" si="52"/>
        <v>1</v>
      </c>
      <c r="N287" s="720"/>
      <c r="O287" s="24">
        <f t="shared" si="53"/>
        <v>1</v>
      </c>
      <c r="P287" s="720"/>
      <c r="Q287" s="24">
        <f t="shared" si="54"/>
        <v>1</v>
      </c>
      <c r="R287" s="716">
        <f t="shared" si="55"/>
        <v>0</v>
      </c>
      <c r="S287" s="361">
        <f t="shared" si="46"/>
        <v>0</v>
      </c>
    </row>
    <row r="288" spans="1:19">
      <c r="A288" s="159"/>
      <c r="B288" s="59"/>
      <c r="C288" s="24">
        <f t="shared" si="47"/>
        <v>1</v>
      </c>
      <c r="D288" s="720"/>
      <c r="E288" s="24">
        <f t="shared" si="48"/>
        <v>1</v>
      </c>
      <c r="F288" s="720"/>
      <c r="G288" s="24">
        <f t="shared" si="49"/>
        <v>0.03</v>
      </c>
      <c r="H288" s="720"/>
      <c r="I288" s="24">
        <f t="shared" si="50"/>
        <v>1</v>
      </c>
      <c r="J288" s="720"/>
      <c r="K288" s="24">
        <f t="shared" si="51"/>
        <v>1</v>
      </c>
      <c r="L288" s="720"/>
      <c r="M288" s="24">
        <f t="shared" si="52"/>
        <v>1</v>
      </c>
      <c r="N288" s="720"/>
      <c r="O288" s="24">
        <f t="shared" si="53"/>
        <v>1</v>
      </c>
      <c r="P288" s="720"/>
      <c r="Q288" s="24">
        <f t="shared" si="54"/>
        <v>1</v>
      </c>
      <c r="R288" s="716">
        <f t="shared" si="55"/>
        <v>0</v>
      </c>
      <c r="S288" s="361">
        <f t="shared" si="46"/>
        <v>0</v>
      </c>
    </row>
    <row r="289" spans="1:19">
      <c r="A289" s="159"/>
      <c r="B289" s="59"/>
      <c r="C289" s="24">
        <f t="shared" si="47"/>
        <v>1</v>
      </c>
      <c r="D289" s="720"/>
      <c r="E289" s="24">
        <f t="shared" si="48"/>
        <v>1</v>
      </c>
      <c r="F289" s="720"/>
      <c r="G289" s="24">
        <f t="shared" si="49"/>
        <v>0.03</v>
      </c>
      <c r="H289" s="720"/>
      <c r="I289" s="24">
        <f t="shared" si="50"/>
        <v>1</v>
      </c>
      <c r="J289" s="720"/>
      <c r="K289" s="24">
        <f t="shared" si="51"/>
        <v>1</v>
      </c>
      <c r="L289" s="720"/>
      <c r="M289" s="24">
        <f t="shared" si="52"/>
        <v>1</v>
      </c>
      <c r="N289" s="720"/>
      <c r="O289" s="24">
        <f t="shared" si="53"/>
        <v>1</v>
      </c>
      <c r="P289" s="720"/>
      <c r="Q289" s="24">
        <f t="shared" si="54"/>
        <v>1</v>
      </c>
      <c r="R289" s="716">
        <f t="shared" si="55"/>
        <v>0</v>
      </c>
      <c r="S289" s="361">
        <f t="shared" si="46"/>
        <v>0</v>
      </c>
    </row>
    <row r="290" spans="1:19">
      <c r="A290" s="159"/>
      <c r="B290" s="59"/>
      <c r="C290" s="24">
        <f t="shared" si="47"/>
        <v>1</v>
      </c>
      <c r="D290" s="720"/>
      <c r="E290" s="24">
        <f t="shared" si="48"/>
        <v>1</v>
      </c>
      <c r="F290" s="720"/>
      <c r="G290" s="24">
        <f t="shared" si="49"/>
        <v>0.03</v>
      </c>
      <c r="H290" s="720"/>
      <c r="I290" s="24">
        <f t="shared" si="50"/>
        <v>1</v>
      </c>
      <c r="J290" s="720"/>
      <c r="K290" s="24">
        <f t="shared" si="51"/>
        <v>1</v>
      </c>
      <c r="L290" s="720"/>
      <c r="M290" s="24">
        <f t="shared" si="52"/>
        <v>1</v>
      </c>
      <c r="N290" s="720"/>
      <c r="O290" s="24">
        <f t="shared" si="53"/>
        <v>1</v>
      </c>
      <c r="P290" s="720"/>
      <c r="Q290" s="24">
        <f t="shared" si="54"/>
        <v>1</v>
      </c>
      <c r="R290" s="716">
        <f t="shared" si="55"/>
        <v>0</v>
      </c>
      <c r="S290" s="361">
        <f t="shared" si="46"/>
        <v>0</v>
      </c>
    </row>
    <row r="291" spans="1:19">
      <c r="A291" s="159"/>
      <c r="B291" s="59"/>
      <c r="C291" s="24">
        <f t="shared" si="47"/>
        <v>1</v>
      </c>
      <c r="D291" s="720"/>
      <c r="E291" s="24">
        <f t="shared" si="48"/>
        <v>1</v>
      </c>
      <c r="F291" s="720"/>
      <c r="G291" s="24">
        <f t="shared" si="49"/>
        <v>0.03</v>
      </c>
      <c r="H291" s="720"/>
      <c r="I291" s="24">
        <f t="shared" si="50"/>
        <v>1</v>
      </c>
      <c r="J291" s="720"/>
      <c r="K291" s="24">
        <f t="shared" si="51"/>
        <v>1</v>
      </c>
      <c r="L291" s="720"/>
      <c r="M291" s="24">
        <f t="shared" si="52"/>
        <v>1</v>
      </c>
      <c r="N291" s="720"/>
      <c r="O291" s="24">
        <f t="shared" si="53"/>
        <v>1</v>
      </c>
      <c r="P291" s="720"/>
      <c r="Q291" s="24">
        <f t="shared" si="54"/>
        <v>1</v>
      </c>
      <c r="R291" s="716">
        <f t="shared" si="55"/>
        <v>0</v>
      </c>
      <c r="S291" s="361">
        <f t="shared" si="46"/>
        <v>0</v>
      </c>
    </row>
    <row r="292" spans="1:19">
      <c r="A292" s="159"/>
      <c r="B292" s="59"/>
      <c r="C292" s="24">
        <f t="shared" si="47"/>
        <v>1</v>
      </c>
      <c r="D292" s="720"/>
      <c r="E292" s="24">
        <f t="shared" si="48"/>
        <v>1</v>
      </c>
      <c r="F292" s="720"/>
      <c r="G292" s="24">
        <f t="shared" si="49"/>
        <v>0.03</v>
      </c>
      <c r="H292" s="720"/>
      <c r="I292" s="24">
        <f t="shared" si="50"/>
        <v>1</v>
      </c>
      <c r="J292" s="720"/>
      <c r="K292" s="24">
        <f t="shared" si="51"/>
        <v>1</v>
      </c>
      <c r="L292" s="720"/>
      <c r="M292" s="24">
        <f t="shared" si="52"/>
        <v>1</v>
      </c>
      <c r="N292" s="720"/>
      <c r="O292" s="24">
        <f t="shared" si="53"/>
        <v>1</v>
      </c>
      <c r="P292" s="720"/>
      <c r="Q292" s="24">
        <f t="shared" si="54"/>
        <v>1</v>
      </c>
      <c r="R292" s="716">
        <f t="shared" si="55"/>
        <v>0</v>
      </c>
      <c r="S292" s="361">
        <f t="shared" si="46"/>
        <v>0</v>
      </c>
    </row>
    <row r="293" spans="1:19">
      <c r="A293" s="159"/>
      <c r="B293" s="59"/>
      <c r="C293" s="24">
        <f t="shared" si="47"/>
        <v>1</v>
      </c>
      <c r="D293" s="720"/>
      <c r="E293" s="24">
        <f t="shared" si="48"/>
        <v>1</v>
      </c>
      <c r="F293" s="720"/>
      <c r="G293" s="24">
        <f t="shared" si="49"/>
        <v>0.03</v>
      </c>
      <c r="H293" s="720"/>
      <c r="I293" s="24">
        <f t="shared" si="50"/>
        <v>1</v>
      </c>
      <c r="J293" s="720"/>
      <c r="K293" s="24">
        <f t="shared" si="51"/>
        <v>1</v>
      </c>
      <c r="L293" s="720"/>
      <c r="M293" s="24">
        <f t="shared" si="52"/>
        <v>1</v>
      </c>
      <c r="N293" s="720"/>
      <c r="O293" s="24">
        <f t="shared" si="53"/>
        <v>1</v>
      </c>
      <c r="P293" s="720"/>
      <c r="Q293" s="24">
        <f t="shared" si="54"/>
        <v>1</v>
      </c>
      <c r="R293" s="716">
        <f t="shared" si="55"/>
        <v>0</v>
      </c>
      <c r="S293" s="361">
        <f t="shared" si="46"/>
        <v>0</v>
      </c>
    </row>
    <row r="294" spans="1:19">
      <c r="A294" s="159"/>
      <c r="B294" s="59"/>
      <c r="C294" s="24">
        <f t="shared" si="47"/>
        <v>1</v>
      </c>
      <c r="D294" s="720"/>
      <c r="E294" s="24">
        <f t="shared" si="48"/>
        <v>1</v>
      </c>
      <c r="F294" s="720"/>
      <c r="G294" s="24">
        <f t="shared" si="49"/>
        <v>0.03</v>
      </c>
      <c r="H294" s="720"/>
      <c r="I294" s="24">
        <f t="shared" si="50"/>
        <v>1</v>
      </c>
      <c r="J294" s="720"/>
      <c r="K294" s="24">
        <f t="shared" si="51"/>
        <v>1</v>
      </c>
      <c r="L294" s="720"/>
      <c r="M294" s="24">
        <f t="shared" si="52"/>
        <v>1</v>
      </c>
      <c r="N294" s="720"/>
      <c r="O294" s="24">
        <f t="shared" si="53"/>
        <v>1</v>
      </c>
      <c r="P294" s="720"/>
      <c r="Q294" s="24">
        <f t="shared" si="54"/>
        <v>1</v>
      </c>
      <c r="R294" s="716">
        <f t="shared" si="55"/>
        <v>0</v>
      </c>
      <c r="S294" s="361">
        <f t="shared" si="46"/>
        <v>0</v>
      </c>
    </row>
    <row r="295" spans="1:19">
      <c r="A295" s="159"/>
      <c r="B295" s="59"/>
      <c r="C295" s="24">
        <f t="shared" si="47"/>
        <v>1</v>
      </c>
      <c r="D295" s="720"/>
      <c r="E295" s="24">
        <f t="shared" si="48"/>
        <v>1</v>
      </c>
      <c r="F295" s="720"/>
      <c r="G295" s="24">
        <f t="shared" si="49"/>
        <v>0.03</v>
      </c>
      <c r="H295" s="720"/>
      <c r="I295" s="24">
        <f t="shared" si="50"/>
        <v>1</v>
      </c>
      <c r="J295" s="720"/>
      <c r="K295" s="24">
        <f t="shared" si="51"/>
        <v>1</v>
      </c>
      <c r="L295" s="720"/>
      <c r="M295" s="24">
        <f t="shared" si="52"/>
        <v>1</v>
      </c>
      <c r="N295" s="720"/>
      <c r="O295" s="24">
        <f t="shared" si="53"/>
        <v>1</v>
      </c>
      <c r="P295" s="720"/>
      <c r="Q295" s="24">
        <f t="shared" si="54"/>
        <v>1</v>
      </c>
      <c r="R295" s="716">
        <f t="shared" si="55"/>
        <v>0</v>
      </c>
      <c r="S295" s="361">
        <f t="shared" si="46"/>
        <v>0</v>
      </c>
    </row>
    <row r="296" spans="1:19">
      <c r="A296" s="159"/>
      <c r="B296" s="59"/>
      <c r="C296" s="24">
        <f t="shared" si="47"/>
        <v>1</v>
      </c>
      <c r="D296" s="720"/>
      <c r="E296" s="24">
        <f t="shared" si="48"/>
        <v>1</v>
      </c>
      <c r="F296" s="720"/>
      <c r="G296" s="24">
        <f t="shared" si="49"/>
        <v>0.03</v>
      </c>
      <c r="H296" s="720"/>
      <c r="I296" s="24">
        <f t="shared" si="50"/>
        <v>1</v>
      </c>
      <c r="J296" s="720"/>
      <c r="K296" s="24">
        <f t="shared" si="51"/>
        <v>1</v>
      </c>
      <c r="L296" s="720"/>
      <c r="M296" s="24">
        <f t="shared" si="52"/>
        <v>1</v>
      </c>
      <c r="N296" s="720"/>
      <c r="O296" s="24">
        <f t="shared" si="53"/>
        <v>1</v>
      </c>
      <c r="P296" s="720"/>
      <c r="Q296" s="24">
        <f t="shared" si="54"/>
        <v>1</v>
      </c>
      <c r="R296" s="716">
        <f t="shared" si="55"/>
        <v>0</v>
      </c>
      <c r="S296" s="361">
        <f t="shared" si="46"/>
        <v>0</v>
      </c>
    </row>
    <row r="297" spans="1:19">
      <c r="A297" s="159"/>
      <c r="B297" s="59"/>
      <c r="C297" s="24">
        <f t="shared" si="47"/>
        <v>1</v>
      </c>
      <c r="D297" s="720"/>
      <c r="E297" s="24">
        <f t="shared" si="48"/>
        <v>1</v>
      </c>
      <c r="F297" s="720"/>
      <c r="G297" s="24">
        <f t="shared" si="49"/>
        <v>0.03</v>
      </c>
      <c r="H297" s="720"/>
      <c r="I297" s="24">
        <f t="shared" si="50"/>
        <v>1</v>
      </c>
      <c r="J297" s="720"/>
      <c r="K297" s="24">
        <f t="shared" si="51"/>
        <v>1</v>
      </c>
      <c r="L297" s="720"/>
      <c r="M297" s="24">
        <f t="shared" si="52"/>
        <v>1</v>
      </c>
      <c r="N297" s="720"/>
      <c r="O297" s="24">
        <f t="shared" si="53"/>
        <v>1</v>
      </c>
      <c r="P297" s="720"/>
      <c r="Q297" s="24">
        <f t="shared" si="54"/>
        <v>1</v>
      </c>
      <c r="R297" s="716">
        <f t="shared" si="55"/>
        <v>0</v>
      </c>
      <c r="S297" s="361">
        <f t="shared" si="46"/>
        <v>0</v>
      </c>
    </row>
    <row r="298" spans="1:19">
      <c r="A298" s="159"/>
      <c r="B298" s="59"/>
      <c r="C298" s="24">
        <f t="shared" si="47"/>
        <v>1</v>
      </c>
      <c r="D298" s="720"/>
      <c r="E298" s="24">
        <f t="shared" si="48"/>
        <v>1</v>
      </c>
      <c r="F298" s="720"/>
      <c r="G298" s="24">
        <f t="shared" si="49"/>
        <v>0.03</v>
      </c>
      <c r="H298" s="720"/>
      <c r="I298" s="24">
        <f t="shared" si="50"/>
        <v>1</v>
      </c>
      <c r="J298" s="720"/>
      <c r="K298" s="24">
        <f t="shared" si="51"/>
        <v>1</v>
      </c>
      <c r="L298" s="720"/>
      <c r="M298" s="24">
        <f t="shared" si="52"/>
        <v>1</v>
      </c>
      <c r="N298" s="720"/>
      <c r="O298" s="24">
        <f t="shared" si="53"/>
        <v>1</v>
      </c>
      <c r="P298" s="720"/>
      <c r="Q298" s="24">
        <f t="shared" si="54"/>
        <v>1</v>
      </c>
      <c r="R298" s="716">
        <f t="shared" si="55"/>
        <v>0</v>
      </c>
      <c r="S298" s="361">
        <f t="shared" si="46"/>
        <v>0</v>
      </c>
    </row>
    <row r="299" spans="1:19">
      <c r="A299" s="159"/>
      <c r="B299" s="59"/>
      <c r="C299" s="24">
        <f t="shared" si="47"/>
        <v>1</v>
      </c>
      <c r="D299" s="720"/>
      <c r="E299" s="24">
        <f t="shared" si="48"/>
        <v>1</v>
      </c>
      <c r="F299" s="720"/>
      <c r="G299" s="24">
        <f t="shared" si="49"/>
        <v>0.03</v>
      </c>
      <c r="H299" s="720"/>
      <c r="I299" s="24">
        <f t="shared" si="50"/>
        <v>1</v>
      </c>
      <c r="J299" s="720"/>
      <c r="K299" s="24">
        <f t="shared" si="51"/>
        <v>1</v>
      </c>
      <c r="L299" s="720"/>
      <c r="M299" s="24">
        <f t="shared" si="52"/>
        <v>1</v>
      </c>
      <c r="N299" s="720"/>
      <c r="O299" s="24">
        <f t="shared" si="53"/>
        <v>1</v>
      </c>
      <c r="P299" s="720"/>
      <c r="Q299" s="24">
        <f t="shared" si="54"/>
        <v>1</v>
      </c>
      <c r="R299" s="716">
        <f t="shared" si="55"/>
        <v>0</v>
      </c>
      <c r="S299" s="361">
        <f t="shared" si="46"/>
        <v>0</v>
      </c>
    </row>
    <row r="300" spans="1:19">
      <c r="A300" s="159"/>
      <c r="B300" s="59"/>
      <c r="C300" s="24">
        <f t="shared" si="47"/>
        <v>1</v>
      </c>
      <c r="D300" s="720"/>
      <c r="E300" s="24">
        <f t="shared" si="48"/>
        <v>1</v>
      </c>
      <c r="F300" s="720"/>
      <c r="G300" s="24">
        <f t="shared" si="49"/>
        <v>0.03</v>
      </c>
      <c r="H300" s="720"/>
      <c r="I300" s="24">
        <f t="shared" si="50"/>
        <v>1</v>
      </c>
      <c r="J300" s="720"/>
      <c r="K300" s="24">
        <f t="shared" si="51"/>
        <v>1</v>
      </c>
      <c r="L300" s="720"/>
      <c r="M300" s="24">
        <f t="shared" si="52"/>
        <v>1</v>
      </c>
      <c r="N300" s="720"/>
      <c r="O300" s="24">
        <f t="shared" si="53"/>
        <v>1</v>
      </c>
      <c r="P300" s="720"/>
      <c r="Q300" s="24">
        <f t="shared" si="54"/>
        <v>1</v>
      </c>
      <c r="R300" s="716">
        <f t="shared" si="55"/>
        <v>0</v>
      </c>
      <c r="S300" s="361">
        <f t="shared" si="46"/>
        <v>0</v>
      </c>
    </row>
    <row r="301" spans="1:19">
      <c r="A301" s="159"/>
      <c r="B301" s="59"/>
      <c r="C301" s="24">
        <f t="shared" si="47"/>
        <v>1</v>
      </c>
      <c r="D301" s="720"/>
      <c r="E301" s="24">
        <f t="shared" si="48"/>
        <v>1</v>
      </c>
      <c r="F301" s="720"/>
      <c r="G301" s="24">
        <f t="shared" si="49"/>
        <v>0.03</v>
      </c>
      <c r="H301" s="720"/>
      <c r="I301" s="24">
        <f t="shared" si="50"/>
        <v>1</v>
      </c>
      <c r="J301" s="720"/>
      <c r="K301" s="24">
        <f t="shared" si="51"/>
        <v>1</v>
      </c>
      <c r="L301" s="720"/>
      <c r="M301" s="24">
        <f t="shared" si="52"/>
        <v>1</v>
      </c>
      <c r="N301" s="720"/>
      <c r="O301" s="24">
        <f t="shared" si="53"/>
        <v>1</v>
      </c>
      <c r="P301" s="720"/>
      <c r="Q301" s="24">
        <f t="shared" si="54"/>
        <v>1</v>
      </c>
      <c r="R301" s="716">
        <f t="shared" si="55"/>
        <v>0</v>
      </c>
      <c r="S301" s="361">
        <f t="shared" si="46"/>
        <v>0</v>
      </c>
    </row>
    <row r="302" spans="1:19">
      <c r="A302" s="159"/>
      <c r="B302" s="59"/>
      <c r="C302" s="24">
        <f t="shared" si="47"/>
        <v>1</v>
      </c>
      <c r="D302" s="720"/>
      <c r="E302" s="24">
        <f t="shared" si="48"/>
        <v>1</v>
      </c>
      <c r="F302" s="720"/>
      <c r="G302" s="24">
        <f t="shared" si="49"/>
        <v>0.03</v>
      </c>
      <c r="H302" s="720"/>
      <c r="I302" s="24">
        <f t="shared" si="50"/>
        <v>1</v>
      </c>
      <c r="J302" s="720"/>
      <c r="K302" s="24">
        <f t="shared" si="51"/>
        <v>1</v>
      </c>
      <c r="L302" s="720"/>
      <c r="M302" s="24">
        <f t="shared" si="52"/>
        <v>1</v>
      </c>
      <c r="N302" s="720"/>
      <c r="O302" s="24">
        <f t="shared" si="53"/>
        <v>1</v>
      </c>
      <c r="P302" s="720"/>
      <c r="Q302" s="24">
        <f t="shared" si="54"/>
        <v>1</v>
      </c>
      <c r="R302" s="716">
        <f t="shared" si="55"/>
        <v>0</v>
      </c>
      <c r="S302" s="361">
        <f t="shared" si="46"/>
        <v>0</v>
      </c>
    </row>
    <row r="303" spans="1:19">
      <c r="A303" s="159"/>
      <c r="B303" s="59"/>
      <c r="C303" s="24">
        <f t="shared" si="47"/>
        <v>1</v>
      </c>
      <c r="D303" s="720"/>
      <c r="E303" s="24">
        <f t="shared" si="48"/>
        <v>1</v>
      </c>
      <c r="F303" s="720"/>
      <c r="G303" s="24">
        <f t="shared" si="49"/>
        <v>0.03</v>
      </c>
      <c r="H303" s="720"/>
      <c r="I303" s="24">
        <f t="shared" si="50"/>
        <v>1</v>
      </c>
      <c r="J303" s="720"/>
      <c r="K303" s="24">
        <f t="shared" si="51"/>
        <v>1</v>
      </c>
      <c r="L303" s="720"/>
      <c r="M303" s="24">
        <f t="shared" si="52"/>
        <v>1</v>
      </c>
      <c r="N303" s="720"/>
      <c r="O303" s="24">
        <f t="shared" si="53"/>
        <v>1</v>
      </c>
      <c r="P303" s="720"/>
      <c r="Q303" s="24">
        <f t="shared" si="54"/>
        <v>1</v>
      </c>
      <c r="R303" s="716">
        <f t="shared" si="55"/>
        <v>0</v>
      </c>
      <c r="S303" s="361">
        <f t="shared" si="46"/>
        <v>0</v>
      </c>
    </row>
    <row r="304" spans="1:19">
      <c r="A304" s="159"/>
      <c r="B304" s="59"/>
      <c r="C304" s="24">
        <f t="shared" si="47"/>
        <v>1</v>
      </c>
      <c r="D304" s="720"/>
      <c r="E304" s="24">
        <f t="shared" si="48"/>
        <v>1</v>
      </c>
      <c r="F304" s="720"/>
      <c r="G304" s="24">
        <f t="shared" si="49"/>
        <v>0.03</v>
      </c>
      <c r="H304" s="720"/>
      <c r="I304" s="24">
        <f t="shared" si="50"/>
        <v>1</v>
      </c>
      <c r="J304" s="720"/>
      <c r="K304" s="24">
        <f t="shared" si="51"/>
        <v>1</v>
      </c>
      <c r="L304" s="720"/>
      <c r="M304" s="24">
        <f t="shared" si="52"/>
        <v>1</v>
      </c>
      <c r="N304" s="720"/>
      <c r="O304" s="24">
        <f t="shared" si="53"/>
        <v>1</v>
      </c>
      <c r="P304" s="720"/>
      <c r="Q304" s="24">
        <f t="shared" si="54"/>
        <v>1</v>
      </c>
      <c r="R304" s="716">
        <f t="shared" si="55"/>
        <v>0</v>
      </c>
      <c r="S304" s="361">
        <f t="shared" si="46"/>
        <v>0</v>
      </c>
    </row>
    <row r="305" spans="1:19">
      <c r="A305" s="159"/>
      <c r="B305" s="59"/>
      <c r="C305" s="24">
        <f t="shared" si="47"/>
        <v>1</v>
      </c>
      <c r="D305" s="720"/>
      <c r="E305" s="24">
        <f t="shared" si="48"/>
        <v>1</v>
      </c>
      <c r="F305" s="720"/>
      <c r="G305" s="24">
        <f t="shared" si="49"/>
        <v>0.03</v>
      </c>
      <c r="H305" s="720"/>
      <c r="I305" s="24">
        <f t="shared" si="50"/>
        <v>1</v>
      </c>
      <c r="J305" s="720"/>
      <c r="K305" s="24">
        <f t="shared" si="51"/>
        <v>1</v>
      </c>
      <c r="L305" s="720"/>
      <c r="M305" s="24">
        <f t="shared" si="52"/>
        <v>1</v>
      </c>
      <c r="N305" s="720"/>
      <c r="O305" s="24">
        <f t="shared" si="53"/>
        <v>1</v>
      </c>
      <c r="P305" s="720"/>
      <c r="Q305" s="24">
        <f t="shared" si="54"/>
        <v>1</v>
      </c>
      <c r="R305" s="716">
        <f t="shared" si="55"/>
        <v>0</v>
      </c>
      <c r="S305" s="361">
        <f t="shared" si="46"/>
        <v>0</v>
      </c>
    </row>
    <row r="306" spans="1:19">
      <c r="A306" s="159"/>
      <c r="B306" s="59"/>
      <c r="C306" s="24">
        <f t="shared" si="47"/>
        <v>1</v>
      </c>
      <c r="D306" s="720"/>
      <c r="E306" s="24">
        <f t="shared" si="48"/>
        <v>1</v>
      </c>
      <c r="F306" s="720"/>
      <c r="G306" s="24">
        <f t="shared" si="49"/>
        <v>0.03</v>
      </c>
      <c r="H306" s="720"/>
      <c r="I306" s="24">
        <f t="shared" si="50"/>
        <v>1</v>
      </c>
      <c r="J306" s="720"/>
      <c r="K306" s="24">
        <f t="shared" si="51"/>
        <v>1</v>
      </c>
      <c r="L306" s="720"/>
      <c r="M306" s="24">
        <f t="shared" si="52"/>
        <v>1</v>
      </c>
      <c r="N306" s="720"/>
      <c r="O306" s="24">
        <f t="shared" si="53"/>
        <v>1</v>
      </c>
      <c r="P306" s="720"/>
      <c r="Q306" s="24">
        <f t="shared" si="54"/>
        <v>1</v>
      </c>
      <c r="R306" s="716">
        <f t="shared" si="55"/>
        <v>0</v>
      </c>
      <c r="S306" s="361">
        <f t="shared" si="46"/>
        <v>0</v>
      </c>
    </row>
    <row r="307" spans="1:19">
      <c r="A307" s="159"/>
      <c r="B307" s="59"/>
      <c r="C307" s="24">
        <f t="shared" si="47"/>
        <v>1</v>
      </c>
      <c r="D307" s="720"/>
      <c r="E307" s="24">
        <f t="shared" si="48"/>
        <v>1</v>
      </c>
      <c r="F307" s="720"/>
      <c r="G307" s="24">
        <f t="shared" si="49"/>
        <v>0.03</v>
      </c>
      <c r="H307" s="720"/>
      <c r="I307" s="24">
        <f t="shared" si="50"/>
        <v>1</v>
      </c>
      <c r="J307" s="720"/>
      <c r="K307" s="24">
        <f t="shared" si="51"/>
        <v>1</v>
      </c>
      <c r="L307" s="720"/>
      <c r="M307" s="24">
        <f t="shared" si="52"/>
        <v>1</v>
      </c>
      <c r="N307" s="720"/>
      <c r="O307" s="24">
        <f t="shared" si="53"/>
        <v>1</v>
      </c>
      <c r="P307" s="720"/>
      <c r="Q307" s="24">
        <f t="shared" si="54"/>
        <v>1</v>
      </c>
      <c r="R307" s="716">
        <f t="shared" si="55"/>
        <v>0</v>
      </c>
      <c r="S307" s="361">
        <f t="shared" si="46"/>
        <v>0</v>
      </c>
    </row>
    <row r="308" spans="1:19">
      <c r="A308" s="159"/>
      <c r="B308" s="59"/>
      <c r="C308" s="24">
        <f t="shared" si="47"/>
        <v>1</v>
      </c>
      <c r="D308" s="720"/>
      <c r="E308" s="24">
        <f t="shared" si="48"/>
        <v>1</v>
      </c>
      <c r="F308" s="720"/>
      <c r="G308" s="24">
        <f t="shared" si="49"/>
        <v>0.03</v>
      </c>
      <c r="H308" s="720"/>
      <c r="I308" s="24">
        <f t="shared" si="50"/>
        <v>1</v>
      </c>
      <c r="J308" s="720"/>
      <c r="K308" s="24">
        <f t="shared" si="51"/>
        <v>1</v>
      </c>
      <c r="L308" s="720"/>
      <c r="M308" s="24">
        <f t="shared" si="52"/>
        <v>1</v>
      </c>
      <c r="N308" s="720"/>
      <c r="O308" s="24">
        <f t="shared" si="53"/>
        <v>1</v>
      </c>
      <c r="P308" s="720"/>
      <c r="Q308" s="24">
        <f t="shared" si="54"/>
        <v>1</v>
      </c>
      <c r="R308" s="716">
        <f t="shared" si="55"/>
        <v>0</v>
      </c>
      <c r="S308" s="361">
        <f t="shared" si="46"/>
        <v>0</v>
      </c>
    </row>
    <row r="309" spans="1:19">
      <c r="A309" s="159"/>
      <c r="B309" s="59"/>
      <c r="C309" s="24">
        <f t="shared" si="47"/>
        <v>1</v>
      </c>
      <c r="D309" s="720"/>
      <c r="E309" s="24">
        <f t="shared" si="48"/>
        <v>1</v>
      </c>
      <c r="F309" s="720"/>
      <c r="G309" s="24">
        <f t="shared" si="49"/>
        <v>0.03</v>
      </c>
      <c r="H309" s="720"/>
      <c r="I309" s="24">
        <f t="shared" si="50"/>
        <v>1</v>
      </c>
      <c r="J309" s="720"/>
      <c r="K309" s="24">
        <f t="shared" si="51"/>
        <v>1</v>
      </c>
      <c r="L309" s="720"/>
      <c r="M309" s="24">
        <f t="shared" si="52"/>
        <v>1</v>
      </c>
      <c r="N309" s="720"/>
      <c r="O309" s="24">
        <f t="shared" si="53"/>
        <v>1</v>
      </c>
      <c r="P309" s="720"/>
      <c r="Q309" s="24">
        <f t="shared" si="54"/>
        <v>1</v>
      </c>
      <c r="R309" s="716">
        <f t="shared" si="55"/>
        <v>0</v>
      </c>
      <c r="S309" s="361">
        <f t="shared" si="46"/>
        <v>0</v>
      </c>
    </row>
    <row r="310" spans="1:19">
      <c r="A310" s="159"/>
      <c r="B310" s="59"/>
      <c r="C310" s="24">
        <f t="shared" si="47"/>
        <v>1</v>
      </c>
      <c r="D310" s="720"/>
      <c r="E310" s="24">
        <f t="shared" si="48"/>
        <v>1</v>
      </c>
      <c r="F310" s="720"/>
      <c r="G310" s="24">
        <f t="shared" si="49"/>
        <v>0.03</v>
      </c>
      <c r="H310" s="720"/>
      <c r="I310" s="24">
        <f t="shared" si="50"/>
        <v>1</v>
      </c>
      <c r="J310" s="720"/>
      <c r="K310" s="24">
        <f t="shared" si="51"/>
        <v>1</v>
      </c>
      <c r="L310" s="720"/>
      <c r="M310" s="24">
        <f t="shared" si="52"/>
        <v>1</v>
      </c>
      <c r="N310" s="720"/>
      <c r="O310" s="24">
        <f t="shared" si="53"/>
        <v>1</v>
      </c>
      <c r="P310" s="720"/>
      <c r="Q310" s="24">
        <f t="shared" si="54"/>
        <v>1</v>
      </c>
      <c r="R310" s="716">
        <f t="shared" si="55"/>
        <v>0</v>
      </c>
      <c r="S310" s="361">
        <f t="shared" si="46"/>
        <v>0</v>
      </c>
    </row>
    <row r="311" spans="1:19">
      <c r="A311" s="159"/>
      <c r="B311" s="59"/>
      <c r="C311" s="24">
        <f t="shared" si="47"/>
        <v>1</v>
      </c>
      <c r="D311" s="720"/>
      <c r="E311" s="24">
        <f t="shared" si="48"/>
        <v>1</v>
      </c>
      <c r="F311" s="720"/>
      <c r="G311" s="24">
        <f t="shared" si="49"/>
        <v>0.03</v>
      </c>
      <c r="H311" s="720"/>
      <c r="I311" s="24">
        <f t="shared" si="50"/>
        <v>1</v>
      </c>
      <c r="J311" s="720"/>
      <c r="K311" s="24">
        <f t="shared" si="51"/>
        <v>1</v>
      </c>
      <c r="L311" s="720"/>
      <c r="M311" s="24">
        <f t="shared" si="52"/>
        <v>1</v>
      </c>
      <c r="N311" s="720"/>
      <c r="O311" s="24">
        <f t="shared" si="53"/>
        <v>1</v>
      </c>
      <c r="P311" s="720"/>
      <c r="Q311" s="24">
        <f t="shared" si="54"/>
        <v>1</v>
      </c>
      <c r="R311" s="716">
        <f t="shared" si="55"/>
        <v>0</v>
      </c>
      <c r="S311" s="361">
        <f t="shared" si="46"/>
        <v>0</v>
      </c>
    </row>
    <row r="312" spans="1:19">
      <c r="A312" s="159"/>
      <c r="B312" s="59"/>
      <c r="C312" s="24">
        <f t="shared" si="47"/>
        <v>1</v>
      </c>
      <c r="D312" s="720"/>
      <c r="E312" s="24">
        <f t="shared" si="48"/>
        <v>1</v>
      </c>
      <c r="F312" s="720"/>
      <c r="G312" s="24">
        <f t="shared" si="49"/>
        <v>0.03</v>
      </c>
      <c r="H312" s="720"/>
      <c r="I312" s="24">
        <f t="shared" si="50"/>
        <v>1</v>
      </c>
      <c r="J312" s="720"/>
      <c r="K312" s="24">
        <f t="shared" si="51"/>
        <v>1</v>
      </c>
      <c r="L312" s="720"/>
      <c r="M312" s="24">
        <f t="shared" si="52"/>
        <v>1</v>
      </c>
      <c r="N312" s="720"/>
      <c r="O312" s="24">
        <f t="shared" si="53"/>
        <v>1</v>
      </c>
      <c r="P312" s="720"/>
      <c r="Q312" s="24">
        <f t="shared" si="54"/>
        <v>1</v>
      </c>
      <c r="R312" s="716">
        <f t="shared" si="55"/>
        <v>0</v>
      </c>
      <c r="S312" s="361">
        <f t="shared" si="46"/>
        <v>0</v>
      </c>
    </row>
    <row r="313" spans="1:19">
      <c r="A313" s="159"/>
      <c r="B313" s="59"/>
      <c r="C313" s="24">
        <f t="shared" si="47"/>
        <v>1</v>
      </c>
      <c r="D313" s="720"/>
      <c r="E313" s="24">
        <f t="shared" si="48"/>
        <v>1</v>
      </c>
      <c r="F313" s="720"/>
      <c r="G313" s="24">
        <f t="shared" si="49"/>
        <v>0.03</v>
      </c>
      <c r="H313" s="720"/>
      <c r="I313" s="24">
        <f t="shared" si="50"/>
        <v>1</v>
      </c>
      <c r="J313" s="720"/>
      <c r="K313" s="24">
        <f t="shared" si="51"/>
        <v>1</v>
      </c>
      <c r="L313" s="720"/>
      <c r="M313" s="24">
        <f t="shared" si="52"/>
        <v>1</v>
      </c>
      <c r="N313" s="720"/>
      <c r="O313" s="24">
        <f t="shared" si="53"/>
        <v>1</v>
      </c>
      <c r="P313" s="720"/>
      <c r="Q313" s="24">
        <f t="shared" si="54"/>
        <v>1</v>
      </c>
      <c r="R313" s="716">
        <f t="shared" si="55"/>
        <v>0</v>
      </c>
      <c r="S313" s="361">
        <f t="shared" si="46"/>
        <v>0</v>
      </c>
    </row>
    <row r="314" spans="1:19">
      <c r="A314" s="159"/>
      <c r="B314" s="59"/>
      <c r="C314" s="24">
        <f t="shared" si="47"/>
        <v>1</v>
      </c>
      <c r="D314" s="720"/>
      <c r="E314" s="24">
        <f t="shared" si="48"/>
        <v>1</v>
      </c>
      <c r="F314" s="720"/>
      <c r="G314" s="24">
        <f t="shared" si="49"/>
        <v>0.03</v>
      </c>
      <c r="H314" s="720"/>
      <c r="I314" s="24">
        <f t="shared" si="50"/>
        <v>1</v>
      </c>
      <c r="J314" s="720"/>
      <c r="K314" s="24">
        <f t="shared" si="51"/>
        <v>1</v>
      </c>
      <c r="L314" s="720"/>
      <c r="M314" s="24">
        <f t="shared" si="52"/>
        <v>1</v>
      </c>
      <c r="N314" s="720"/>
      <c r="O314" s="24">
        <f t="shared" si="53"/>
        <v>1</v>
      </c>
      <c r="P314" s="720"/>
      <c r="Q314" s="24">
        <f t="shared" si="54"/>
        <v>1</v>
      </c>
      <c r="R314" s="716">
        <f t="shared" si="55"/>
        <v>0</v>
      </c>
      <c r="S314" s="361">
        <f t="shared" si="46"/>
        <v>0</v>
      </c>
    </row>
    <row r="315" spans="1:19">
      <c r="A315" s="159"/>
      <c r="B315" s="59"/>
      <c r="C315" s="24">
        <f t="shared" si="47"/>
        <v>1</v>
      </c>
      <c r="D315" s="720"/>
      <c r="E315" s="24">
        <f t="shared" si="48"/>
        <v>1</v>
      </c>
      <c r="F315" s="720"/>
      <c r="G315" s="24">
        <f t="shared" si="49"/>
        <v>0.03</v>
      </c>
      <c r="H315" s="720"/>
      <c r="I315" s="24">
        <f t="shared" si="50"/>
        <v>1</v>
      </c>
      <c r="J315" s="720"/>
      <c r="K315" s="24">
        <f t="shared" si="51"/>
        <v>1</v>
      </c>
      <c r="L315" s="720"/>
      <c r="M315" s="24">
        <f t="shared" si="52"/>
        <v>1</v>
      </c>
      <c r="N315" s="720"/>
      <c r="O315" s="24">
        <f t="shared" si="53"/>
        <v>1</v>
      </c>
      <c r="P315" s="720"/>
      <c r="Q315" s="24">
        <f t="shared" si="54"/>
        <v>1</v>
      </c>
      <c r="R315" s="716">
        <f t="shared" si="55"/>
        <v>0</v>
      </c>
      <c r="S315" s="361">
        <f t="shared" si="46"/>
        <v>0</v>
      </c>
    </row>
    <row r="316" spans="1:19">
      <c r="A316" s="159"/>
      <c r="B316" s="59"/>
      <c r="C316" s="24">
        <f t="shared" si="47"/>
        <v>1</v>
      </c>
      <c r="D316" s="720"/>
      <c r="E316" s="24">
        <f t="shared" si="48"/>
        <v>1</v>
      </c>
      <c r="F316" s="720"/>
      <c r="G316" s="24">
        <f t="shared" si="49"/>
        <v>0.03</v>
      </c>
      <c r="H316" s="720"/>
      <c r="I316" s="24">
        <f t="shared" si="50"/>
        <v>1</v>
      </c>
      <c r="J316" s="720"/>
      <c r="K316" s="24">
        <f t="shared" si="51"/>
        <v>1</v>
      </c>
      <c r="L316" s="720"/>
      <c r="M316" s="24">
        <f t="shared" si="52"/>
        <v>1</v>
      </c>
      <c r="N316" s="720"/>
      <c r="O316" s="24">
        <f t="shared" si="53"/>
        <v>1</v>
      </c>
      <c r="P316" s="720"/>
      <c r="Q316" s="24">
        <f t="shared" si="54"/>
        <v>1</v>
      </c>
      <c r="R316" s="716">
        <f t="shared" si="55"/>
        <v>0</v>
      </c>
      <c r="S316" s="361">
        <f t="shared" si="46"/>
        <v>0</v>
      </c>
    </row>
    <row r="317" spans="1:19">
      <c r="A317" s="159"/>
      <c r="B317" s="59"/>
      <c r="C317" s="24">
        <f t="shared" si="47"/>
        <v>1</v>
      </c>
      <c r="D317" s="720"/>
      <c r="E317" s="24">
        <f t="shared" si="48"/>
        <v>1</v>
      </c>
      <c r="F317" s="720"/>
      <c r="G317" s="24">
        <f t="shared" si="49"/>
        <v>0.03</v>
      </c>
      <c r="H317" s="720"/>
      <c r="I317" s="24">
        <f t="shared" si="50"/>
        <v>1</v>
      </c>
      <c r="J317" s="720"/>
      <c r="K317" s="24">
        <f t="shared" si="51"/>
        <v>1</v>
      </c>
      <c r="L317" s="720"/>
      <c r="M317" s="24">
        <f t="shared" si="52"/>
        <v>1</v>
      </c>
      <c r="N317" s="720"/>
      <c r="O317" s="24">
        <f t="shared" si="53"/>
        <v>1</v>
      </c>
      <c r="P317" s="720"/>
      <c r="Q317" s="24">
        <f t="shared" si="54"/>
        <v>1</v>
      </c>
      <c r="R317" s="716">
        <f t="shared" si="55"/>
        <v>0</v>
      </c>
      <c r="S317" s="361">
        <f t="shared" si="46"/>
        <v>0</v>
      </c>
    </row>
    <row r="318" spans="1:19">
      <c r="A318" s="159"/>
      <c r="B318" s="59"/>
      <c r="C318" s="24">
        <f t="shared" si="47"/>
        <v>1</v>
      </c>
      <c r="D318" s="720"/>
      <c r="E318" s="24">
        <f t="shared" si="48"/>
        <v>1</v>
      </c>
      <c r="F318" s="720"/>
      <c r="G318" s="24">
        <f t="shared" si="49"/>
        <v>0.03</v>
      </c>
      <c r="H318" s="720"/>
      <c r="I318" s="24">
        <f t="shared" si="50"/>
        <v>1</v>
      </c>
      <c r="J318" s="720"/>
      <c r="K318" s="24">
        <f t="shared" si="51"/>
        <v>1</v>
      </c>
      <c r="L318" s="720"/>
      <c r="M318" s="24">
        <f t="shared" si="52"/>
        <v>1</v>
      </c>
      <c r="N318" s="720"/>
      <c r="O318" s="24">
        <f t="shared" si="53"/>
        <v>1</v>
      </c>
      <c r="P318" s="720"/>
      <c r="Q318" s="24">
        <f t="shared" si="54"/>
        <v>1</v>
      </c>
      <c r="R318" s="716">
        <f t="shared" si="55"/>
        <v>0</v>
      </c>
      <c r="S318" s="361">
        <f t="shared" si="46"/>
        <v>0</v>
      </c>
    </row>
    <row r="319" spans="1:19">
      <c r="A319" s="159"/>
      <c r="B319" s="59"/>
      <c r="C319" s="24">
        <f t="shared" si="47"/>
        <v>1</v>
      </c>
      <c r="D319" s="720"/>
      <c r="E319" s="24">
        <f t="shared" si="48"/>
        <v>1</v>
      </c>
      <c r="F319" s="720"/>
      <c r="G319" s="24">
        <f t="shared" si="49"/>
        <v>0.03</v>
      </c>
      <c r="H319" s="720"/>
      <c r="I319" s="24">
        <f t="shared" si="50"/>
        <v>1</v>
      </c>
      <c r="J319" s="720"/>
      <c r="K319" s="24">
        <f t="shared" si="51"/>
        <v>1</v>
      </c>
      <c r="L319" s="720"/>
      <c r="M319" s="24">
        <f t="shared" si="52"/>
        <v>1</v>
      </c>
      <c r="N319" s="720"/>
      <c r="O319" s="24">
        <f t="shared" si="53"/>
        <v>1</v>
      </c>
      <c r="P319" s="720"/>
      <c r="Q319" s="24">
        <f t="shared" si="54"/>
        <v>1</v>
      </c>
      <c r="R319" s="716">
        <f t="shared" si="55"/>
        <v>0</v>
      </c>
      <c r="S319" s="361">
        <f t="shared" si="46"/>
        <v>0</v>
      </c>
    </row>
    <row r="320" spans="1:19">
      <c r="A320" s="159"/>
      <c r="B320" s="59"/>
      <c r="C320" s="24">
        <f t="shared" si="47"/>
        <v>1</v>
      </c>
      <c r="D320" s="720"/>
      <c r="E320" s="24">
        <f t="shared" si="48"/>
        <v>1</v>
      </c>
      <c r="F320" s="720"/>
      <c r="G320" s="24">
        <f t="shared" si="49"/>
        <v>0.03</v>
      </c>
      <c r="H320" s="720"/>
      <c r="I320" s="24">
        <f t="shared" si="50"/>
        <v>1</v>
      </c>
      <c r="J320" s="720"/>
      <c r="K320" s="24">
        <f t="shared" si="51"/>
        <v>1</v>
      </c>
      <c r="L320" s="720"/>
      <c r="M320" s="24">
        <f t="shared" si="52"/>
        <v>1</v>
      </c>
      <c r="N320" s="720"/>
      <c r="O320" s="24">
        <f t="shared" si="53"/>
        <v>1</v>
      </c>
      <c r="P320" s="720"/>
      <c r="Q320" s="24">
        <f t="shared" si="54"/>
        <v>1</v>
      </c>
      <c r="R320" s="716">
        <f t="shared" si="55"/>
        <v>0</v>
      </c>
      <c r="S320" s="361">
        <f t="shared" si="46"/>
        <v>0</v>
      </c>
    </row>
    <row r="321" spans="1:19">
      <c r="A321" s="159"/>
      <c r="B321" s="59"/>
      <c r="C321" s="24">
        <f t="shared" si="47"/>
        <v>1</v>
      </c>
      <c r="D321" s="720"/>
      <c r="E321" s="24">
        <f t="shared" si="48"/>
        <v>1</v>
      </c>
      <c r="F321" s="720"/>
      <c r="G321" s="24">
        <f t="shared" si="49"/>
        <v>0.03</v>
      </c>
      <c r="H321" s="720"/>
      <c r="I321" s="24">
        <f t="shared" si="50"/>
        <v>1</v>
      </c>
      <c r="J321" s="720"/>
      <c r="K321" s="24">
        <f t="shared" si="51"/>
        <v>1</v>
      </c>
      <c r="L321" s="720"/>
      <c r="M321" s="24">
        <f t="shared" si="52"/>
        <v>1</v>
      </c>
      <c r="N321" s="720"/>
      <c r="O321" s="24">
        <f t="shared" si="53"/>
        <v>1</v>
      </c>
      <c r="P321" s="720"/>
      <c r="Q321" s="24">
        <f t="shared" si="54"/>
        <v>1</v>
      </c>
      <c r="R321" s="716">
        <f t="shared" si="55"/>
        <v>0</v>
      </c>
      <c r="S321" s="361">
        <f t="shared" si="46"/>
        <v>0</v>
      </c>
    </row>
    <row r="322" spans="1:19">
      <c r="A322" s="159"/>
      <c r="B322" s="59"/>
      <c r="C322" s="24">
        <f t="shared" si="47"/>
        <v>1</v>
      </c>
      <c r="D322" s="720"/>
      <c r="E322" s="24">
        <f t="shared" si="48"/>
        <v>1</v>
      </c>
      <c r="F322" s="720"/>
      <c r="G322" s="24">
        <f t="shared" si="49"/>
        <v>0.03</v>
      </c>
      <c r="H322" s="720"/>
      <c r="I322" s="24">
        <f t="shared" si="50"/>
        <v>1</v>
      </c>
      <c r="J322" s="720"/>
      <c r="K322" s="24">
        <f t="shared" si="51"/>
        <v>1</v>
      </c>
      <c r="L322" s="720"/>
      <c r="M322" s="24">
        <f t="shared" si="52"/>
        <v>1</v>
      </c>
      <c r="N322" s="720"/>
      <c r="O322" s="24">
        <f t="shared" si="53"/>
        <v>1</v>
      </c>
      <c r="P322" s="720"/>
      <c r="Q322" s="24">
        <f t="shared" si="54"/>
        <v>1</v>
      </c>
      <c r="R322" s="716">
        <f t="shared" si="55"/>
        <v>0</v>
      </c>
      <c r="S322" s="361">
        <f t="shared" si="46"/>
        <v>0</v>
      </c>
    </row>
    <row r="323" spans="1:19">
      <c r="A323" s="159"/>
      <c r="B323" s="59"/>
      <c r="C323" s="24">
        <f t="shared" si="47"/>
        <v>1</v>
      </c>
      <c r="D323" s="720"/>
      <c r="E323" s="24">
        <f t="shared" si="48"/>
        <v>1</v>
      </c>
      <c r="F323" s="720"/>
      <c r="G323" s="24">
        <f t="shared" si="49"/>
        <v>0.03</v>
      </c>
      <c r="H323" s="720"/>
      <c r="I323" s="24">
        <f t="shared" si="50"/>
        <v>1</v>
      </c>
      <c r="J323" s="720"/>
      <c r="K323" s="24">
        <f t="shared" si="51"/>
        <v>1</v>
      </c>
      <c r="L323" s="720"/>
      <c r="M323" s="24">
        <f t="shared" si="52"/>
        <v>1</v>
      </c>
      <c r="N323" s="720"/>
      <c r="O323" s="24">
        <f t="shared" si="53"/>
        <v>1</v>
      </c>
      <c r="P323" s="720"/>
      <c r="Q323" s="24">
        <f t="shared" si="54"/>
        <v>1</v>
      </c>
      <c r="R323" s="716">
        <f t="shared" si="55"/>
        <v>0</v>
      </c>
      <c r="S323" s="361">
        <f t="shared" si="46"/>
        <v>0</v>
      </c>
    </row>
    <row r="324" spans="1:19">
      <c r="A324" s="159"/>
      <c r="B324" s="59"/>
      <c r="C324" s="24">
        <f t="shared" si="47"/>
        <v>1</v>
      </c>
      <c r="D324" s="720"/>
      <c r="E324" s="24">
        <f t="shared" si="48"/>
        <v>1</v>
      </c>
      <c r="F324" s="720"/>
      <c r="G324" s="24">
        <f t="shared" si="49"/>
        <v>0.03</v>
      </c>
      <c r="H324" s="720"/>
      <c r="I324" s="24">
        <f t="shared" si="50"/>
        <v>1</v>
      </c>
      <c r="J324" s="720"/>
      <c r="K324" s="24">
        <f t="shared" si="51"/>
        <v>1</v>
      </c>
      <c r="L324" s="720"/>
      <c r="M324" s="24">
        <f t="shared" si="52"/>
        <v>1</v>
      </c>
      <c r="N324" s="720"/>
      <c r="O324" s="24">
        <f t="shared" si="53"/>
        <v>1</v>
      </c>
      <c r="P324" s="720"/>
      <c r="Q324" s="24">
        <f t="shared" si="54"/>
        <v>1</v>
      </c>
      <c r="R324" s="716">
        <f t="shared" si="55"/>
        <v>0</v>
      </c>
      <c r="S324" s="361">
        <f t="shared" si="46"/>
        <v>0</v>
      </c>
    </row>
    <row r="325" spans="1:19">
      <c r="A325" s="159"/>
      <c r="B325" s="59"/>
      <c r="C325" s="24">
        <f t="shared" si="47"/>
        <v>1</v>
      </c>
      <c r="D325" s="720"/>
      <c r="E325" s="24">
        <f t="shared" si="48"/>
        <v>1</v>
      </c>
      <c r="F325" s="720"/>
      <c r="G325" s="24">
        <f t="shared" si="49"/>
        <v>0.03</v>
      </c>
      <c r="H325" s="720"/>
      <c r="I325" s="24">
        <f t="shared" si="50"/>
        <v>1</v>
      </c>
      <c r="J325" s="720"/>
      <c r="K325" s="24">
        <f t="shared" si="51"/>
        <v>1</v>
      </c>
      <c r="L325" s="720"/>
      <c r="M325" s="24">
        <f t="shared" si="52"/>
        <v>1</v>
      </c>
      <c r="N325" s="720"/>
      <c r="O325" s="24">
        <f t="shared" si="53"/>
        <v>1</v>
      </c>
      <c r="P325" s="720"/>
      <c r="Q325" s="24">
        <f t="shared" si="54"/>
        <v>1</v>
      </c>
      <c r="R325" s="716">
        <f t="shared" si="55"/>
        <v>0</v>
      </c>
      <c r="S325" s="361">
        <f t="shared" si="46"/>
        <v>0</v>
      </c>
    </row>
    <row r="326" spans="1:19">
      <c r="A326" s="159"/>
      <c r="B326" s="59"/>
      <c r="C326" s="24">
        <f t="shared" si="47"/>
        <v>1</v>
      </c>
      <c r="D326" s="720"/>
      <c r="E326" s="24">
        <f t="shared" si="48"/>
        <v>1</v>
      </c>
      <c r="F326" s="720"/>
      <c r="G326" s="24">
        <f t="shared" si="49"/>
        <v>0.03</v>
      </c>
      <c r="H326" s="720"/>
      <c r="I326" s="24">
        <f t="shared" si="50"/>
        <v>1</v>
      </c>
      <c r="J326" s="720"/>
      <c r="K326" s="24">
        <f t="shared" si="51"/>
        <v>1</v>
      </c>
      <c r="L326" s="720"/>
      <c r="M326" s="24">
        <f t="shared" si="52"/>
        <v>1</v>
      </c>
      <c r="N326" s="720"/>
      <c r="O326" s="24">
        <f t="shared" si="53"/>
        <v>1</v>
      </c>
      <c r="P326" s="720"/>
      <c r="Q326" s="24">
        <f t="shared" si="54"/>
        <v>1</v>
      </c>
      <c r="R326" s="716">
        <f t="shared" si="55"/>
        <v>0</v>
      </c>
      <c r="S326" s="361">
        <f t="shared" si="46"/>
        <v>0</v>
      </c>
    </row>
    <row r="327" spans="1:19">
      <c r="A327" s="159"/>
      <c r="B327" s="59"/>
      <c r="C327" s="24">
        <f t="shared" si="47"/>
        <v>1</v>
      </c>
      <c r="D327" s="720"/>
      <c r="E327" s="24">
        <f t="shared" si="48"/>
        <v>1</v>
      </c>
      <c r="F327" s="720"/>
      <c r="G327" s="24">
        <f t="shared" si="49"/>
        <v>0.03</v>
      </c>
      <c r="H327" s="720"/>
      <c r="I327" s="24">
        <f t="shared" si="50"/>
        <v>1</v>
      </c>
      <c r="J327" s="720"/>
      <c r="K327" s="24">
        <f t="shared" si="51"/>
        <v>1</v>
      </c>
      <c r="L327" s="720"/>
      <c r="M327" s="24">
        <f t="shared" si="52"/>
        <v>1</v>
      </c>
      <c r="N327" s="720"/>
      <c r="O327" s="24">
        <f t="shared" si="53"/>
        <v>1</v>
      </c>
      <c r="P327" s="720"/>
      <c r="Q327" s="24">
        <f t="shared" si="54"/>
        <v>1</v>
      </c>
      <c r="R327" s="716">
        <f t="shared" si="55"/>
        <v>0</v>
      </c>
      <c r="S327" s="361">
        <f t="shared" si="46"/>
        <v>0</v>
      </c>
    </row>
    <row r="328" spans="1:19">
      <c r="A328" s="159"/>
      <c r="B328" s="59"/>
      <c r="C328" s="24">
        <f t="shared" si="47"/>
        <v>1</v>
      </c>
      <c r="D328" s="720"/>
      <c r="E328" s="24">
        <f t="shared" si="48"/>
        <v>1</v>
      </c>
      <c r="F328" s="720"/>
      <c r="G328" s="24">
        <f t="shared" si="49"/>
        <v>0.03</v>
      </c>
      <c r="H328" s="720"/>
      <c r="I328" s="24">
        <f t="shared" si="50"/>
        <v>1</v>
      </c>
      <c r="J328" s="720"/>
      <c r="K328" s="24">
        <f t="shared" si="51"/>
        <v>1</v>
      </c>
      <c r="L328" s="720"/>
      <c r="M328" s="24">
        <f t="shared" si="52"/>
        <v>1</v>
      </c>
      <c r="N328" s="720"/>
      <c r="O328" s="24">
        <f t="shared" si="53"/>
        <v>1</v>
      </c>
      <c r="P328" s="720"/>
      <c r="Q328" s="24">
        <f t="shared" si="54"/>
        <v>1</v>
      </c>
      <c r="R328" s="716">
        <f t="shared" si="55"/>
        <v>0</v>
      </c>
      <c r="S328" s="361">
        <f t="shared" si="46"/>
        <v>0</v>
      </c>
    </row>
    <row r="329" spans="1:19">
      <c r="A329" s="159"/>
      <c r="B329" s="59"/>
      <c r="C329" s="24">
        <f t="shared" si="47"/>
        <v>1</v>
      </c>
      <c r="D329" s="720"/>
      <c r="E329" s="24">
        <f t="shared" si="48"/>
        <v>1</v>
      </c>
      <c r="F329" s="720"/>
      <c r="G329" s="24">
        <f t="shared" si="49"/>
        <v>0.03</v>
      </c>
      <c r="H329" s="720"/>
      <c r="I329" s="24">
        <f t="shared" si="50"/>
        <v>1</v>
      </c>
      <c r="J329" s="720"/>
      <c r="K329" s="24">
        <f t="shared" si="51"/>
        <v>1</v>
      </c>
      <c r="L329" s="720"/>
      <c r="M329" s="24">
        <f t="shared" si="52"/>
        <v>1</v>
      </c>
      <c r="N329" s="720"/>
      <c r="O329" s="24">
        <f t="shared" si="53"/>
        <v>1</v>
      </c>
      <c r="P329" s="720"/>
      <c r="Q329" s="24">
        <f t="shared" si="54"/>
        <v>1</v>
      </c>
      <c r="R329" s="716">
        <f t="shared" si="55"/>
        <v>0</v>
      </c>
      <c r="S329" s="361">
        <f t="shared" si="46"/>
        <v>0</v>
      </c>
    </row>
    <row r="330" spans="1:19">
      <c r="A330" s="159"/>
      <c r="B330" s="59"/>
      <c r="C330" s="24">
        <f t="shared" si="47"/>
        <v>1</v>
      </c>
      <c r="D330" s="720"/>
      <c r="E330" s="24">
        <f t="shared" si="48"/>
        <v>1</v>
      </c>
      <c r="F330" s="720"/>
      <c r="G330" s="24">
        <f t="shared" si="49"/>
        <v>0.03</v>
      </c>
      <c r="H330" s="720"/>
      <c r="I330" s="24">
        <f t="shared" si="50"/>
        <v>1</v>
      </c>
      <c r="J330" s="720"/>
      <c r="K330" s="24">
        <f t="shared" si="51"/>
        <v>1</v>
      </c>
      <c r="L330" s="720"/>
      <c r="M330" s="24">
        <f t="shared" si="52"/>
        <v>1</v>
      </c>
      <c r="N330" s="720"/>
      <c r="O330" s="24">
        <f t="shared" si="53"/>
        <v>1</v>
      </c>
      <c r="P330" s="720"/>
      <c r="Q330" s="24">
        <f t="shared" si="54"/>
        <v>1</v>
      </c>
      <c r="R330" s="716">
        <f t="shared" si="55"/>
        <v>0</v>
      </c>
      <c r="S330" s="361">
        <f t="shared" si="46"/>
        <v>0</v>
      </c>
    </row>
    <row r="331" spans="1:19">
      <c r="A331" s="159"/>
      <c r="B331" s="59"/>
      <c r="C331" s="24">
        <f t="shared" si="47"/>
        <v>1</v>
      </c>
      <c r="D331" s="720"/>
      <c r="E331" s="24">
        <f t="shared" si="48"/>
        <v>1</v>
      </c>
      <c r="F331" s="720"/>
      <c r="G331" s="24">
        <f t="shared" si="49"/>
        <v>0.03</v>
      </c>
      <c r="H331" s="720"/>
      <c r="I331" s="24">
        <f t="shared" si="50"/>
        <v>1</v>
      </c>
      <c r="J331" s="720"/>
      <c r="K331" s="24">
        <f t="shared" si="51"/>
        <v>1</v>
      </c>
      <c r="L331" s="720"/>
      <c r="M331" s="24">
        <f t="shared" si="52"/>
        <v>1</v>
      </c>
      <c r="N331" s="720"/>
      <c r="O331" s="24">
        <f t="shared" si="53"/>
        <v>1</v>
      </c>
      <c r="P331" s="720"/>
      <c r="Q331" s="24">
        <f t="shared" si="54"/>
        <v>1</v>
      </c>
      <c r="R331" s="716">
        <f t="shared" si="55"/>
        <v>0</v>
      </c>
      <c r="S331" s="361">
        <f t="shared" si="46"/>
        <v>0</v>
      </c>
    </row>
    <row r="332" spans="1:19">
      <c r="A332" s="159"/>
      <c r="B332" s="59"/>
      <c r="C332" s="24">
        <f t="shared" si="47"/>
        <v>1</v>
      </c>
      <c r="D332" s="720"/>
      <c r="E332" s="24">
        <f t="shared" si="48"/>
        <v>1</v>
      </c>
      <c r="F332" s="720"/>
      <c r="G332" s="24">
        <f t="shared" si="49"/>
        <v>0.03</v>
      </c>
      <c r="H332" s="720"/>
      <c r="I332" s="24">
        <f t="shared" si="50"/>
        <v>1</v>
      </c>
      <c r="J332" s="720"/>
      <c r="K332" s="24">
        <f t="shared" si="51"/>
        <v>1</v>
      </c>
      <c r="L332" s="720"/>
      <c r="M332" s="24">
        <f t="shared" si="52"/>
        <v>1</v>
      </c>
      <c r="N332" s="720"/>
      <c r="O332" s="24">
        <f t="shared" si="53"/>
        <v>1</v>
      </c>
      <c r="P332" s="720"/>
      <c r="Q332" s="24">
        <f t="shared" si="54"/>
        <v>1</v>
      </c>
      <c r="R332" s="716">
        <f t="shared" si="55"/>
        <v>0</v>
      </c>
      <c r="S332" s="361">
        <f t="shared" si="46"/>
        <v>0</v>
      </c>
    </row>
    <row r="333" spans="1:19">
      <c r="A333" s="159"/>
      <c r="B333" s="59"/>
      <c r="C333" s="24">
        <f t="shared" si="47"/>
        <v>1</v>
      </c>
      <c r="D333" s="720"/>
      <c r="E333" s="24">
        <f t="shared" si="48"/>
        <v>1</v>
      </c>
      <c r="F333" s="720"/>
      <c r="G333" s="24">
        <f t="shared" si="49"/>
        <v>0.03</v>
      </c>
      <c r="H333" s="720"/>
      <c r="I333" s="24">
        <f t="shared" si="50"/>
        <v>1</v>
      </c>
      <c r="J333" s="720"/>
      <c r="K333" s="24">
        <f t="shared" si="51"/>
        <v>1</v>
      </c>
      <c r="L333" s="720"/>
      <c r="M333" s="24">
        <f t="shared" si="52"/>
        <v>1</v>
      </c>
      <c r="N333" s="720"/>
      <c r="O333" s="24">
        <f t="shared" si="53"/>
        <v>1</v>
      </c>
      <c r="P333" s="720"/>
      <c r="Q333" s="24">
        <f t="shared" si="54"/>
        <v>1</v>
      </c>
      <c r="R333" s="716">
        <f t="shared" si="55"/>
        <v>0</v>
      </c>
      <c r="S333" s="361">
        <f t="shared" si="46"/>
        <v>0</v>
      </c>
    </row>
    <row r="334" spans="1:19">
      <c r="A334" s="159"/>
      <c r="B334" s="59"/>
      <c r="C334" s="24">
        <f t="shared" si="47"/>
        <v>1</v>
      </c>
      <c r="D334" s="720"/>
      <c r="E334" s="24">
        <f t="shared" si="48"/>
        <v>1</v>
      </c>
      <c r="F334" s="720"/>
      <c r="G334" s="24">
        <f t="shared" si="49"/>
        <v>0.03</v>
      </c>
      <c r="H334" s="720"/>
      <c r="I334" s="24">
        <f t="shared" si="50"/>
        <v>1</v>
      </c>
      <c r="J334" s="720"/>
      <c r="K334" s="24">
        <f t="shared" si="51"/>
        <v>1</v>
      </c>
      <c r="L334" s="720"/>
      <c r="M334" s="24">
        <f t="shared" si="52"/>
        <v>1</v>
      </c>
      <c r="N334" s="720"/>
      <c r="O334" s="24">
        <f t="shared" si="53"/>
        <v>1</v>
      </c>
      <c r="P334" s="720"/>
      <c r="Q334" s="24">
        <f t="shared" si="54"/>
        <v>1</v>
      </c>
      <c r="R334" s="716">
        <f t="shared" si="55"/>
        <v>0</v>
      </c>
      <c r="S334" s="361">
        <f t="shared" si="46"/>
        <v>0</v>
      </c>
    </row>
    <row r="335" spans="1:19">
      <c r="A335" s="159"/>
      <c r="B335" s="59"/>
      <c r="C335" s="24">
        <f t="shared" si="47"/>
        <v>1</v>
      </c>
      <c r="D335" s="720"/>
      <c r="E335" s="24">
        <f t="shared" si="48"/>
        <v>1</v>
      </c>
      <c r="F335" s="720"/>
      <c r="G335" s="24">
        <f t="shared" si="49"/>
        <v>0.03</v>
      </c>
      <c r="H335" s="720"/>
      <c r="I335" s="24">
        <f t="shared" si="50"/>
        <v>1</v>
      </c>
      <c r="J335" s="720"/>
      <c r="K335" s="24">
        <f t="shared" si="51"/>
        <v>1</v>
      </c>
      <c r="L335" s="720"/>
      <c r="M335" s="24">
        <f t="shared" si="52"/>
        <v>1</v>
      </c>
      <c r="N335" s="720"/>
      <c r="O335" s="24">
        <f t="shared" si="53"/>
        <v>1</v>
      </c>
      <c r="P335" s="720"/>
      <c r="Q335" s="24">
        <f t="shared" si="54"/>
        <v>1</v>
      </c>
      <c r="R335" s="716">
        <f t="shared" si="55"/>
        <v>0</v>
      </c>
      <c r="S335" s="361">
        <f t="shared" si="46"/>
        <v>0</v>
      </c>
    </row>
    <row r="336" spans="1:19">
      <c r="A336" s="159"/>
      <c r="B336" s="59"/>
      <c r="C336" s="24">
        <f t="shared" si="47"/>
        <v>1</v>
      </c>
      <c r="D336" s="720"/>
      <c r="E336" s="24">
        <f t="shared" si="48"/>
        <v>1</v>
      </c>
      <c r="F336" s="720"/>
      <c r="G336" s="24">
        <f t="shared" si="49"/>
        <v>0.03</v>
      </c>
      <c r="H336" s="720"/>
      <c r="I336" s="24">
        <f t="shared" si="50"/>
        <v>1</v>
      </c>
      <c r="J336" s="720"/>
      <c r="K336" s="24">
        <f t="shared" si="51"/>
        <v>1</v>
      </c>
      <c r="L336" s="720"/>
      <c r="M336" s="24">
        <f t="shared" si="52"/>
        <v>1</v>
      </c>
      <c r="N336" s="720"/>
      <c r="O336" s="24">
        <f t="shared" si="53"/>
        <v>1</v>
      </c>
      <c r="P336" s="720"/>
      <c r="Q336" s="24">
        <f t="shared" si="54"/>
        <v>1</v>
      </c>
      <c r="R336" s="716">
        <f t="shared" si="55"/>
        <v>0</v>
      </c>
      <c r="S336" s="361">
        <f t="shared" si="46"/>
        <v>0</v>
      </c>
    </row>
    <row r="337" spans="1:19">
      <c r="A337" s="159"/>
      <c r="B337" s="59"/>
      <c r="C337" s="24">
        <f t="shared" si="47"/>
        <v>1</v>
      </c>
      <c r="D337" s="720"/>
      <c r="E337" s="24">
        <f t="shared" si="48"/>
        <v>1</v>
      </c>
      <c r="F337" s="720"/>
      <c r="G337" s="24">
        <f t="shared" si="49"/>
        <v>0.03</v>
      </c>
      <c r="H337" s="720"/>
      <c r="I337" s="24">
        <f t="shared" si="50"/>
        <v>1</v>
      </c>
      <c r="J337" s="720"/>
      <c r="K337" s="24">
        <f t="shared" si="51"/>
        <v>1</v>
      </c>
      <c r="L337" s="720"/>
      <c r="M337" s="24">
        <f t="shared" si="52"/>
        <v>1</v>
      </c>
      <c r="N337" s="720"/>
      <c r="O337" s="24">
        <f t="shared" si="53"/>
        <v>1</v>
      </c>
      <c r="P337" s="720"/>
      <c r="Q337" s="24">
        <f t="shared" si="54"/>
        <v>1</v>
      </c>
      <c r="R337" s="716">
        <f t="shared" si="55"/>
        <v>0</v>
      </c>
      <c r="S337" s="361">
        <f t="shared" si="46"/>
        <v>0</v>
      </c>
    </row>
    <row r="338" spans="1:19">
      <c r="A338" s="159"/>
      <c r="B338" s="59"/>
      <c r="C338" s="24">
        <f t="shared" si="47"/>
        <v>1</v>
      </c>
      <c r="D338" s="720"/>
      <c r="E338" s="24">
        <f t="shared" si="48"/>
        <v>1</v>
      </c>
      <c r="F338" s="720"/>
      <c r="G338" s="24">
        <f t="shared" si="49"/>
        <v>0.03</v>
      </c>
      <c r="H338" s="720"/>
      <c r="I338" s="24">
        <f t="shared" si="50"/>
        <v>1</v>
      </c>
      <c r="J338" s="720"/>
      <c r="K338" s="24">
        <f t="shared" si="51"/>
        <v>1</v>
      </c>
      <c r="L338" s="720"/>
      <c r="M338" s="24">
        <f t="shared" si="52"/>
        <v>1</v>
      </c>
      <c r="N338" s="720"/>
      <c r="O338" s="24">
        <f t="shared" si="53"/>
        <v>1</v>
      </c>
      <c r="P338" s="720"/>
      <c r="Q338" s="24">
        <f t="shared" si="54"/>
        <v>1</v>
      </c>
      <c r="R338" s="716">
        <f t="shared" si="55"/>
        <v>0</v>
      </c>
      <c r="S338" s="361">
        <f t="shared" si="46"/>
        <v>0</v>
      </c>
    </row>
    <row r="339" spans="1:19">
      <c r="A339" s="159"/>
      <c r="B339" s="59"/>
      <c r="C339" s="24">
        <f t="shared" si="47"/>
        <v>1</v>
      </c>
      <c r="D339" s="720"/>
      <c r="E339" s="24">
        <f t="shared" si="48"/>
        <v>1</v>
      </c>
      <c r="F339" s="720"/>
      <c r="G339" s="24">
        <f t="shared" si="49"/>
        <v>0.03</v>
      </c>
      <c r="H339" s="720"/>
      <c r="I339" s="24">
        <f t="shared" si="50"/>
        <v>1</v>
      </c>
      <c r="J339" s="720"/>
      <c r="K339" s="24">
        <f t="shared" si="51"/>
        <v>1</v>
      </c>
      <c r="L339" s="720"/>
      <c r="M339" s="24">
        <f t="shared" si="52"/>
        <v>1</v>
      </c>
      <c r="N339" s="720"/>
      <c r="O339" s="24">
        <f t="shared" si="53"/>
        <v>1</v>
      </c>
      <c r="P339" s="720"/>
      <c r="Q339" s="24">
        <f t="shared" si="54"/>
        <v>1</v>
      </c>
      <c r="R339" s="716">
        <f t="shared" si="55"/>
        <v>0</v>
      </c>
      <c r="S339" s="361">
        <f t="shared" si="46"/>
        <v>0</v>
      </c>
    </row>
    <row r="340" spans="1:19">
      <c r="A340" s="159"/>
      <c r="B340" s="59"/>
      <c r="C340" s="24">
        <f t="shared" si="47"/>
        <v>1</v>
      </c>
      <c r="D340" s="720"/>
      <c r="E340" s="24">
        <f t="shared" si="48"/>
        <v>1</v>
      </c>
      <c r="F340" s="720"/>
      <c r="G340" s="24">
        <f t="shared" si="49"/>
        <v>0.03</v>
      </c>
      <c r="H340" s="720"/>
      <c r="I340" s="24">
        <f t="shared" si="50"/>
        <v>1</v>
      </c>
      <c r="J340" s="720"/>
      <c r="K340" s="24">
        <f t="shared" si="51"/>
        <v>1</v>
      </c>
      <c r="L340" s="720"/>
      <c r="M340" s="24">
        <f t="shared" si="52"/>
        <v>1</v>
      </c>
      <c r="N340" s="720"/>
      <c r="O340" s="24">
        <f t="shared" si="53"/>
        <v>1</v>
      </c>
      <c r="P340" s="720"/>
      <c r="Q340" s="24">
        <f t="shared" si="54"/>
        <v>1</v>
      </c>
      <c r="R340" s="716">
        <f t="shared" si="55"/>
        <v>0</v>
      </c>
      <c r="S340" s="361">
        <f t="shared" si="46"/>
        <v>0</v>
      </c>
    </row>
    <row r="341" spans="1:19">
      <c r="A341" s="159"/>
      <c r="B341" s="59"/>
      <c r="C341" s="24">
        <f t="shared" si="47"/>
        <v>1</v>
      </c>
      <c r="D341" s="720"/>
      <c r="E341" s="24">
        <f t="shared" si="48"/>
        <v>1</v>
      </c>
      <c r="F341" s="720"/>
      <c r="G341" s="24">
        <f t="shared" si="49"/>
        <v>0.03</v>
      </c>
      <c r="H341" s="720"/>
      <c r="I341" s="24">
        <f t="shared" si="50"/>
        <v>1</v>
      </c>
      <c r="J341" s="720"/>
      <c r="K341" s="24">
        <f t="shared" si="51"/>
        <v>1</v>
      </c>
      <c r="L341" s="720"/>
      <c r="M341" s="24">
        <f t="shared" si="52"/>
        <v>1</v>
      </c>
      <c r="N341" s="720"/>
      <c r="O341" s="24">
        <f t="shared" si="53"/>
        <v>1</v>
      </c>
      <c r="P341" s="720"/>
      <c r="Q341" s="24">
        <f t="shared" si="54"/>
        <v>1</v>
      </c>
      <c r="R341" s="716">
        <f t="shared" si="55"/>
        <v>0</v>
      </c>
      <c r="S341" s="361">
        <f t="shared" si="46"/>
        <v>0</v>
      </c>
    </row>
    <row r="342" spans="1:19">
      <c r="A342" s="159"/>
      <c r="B342" s="59"/>
      <c r="C342" s="24">
        <f t="shared" si="47"/>
        <v>1</v>
      </c>
      <c r="D342" s="720"/>
      <c r="E342" s="24">
        <f t="shared" si="48"/>
        <v>1</v>
      </c>
      <c r="F342" s="720"/>
      <c r="G342" s="24">
        <f t="shared" si="49"/>
        <v>0.03</v>
      </c>
      <c r="H342" s="720"/>
      <c r="I342" s="24">
        <f t="shared" si="50"/>
        <v>1</v>
      </c>
      <c r="J342" s="720"/>
      <c r="K342" s="24">
        <f t="shared" si="51"/>
        <v>1</v>
      </c>
      <c r="L342" s="720"/>
      <c r="M342" s="24">
        <f t="shared" si="52"/>
        <v>1</v>
      </c>
      <c r="N342" s="720"/>
      <c r="O342" s="24">
        <f t="shared" si="53"/>
        <v>1</v>
      </c>
      <c r="P342" s="720"/>
      <c r="Q342" s="24">
        <f t="shared" si="54"/>
        <v>1</v>
      </c>
      <c r="R342" s="716">
        <f t="shared" si="55"/>
        <v>0</v>
      </c>
      <c r="S342" s="361">
        <f t="shared" si="46"/>
        <v>0</v>
      </c>
    </row>
    <row r="343" spans="1:19">
      <c r="A343" s="159"/>
      <c r="B343" s="59"/>
      <c r="C343" s="24">
        <f t="shared" si="47"/>
        <v>1</v>
      </c>
      <c r="D343" s="720"/>
      <c r="E343" s="24">
        <f t="shared" si="48"/>
        <v>1</v>
      </c>
      <c r="F343" s="720"/>
      <c r="G343" s="24">
        <f t="shared" si="49"/>
        <v>0.03</v>
      </c>
      <c r="H343" s="720"/>
      <c r="I343" s="24">
        <f t="shared" si="50"/>
        <v>1</v>
      </c>
      <c r="J343" s="720"/>
      <c r="K343" s="24">
        <f t="shared" si="51"/>
        <v>1</v>
      </c>
      <c r="L343" s="720"/>
      <c r="M343" s="24">
        <f t="shared" si="52"/>
        <v>1</v>
      </c>
      <c r="N343" s="720"/>
      <c r="O343" s="24">
        <f t="shared" si="53"/>
        <v>1</v>
      </c>
      <c r="P343" s="720"/>
      <c r="Q343" s="24">
        <f t="shared" si="54"/>
        <v>1</v>
      </c>
      <c r="R343" s="716">
        <f t="shared" si="55"/>
        <v>0</v>
      </c>
      <c r="S343" s="361">
        <f t="shared" si="46"/>
        <v>0</v>
      </c>
    </row>
    <row r="344" spans="1:19">
      <c r="A344" s="159"/>
      <c r="B344" s="59"/>
      <c r="C344" s="24">
        <f t="shared" si="47"/>
        <v>1</v>
      </c>
      <c r="D344" s="720"/>
      <c r="E344" s="24">
        <f t="shared" si="48"/>
        <v>1</v>
      </c>
      <c r="F344" s="720"/>
      <c r="G344" s="24">
        <f t="shared" si="49"/>
        <v>0.03</v>
      </c>
      <c r="H344" s="720"/>
      <c r="I344" s="24">
        <f t="shared" si="50"/>
        <v>1</v>
      </c>
      <c r="J344" s="720"/>
      <c r="K344" s="24">
        <f t="shared" si="51"/>
        <v>1</v>
      </c>
      <c r="L344" s="720"/>
      <c r="M344" s="24">
        <f t="shared" si="52"/>
        <v>1</v>
      </c>
      <c r="N344" s="720"/>
      <c r="O344" s="24">
        <f t="shared" si="53"/>
        <v>1</v>
      </c>
      <c r="P344" s="720"/>
      <c r="Q344" s="24">
        <f t="shared" si="54"/>
        <v>1</v>
      </c>
      <c r="R344" s="716">
        <f t="shared" si="55"/>
        <v>0</v>
      </c>
      <c r="S344" s="361">
        <f t="shared" ref="S344:S407" si="56">ROUND(R344*B344/10000,0)</f>
        <v>0</v>
      </c>
    </row>
    <row r="345" spans="1:19">
      <c r="A345" s="159"/>
      <c r="B345" s="59"/>
      <c r="C345" s="24">
        <f t="shared" si="47"/>
        <v>1</v>
      </c>
      <c r="D345" s="720"/>
      <c r="E345" s="24">
        <f t="shared" si="48"/>
        <v>1</v>
      </c>
      <c r="F345" s="720"/>
      <c r="G345" s="24">
        <f t="shared" si="49"/>
        <v>0.03</v>
      </c>
      <c r="H345" s="720"/>
      <c r="I345" s="24">
        <f t="shared" si="50"/>
        <v>1</v>
      </c>
      <c r="J345" s="720"/>
      <c r="K345" s="24">
        <f t="shared" si="51"/>
        <v>1</v>
      </c>
      <c r="L345" s="720"/>
      <c r="M345" s="24">
        <f t="shared" si="52"/>
        <v>1</v>
      </c>
      <c r="N345" s="720"/>
      <c r="O345" s="24">
        <f t="shared" si="53"/>
        <v>1</v>
      </c>
      <c r="P345" s="720"/>
      <c r="Q345" s="24">
        <f t="shared" si="54"/>
        <v>1</v>
      </c>
      <c r="R345" s="716">
        <f t="shared" si="55"/>
        <v>0</v>
      </c>
      <c r="S345" s="361">
        <f t="shared" si="56"/>
        <v>0</v>
      </c>
    </row>
    <row r="346" spans="1:19">
      <c r="A346" s="159"/>
      <c r="B346" s="59"/>
      <c r="C346" s="24">
        <f t="shared" ref="C346:C409" si="57">IF(B346="",1,(LOOKUP(B346,$3:$3,$4:$4)-LOOKUP($B$24,$3:$3,$4:$4)+100)/100)</f>
        <v>1</v>
      </c>
      <c r="D346" s="720"/>
      <c r="E346" s="24">
        <f t="shared" ref="E346:E409" si="58">(SUMIF($5:$5,D346,$6:$6)-SUMIF($5:$5,$D$24,$6:$6)+100)/100</f>
        <v>1</v>
      </c>
      <c r="F346" s="720"/>
      <c r="G346" s="24">
        <f t="shared" ref="G346:G409" si="59">(SUMIF($7:$7,F346,$8:$8)-SUMIF($7:$7,$F$24,$8:$8)+100)/100</f>
        <v>0.03</v>
      </c>
      <c r="H346" s="720"/>
      <c r="I346" s="24">
        <f t="shared" ref="I346:I409" si="60">(SUMIF($9:$9,H346,$10:$10)-SUMIF($9:$9,$H$24,$10:$10)+100)/100</f>
        <v>1</v>
      </c>
      <c r="J346" s="720"/>
      <c r="K346" s="24">
        <f t="shared" ref="K346:K409" si="61">(SUMIF($11:$11,J346,$12:$12)-SUMIF($11:$11,$J$24,$12:$12)+100)/100</f>
        <v>1</v>
      </c>
      <c r="L346" s="720"/>
      <c r="M346" s="24">
        <f t="shared" ref="M346:M409" si="62">(SUMIF($13:$13,L346,$14:$14)-SUMIF($13:$13,$L$24,$14:$14)+100)/100</f>
        <v>1</v>
      </c>
      <c r="N346" s="720"/>
      <c r="O346" s="24">
        <f t="shared" ref="O346:O409" si="63">(SUMIF($15:$15,N346,$16:$16)-SUMIF($15:$15,$N$24,$16:$16)+100)/100</f>
        <v>1</v>
      </c>
      <c r="P346" s="720"/>
      <c r="Q346" s="24">
        <f t="shared" ref="Q346:Q409" si="64">(SUMIF($17:$17,P346,$18:$18)-SUMIF($17:$17,$P$24,$18:$18)+100)/100</f>
        <v>1</v>
      </c>
      <c r="R346" s="716">
        <f t="shared" ref="R346:R409" si="65">IF(B346="",0,ROUND($R$24*C346*E346*G346*I346*K346*M346*O346*Q346,0))</f>
        <v>0</v>
      </c>
      <c r="S346" s="361">
        <f t="shared" si="56"/>
        <v>0</v>
      </c>
    </row>
    <row r="347" spans="1:19">
      <c r="A347" s="159"/>
      <c r="B347" s="59"/>
      <c r="C347" s="24">
        <f t="shared" si="57"/>
        <v>1</v>
      </c>
      <c r="D347" s="720"/>
      <c r="E347" s="24">
        <f t="shared" si="58"/>
        <v>1</v>
      </c>
      <c r="F347" s="720"/>
      <c r="G347" s="24">
        <f t="shared" si="59"/>
        <v>0.03</v>
      </c>
      <c r="H347" s="720"/>
      <c r="I347" s="24">
        <f t="shared" si="60"/>
        <v>1</v>
      </c>
      <c r="J347" s="720"/>
      <c r="K347" s="24">
        <f t="shared" si="61"/>
        <v>1</v>
      </c>
      <c r="L347" s="720"/>
      <c r="M347" s="24">
        <f t="shared" si="62"/>
        <v>1</v>
      </c>
      <c r="N347" s="720"/>
      <c r="O347" s="24">
        <f t="shared" si="63"/>
        <v>1</v>
      </c>
      <c r="P347" s="720"/>
      <c r="Q347" s="24">
        <f t="shared" si="64"/>
        <v>1</v>
      </c>
      <c r="R347" s="716">
        <f t="shared" si="65"/>
        <v>0</v>
      </c>
      <c r="S347" s="361">
        <f t="shared" si="56"/>
        <v>0</v>
      </c>
    </row>
    <row r="348" spans="1:19">
      <c r="A348" s="159"/>
      <c r="B348" s="59"/>
      <c r="C348" s="24">
        <f t="shared" si="57"/>
        <v>1</v>
      </c>
      <c r="D348" s="720"/>
      <c r="E348" s="24">
        <f t="shared" si="58"/>
        <v>1</v>
      </c>
      <c r="F348" s="720"/>
      <c r="G348" s="24">
        <f t="shared" si="59"/>
        <v>0.03</v>
      </c>
      <c r="H348" s="720"/>
      <c r="I348" s="24">
        <f t="shared" si="60"/>
        <v>1</v>
      </c>
      <c r="J348" s="720"/>
      <c r="K348" s="24">
        <f t="shared" si="61"/>
        <v>1</v>
      </c>
      <c r="L348" s="720"/>
      <c r="M348" s="24">
        <f t="shared" si="62"/>
        <v>1</v>
      </c>
      <c r="N348" s="720"/>
      <c r="O348" s="24">
        <f t="shared" si="63"/>
        <v>1</v>
      </c>
      <c r="P348" s="720"/>
      <c r="Q348" s="24">
        <f t="shared" si="64"/>
        <v>1</v>
      </c>
      <c r="R348" s="716">
        <f t="shared" si="65"/>
        <v>0</v>
      </c>
      <c r="S348" s="361">
        <f t="shared" si="56"/>
        <v>0</v>
      </c>
    </row>
    <row r="349" spans="1:19">
      <c r="A349" s="159"/>
      <c r="B349" s="59"/>
      <c r="C349" s="24">
        <f t="shared" si="57"/>
        <v>1</v>
      </c>
      <c r="D349" s="720"/>
      <c r="E349" s="24">
        <f t="shared" si="58"/>
        <v>1</v>
      </c>
      <c r="F349" s="720"/>
      <c r="G349" s="24">
        <f t="shared" si="59"/>
        <v>0.03</v>
      </c>
      <c r="H349" s="720"/>
      <c r="I349" s="24">
        <f t="shared" si="60"/>
        <v>1</v>
      </c>
      <c r="J349" s="720"/>
      <c r="K349" s="24">
        <f t="shared" si="61"/>
        <v>1</v>
      </c>
      <c r="L349" s="720"/>
      <c r="M349" s="24">
        <f t="shared" si="62"/>
        <v>1</v>
      </c>
      <c r="N349" s="720"/>
      <c r="O349" s="24">
        <f t="shared" si="63"/>
        <v>1</v>
      </c>
      <c r="P349" s="720"/>
      <c r="Q349" s="24">
        <f t="shared" si="64"/>
        <v>1</v>
      </c>
      <c r="R349" s="716">
        <f t="shared" si="65"/>
        <v>0</v>
      </c>
      <c r="S349" s="361">
        <f t="shared" si="56"/>
        <v>0</v>
      </c>
    </row>
    <row r="350" spans="1:19">
      <c r="A350" s="159"/>
      <c r="B350" s="59"/>
      <c r="C350" s="24">
        <f t="shared" si="57"/>
        <v>1</v>
      </c>
      <c r="D350" s="720"/>
      <c r="E350" s="24">
        <f t="shared" si="58"/>
        <v>1</v>
      </c>
      <c r="F350" s="720"/>
      <c r="G350" s="24">
        <f t="shared" si="59"/>
        <v>0.03</v>
      </c>
      <c r="H350" s="720"/>
      <c r="I350" s="24">
        <f t="shared" si="60"/>
        <v>1</v>
      </c>
      <c r="J350" s="720"/>
      <c r="K350" s="24">
        <f t="shared" si="61"/>
        <v>1</v>
      </c>
      <c r="L350" s="720"/>
      <c r="M350" s="24">
        <f t="shared" si="62"/>
        <v>1</v>
      </c>
      <c r="N350" s="720"/>
      <c r="O350" s="24">
        <f t="shared" si="63"/>
        <v>1</v>
      </c>
      <c r="P350" s="720"/>
      <c r="Q350" s="24">
        <f t="shared" si="64"/>
        <v>1</v>
      </c>
      <c r="R350" s="716">
        <f t="shared" si="65"/>
        <v>0</v>
      </c>
      <c r="S350" s="361">
        <f t="shared" si="56"/>
        <v>0</v>
      </c>
    </row>
    <row r="351" spans="1:19">
      <c r="A351" s="159"/>
      <c r="B351" s="59"/>
      <c r="C351" s="24">
        <f t="shared" si="57"/>
        <v>1</v>
      </c>
      <c r="D351" s="720"/>
      <c r="E351" s="24">
        <f t="shared" si="58"/>
        <v>1</v>
      </c>
      <c r="F351" s="720"/>
      <c r="G351" s="24">
        <f t="shared" si="59"/>
        <v>0.03</v>
      </c>
      <c r="H351" s="720"/>
      <c r="I351" s="24">
        <f t="shared" si="60"/>
        <v>1</v>
      </c>
      <c r="J351" s="720"/>
      <c r="K351" s="24">
        <f t="shared" si="61"/>
        <v>1</v>
      </c>
      <c r="L351" s="720"/>
      <c r="M351" s="24">
        <f t="shared" si="62"/>
        <v>1</v>
      </c>
      <c r="N351" s="720"/>
      <c r="O351" s="24">
        <f t="shared" si="63"/>
        <v>1</v>
      </c>
      <c r="P351" s="720"/>
      <c r="Q351" s="24">
        <f t="shared" si="64"/>
        <v>1</v>
      </c>
      <c r="R351" s="716">
        <f t="shared" si="65"/>
        <v>0</v>
      </c>
      <c r="S351" s="361">
        <f t="shared" si="56"/>
        <v>0</v>
      </c>
    </row>
    <row r="352" spans="1:19">
      <c r="A352" s="159"/>
      <c r="B352" s="59"/>
      <c r="C352" s="24">
        <f t="shared" si="57"/>
        <v>1</v>
      </c>
      <c r="D352" s="720"/>
      <c r="E352" s="24">
        <f t="shared" si="58"/>
        <v>1</v>
      </c>
      <c r="F352" s="720"/>
      <c r="G352" s="24">
        <f t="shared" si="59"/>
        <v>0.03</v>
      </c>
      <c r="H352" s="720"/>
      <c r="I352" s="24">
        <f t="shared" si="60"/>
        <v>1</v>
      </c>
      <c r="J352" s="720"/>
      <c r="K352" s="24">
        <f t="shared" si="61"/>
        <v>1</v>
      </c>
      <c r="L352" s="720"/>
      <c r="M352" s="24">
        <f t="shared" si="62"/>
        <v>1</v>
      </c>
      <c r="N352" s="720"/>
      <c r="O352" s="24">
        <f t="shared" si="63"/>
        <v>1</v>
      </c>
      <c r="P352" s="720"/>
      <c r="Q352" s="24">
        <f t="shared" si="64"/>
        <v>1</v>
      </c>
      <c r="R352" s="716">
        <f t="shared" si="65"/>
        <v>0</v>
      </c>
      <c r="S352" s="361">
        <f t="shared" si="56"/>
        <v>0</v>
      </c>
    </row>
    <row r="353" spans="1:19">
      <c r="A353" s="159"/>
      <c r="B353" s="59"/>
      <c r="C353" s="24">
        <f t="shared" si="57"/>
        <v>1</v>
      </c>
      <c r="D353" s="720"/>
      <c r="E353" s="24">
        <f t="shared" si="58"/>
        <v>1</v>
      </c>
      <c r="F353" s="720"/>
      <c r="G353" s="24">
        <f t="shared" si="59"/>
        <v>0.03</v>
      </c>
      <c r="H353" s="720"/>
      <c r="I353" s="24">
        <f t="shared" si="60"/>
        <v>1</v>
      </c>
      <c r="J353" s="720"/>
      <c r="K353" s="24">
        <f t="shared" si="61"/>
        <v>1</v>
      </c>
      <c r="L353" s="720"/>
      <c r="M353" s="24">
        <f t="shared" si="62"/>
        <v>1</v>
      </c>
      <c r="N353" s="720"/>
      <c r="O353" s="24">
        <f t="shared" si="63"/>
        <v>1</v>
      </c>
      <c r="P353" s="720"/>
      <c r="Q353" s="24">
        <f t="shared" si="64"/>
        <v>1</v>
      </c>
      <c r="R353" s="716">
        <f t="shared" si="65"/>
        <v>0</v>
      </c>
      <c r="S353" s="361">
        <f t="shared" si="56"/>
        <v>0</v>
      </c>
    </row>
    <row r="354" spans="1:19">
      <c r="A354" s="159"/>
      <c r="B354" s="59"/>
      <c r="C354" s="24">
        <f t="shared" si="57"/>
        <v>1</v>
      </c>
      <c r="D354" s="720"/>
      <c r="E354" s="24">
        <f t="shared" si="58"/>
        <v>1</v>
      </c>
      <c r="F354" s="720"/>
      <c r="G354" s="24">
        <f t="shared" si="59"/>
        <v>0.03</v>
      </c>
      <c r="H354" s="720"/>
      <c r="I354" s="24">
        <f t="shared" si="60"/>
        <v>1</v>
      </c>
      <c r="J354" s="720"/>
      <c r="K354" s="24">
        <f t="shared" si="61"/>
        <v>1</v>
      </c>
      <c r="L354" s="720"/>
      <c r="M354" s="24">
        <f t="shared" si="62"/>
        <v>1</v>
      </c>
      <c r="N354" s="720"/>
      <c r="O354" s="24">
        <f t="shared" si="63"/>
        <v>1</v>
      </c>
      <c r="P354" s="720"/>
      <c r="Q354" s="24">
        <f t="shared" si="64"/>
        <v>1</v>
      </c>
      <c r="R354" s="716">
        <f t="shared" si="65"/>
        <v>0</v>
      </c>
      <c r="S354" s="361">
        <f t="shared" si="56"/>
        <v>0</v>
      </c>
    </row>
    <row r="355" spans="1:19">
      <c r="A355" s="159"/>
      <c r="B355" s="59"/>
      <c r="C355" s="24">
        <f t="shared" si="57"/>
        <v>1</v>
      </c>
      <c r="D355" s="720"/>
      <c r="E355" s="24">
        <f t="shared" si="58"/>
        <v>1</v>
      </c>
      <c r="F355" s="720"/>
      <c r="G355" s="24">
        <f t="shared" si="59"/>
        <v>0.03</v>
      </c>
      <c r="H355" s="720"/>
      <c r="I355" s="24">
        <f t="shared" si="60"/>
        <v>1</v>
      </c>
      <c r="J355" s="720"/>
      <c r="K355" s="24">
        <f t="shared" si="61"/>
        <v>1</v>
      </c>
      <c r="L355" s="720"/>
      <c r="M355" s="24">
        <f t="shared" si="62"/>
        <v>1</v>
      </c>
      <c r="N355" s="720"/>
      <c r="O355" s="24">
        <f t="shared" si="63"/>
        <v>1</v>
      </c>
      <c r="P355" s="720"/>
      <c r="Q355" s="24">
        <f t="shared" si="64"/>
        <v>1</v>
      </c>
      <c r="R355" s="716">
        <f t="shared" si="65"/>
        <v>0</v>
      </c>
      <c r="S355" s="361">
        <f t="shared" si="56"/>
        <v>0</v>
      </c>
    </row>
    <row r="356" spans="1:19">
      <c r="A356" s="159"/>
      <c r="B356" s="59"/>
      <c r="C356" s="24">
        <f t="shared" si="57"/>
        <v>1</v>
      </c>
      <c r="D356" s="720"/>
      <c r="E356" s="24">
        <f t="shared" si="58"/>
        <v>1</v>
      </c>
      <c r="F356" s="720"/>
      <c r="G356" s="24">
        <f t="shared" si="59"/>
        <v>0.03</v>
      </c>
      <c r="H356" s="720"/>
      <c r="I356" s="24">
        <f t="shared" si="60"/>
        <v>1</v>
      </c>
      <c r="J356" s="720"/>
      <c r="K356" s="24">
        <f t="shared" si="61"/>
        <v>1</v>
      </c>
      <c r="L356" s="720"/>
      <c r="M356" s="24">
        <f t="shared" si="62"/>
        <v>1</v>
      </c>
      <c r="N356" s="720"/>
      <c r="O356" s="24">
        <f t="shared" si="63"/>
        <v>1</v>
      </c>
      <c r="P356" s="720"/>
      <c r="Q356" s="24">
        <f t="shared" si="64"/>
        <v>1</v>
      </c>
      <c r="R356" s="716">
        <f t="shared" si="65"/>
        <v>0</v>
      </c>
      <c r="S356" s="361">
        <f t="shared" si="56"/>
        <v>0</v>
      </c>
    </row>
    <row r="357" spans="1:19">
      <c r="A357" s="159"/>
      <c r="B357" s="59"/>
      <c r="C357" s="24">
        <f t="shared" si="57"/>
        <v>1</v>
      </c>
      <c r="D357" s="720"/>
      <c r="E357" s="24">
        <f t="shared" si="58"/>
        <v>1</v>
      </c>
      <c r="F357" s="720"/>
      <c r="G357" s="24">
        <f t="shared" si="59"/>
        <v>0.03</v>
      </c>
      <c r="H357" s="720"/>
      <c r="I357" s="24">
        <f t="shared" si="60"/>
        <v>1</v>
      </c>
      <c r="J357" s="720"/>
      <c r="K357" s="24">
        <f t="shared" si="61"/>
        <v>1</v>
      </c>
      <c r="L357" s="720"/>
      <c r="M357" s="24">
        <f t="shared" si="62"/>
        <v>1</v>
      </c>
      <c r="N357" s="720"/>
      <c r="O357" s="24">
        <f t="shared" si="63"/>
        <v>1</v>
      </c>
      <c r="P357" s="720"/>
      <c r="Q357" s="24">
        <f t="shared" si="64"/>
        <v>1</v>
      </c>
      <c r="R357" s="716">
        <f t="shared" si="65"/>
        <v>0</v>
      </c>
      <c r="S357" s="361">
        <f t="shared" si="56"/>
        <v>0</v>
      </c>
    </row>
    <row r="358" spans="1:19">
      <c r="A358" s="159"/>
      <c r="B358" s="59"/>
      <c r="C358" s="24">
        <f t="shared" si="57"/>
        <v>1</v>
      </c>
      <c r="D358" s="720"/>
      <c r="E358" s="24">
        <f t="shared" si="58"/>
        <v>1</v>
      </c>
      <c r="F358" s="720"/>
      <c r="G358" s="24">
        <f t="shared" si="59"/>
        <v>0.03</v>
      </c>
      <c r="H358" s="720"/>
      <c r="I358" s="24">
        <f t="shared" si="60"/>
        <v>1</v>
      </c>
      <c r="J358" s="720"/>
      <c r="K358" s="24">
        <f t="shared" si="61"/>
        <v>1</v>
      </c>
      <c r="L358" s="720"/>
      <c r="M358" s="24">
        <f t="shared" si="62"/>
        <v>1</v>
      </c>
      <c r="N358" s="720"/>
      <c r="O358" s="24">
        <f t="shared" si="63"/>
        <v>1</v>
      </c>
      <c r="P358" s="720"/>
      <c r="Q358" s="24">
        <f t="shared" si="64"/>
        <v>1</v>
      </c>
      <c r="R358" s="716">
        <f t="shared" si="65"/>
        <v>0</v>
      </c>
      <c r="S358" s="361">
        <f t="shared" si="56"/>
        <v>0</v>
      </c>
    </row>
    <row r="359" spans="1:19">
      <c r="A359" s="159"/>
      <c r="B359" s="59"/>
      <c r="C359" s="24">
        <f t="shared" si="57"/>
        <v>1</v>
      </c>
      <c r="D359" s="720"/>
      <c r="E359" s="24">
        <f t="shared" si="58"/>
        <v>1</v>
      </c>
      <c r="F359" s="720"/>
      <c r="G359" s="24">
        <f t="shared" si="59"/>
        <v>0.03</v>
      </c>
      <c r="H359" s="720"/>
      <c r="I359" s="24">
        <f t="shared" si="60"/>
        <v>1</v>
      </c>
      <c r="J359" s="720"/>
      <c r="K359" s="24">
        <f t="shared" si="61"/>
        <v>1</v>
      </c>
      <c r="L359" s="720"/>
      <c r="M359" s="24">
        <f t="shared" si="62"/>
        <v>1</v>
      </c>
      <c r="N359" s="720"/>
      <c r="O359" s="24">
        <f t="shared" si="63"/>
        <v>1</v>
      </c>
      <c r="P359" s="720"/>
      <c r="Q359" s="24">
        <f t="shared" si="64"/>
        <v>1</v>
      </c>
      <c r="R359" s="716">
        <f t="shared" si="65"/>
        <v>0</v>
      </c>
      <c r="S359" s="361">
        <f t="shared" si="56"/>
        <v>0</v>
      </c>
    </row>
    <row r="360" spans="1:19">
      <c r="A360" s="159"/>
      <c r="B360" s="59"/>
      <c r="C360" s="24">
        <f t="shared" si="57"/>
        <v>1</v>
      </c>
      <c r="D360" s="720"/>
      <c r="E360" s="24">
        <f t="shared" si="58"/>
        <v>1</v>
      </c>
      <c r="F360" s="720"/>
      <c r="G360" s="24">
        <f t="shared" si="59"/>
        <v>0.03</v>
      </c>
      <c r="H360" s="720"/>
      <c r="I360" s="24">
        <f t="shared" si="60"/>
        <v>1</v>
      </c>
      <c r="J360" s="720"/>
      <c r="K360" s="24">
        <f t="shared" si="61"/>
        <v>1</v>
      </c>
      <c r="L360" s="720"/>
      <c r="M360" s="24">
        <f t="shared" si="62"/>
        <v>1</v>
      </c>
      <c r="N360" s="720"/>
      <c r="O360" s="24">
        <f t="shared" si="63"/>
        <v>1</v>
      </c>
      <c r="P360" s="720"/>
      <c r="Q360" s="24">
        <f t="shared" si="64"/>
        <v>1</v>
      </c>
      <c r="R360" s="716">
        <f t="shared" si="65"/>
        <v>0</v>
      </c>
      <c r="S360" s="361">
        <f t="shared" si="56"/>
        <v>0</v>
      </c>
    </row>
    <row r="361" spans="1:19">
      <c r="A361" s="159"/>
      <c r="B361" s="59"/>
      <c r="C361" s="24">
        <f t="shared" si="57"/>
        <v>1</v>
      </c>
      <c r="D361" s="720"/>
      <c r="E361" s="24">
        <f t="shared" si="58"/>
        <v>1</v>
      </c>
      <c r="F361" s="720"/>
      <c r="G361" s="24">
        <f t="shared" si="59"/>
        <v>0.03</v>
      </c>
      <c r="H361" s="720"/>
      <c r="I361" s="24">
        <f t="shared" si="60"/>
        <v>1</v>
      </c>
      <c r="J361" s="720"/>
      <c r="K361" s="24">
        <f t="shared" si="61"/>
        <v>1</v>
      </c>
      <c r="L361" s="720"/>
      <c r="M361" s="24">
        <f t="shared" si="62"/>
        <v>1</v>
      </c>
      <c r="N361" s="720"/>
      <c r="O361" s="24">
        <f t="shared" si="63"/>
        <v>1</v>
      </c>
      <c r="P361" s="720"/>
      <c r="Q361" s="24">
        <f t="shared" si="64"/>
        <v>1</v>
      </c>
      <c r="R361" s="716">
        <f t="shared" si="65"/>
        <v>0</v>
      </c>
      <c r="S361" s="361">
        <f t="shared" si="56"/>
        <v>0</v>
      </c>
    </row>
    <row r="362" spans="1:19">
      <c r="A362" s="159"/>
      <c r="B362" s="59"/>
      <c r="C362" s="24">
        <f t="shared" si="57"/>
        <v>1</v>
      </c>
      <c r="D362" s="720"/>
      <c r="E362" s="24">
        <f t="shared" si="58"/>
        <v>1</v>
      </c>
      <c r="F362" s="720"/>
      <c r="G362" s="24">
        <f t="shared" si="59"/>
        <v>0.03</v>
      </c>
      <c r="H362" s="720"/>
      <c r="I362" s="24">
        <f t="shared" si="60"/>
        <v>1</v>
      </c>
      <c r="J362" s="720"/>
      <c r="K362" s="24">
        <f t="shared" si="61"/>
        <v>1</v>
      </c>
      <c r="L362" s="720"/>
      <c r="M362" s="24">
        <f t="shared" si="62"/>
        <v>1</v>
      </c>
      <c r="N362" s="720"/>
      <c r="O362" s="24">
        <f t="shared" si="63"/>
        <v>1</v>
      </c>
      <c r="P362" s="720"/>
      <c r="Q362" s="24">
        <f t="shared" si="64"/>
        <v>1</v>
      </c>
      <c r="R362" s="716">
        <f t="shared" si="65"/>
        <v>0</v>
      </c>
      <c r="S362" s="361">
        <f t="shared" si="56"/>
        <v>0</v>
      </c>
    </row>
    <row r="363" spans="1:19">
      <c r="A363" s="159"/>
      <c r="B363" s="59"/>
      <c r="C363" s="24">
        <f t="shared" si="57"/>
        <v>1</v>
      </c>
      <c r="D363" s="720"/>
      <c r="E363" s="24">
        <f t="shared" si="58"/>
        <v>1</v>
      </c>
      <c r="F363" s="720"/>
      <c r="G363" s="24">
        <f t="shared" si="59"/>
        <v>0.03</v>
      </c>
      <c r="H363" s="720"/>
      <c r="I363" s="24">
        <f t="shared" si="60"/>
        <v>1</v>
      </c>
      <c r="J363" s="720"/>
      <c r="K363" s="24">
        <f t="shared" si="61"/>
        <v>1</v>
      </c>
      <c r="L363" s="720"/>
      <c r="M363" s="24">
        <f t="shared" si="62"/>
        <v>1</v>
      </c>
      <c r="N363" s="720"/>
      <c r="O363" s="24">
        <f t="shared" si="63"/>
        <v>1</v>
      </c>
      <c r="P363" s="720"/>
      <c r="Q363" s="24">
        <f t="shared" si="64"/>
        <v>1</v>
      </c>
      <c r="R363" s="716">
        <f t="shared" si="65"/>
        <v>0</v>
      </c>
      <c r="S363" s="361">
        <f t="shared" si="56"/>
        <v>0</v>
      </c>
    </row>
    <row r="364" spans="1:19">
      <c r="A364" s="159"/>
      <c r="B364" s="59"/>
      <c r="C364" s="24">
        <f t="shared" si="57"/>
        <v>1</v>
      </c>
      <c r="D364" s="720"/>
      <c r="E364" s="24">
        <f t="shared" si="58"/>
        <v>1</v>
      </c>
      <c r="F364" s="720"/>
      <c r="G364" s="24">
        <f t="shared" si="59"/>
        <v>0.03</v>
      </c>
      <c r="H364" s="720"/>
      <c r="I364" s="24">
        <f t="shared" si="60"/>
        <v>1</v>
      </c>
      <c r="J364" s="720"/>
      <c r="K364" s="24">
        <f t="shared" si="61"/>
        <v>1</v>
      </c>
      <c r="L364" s="720"/>
      <c r="M364" s="24">
        <f t="shared" si="62"/>
        <v>1</v>
      </c>
      <c r="N364" s="720"/>
      <c r="O364" s="24">
        <f t="shared" si="63"/>
        <v>1</v>
      </c>
      <c r="P364" s="720"/>
      <c r="Q364" s="24">
        <f t="shared" si="64"/>
        <v>1</v>
      </c>
      <c r="R364" s="716">
        <f t="shared" si="65"/>
        <v>0</v>
      </c>
      <c r="S364" s="361">
        <f t="shared" si="56"/>
        <v>0</v>
      </c>
    </row>
    <row r="365" spans="1:19">
      <c r="A365" s="159"/>
      <c r="B365" s="59"/>
      <c r="C365" s="24">
        <f t="shared" si="57"/>
        <v>1</v>
      </c>
      <c r="D365" s="720"/>
      <c r="E365" s="24">
        <f t="shared" si="58"/>
        <v>1</v>
      </c>
      <c r="F365" s="720"/>
      <c r="G365" s="24">
        <f t="shared" si="59"/>
        <v>0.03</v>
      </c>
      <c r="H365" s="720"/>
      <c r="I365" s="24">
        <f t="shared" si="60"/>
        <v>1</v>
      </c>
      <c r="J365" s="720"/>
      <c r="K365" s="24">
        <f t="shared" si="61"/>
        <v>1</v>
      </c>
      <c r="L365" s="720"/>
      <c r="M365" s="24">
        <f t="shared" si="62"/>
        <v>1</v>
      </c>
      <c r="N365" s="720"/>
      <c r="O365" s="24">
        <f t="shared" si="63"/>
        <v>1</v>
      </c>
      <c r="P365" s="720"/>
      <c r="Q365" s="24">
        <f t="shared" si="64"/>
        <v>1</v>
      </c>
      <c r="R365" s="716">
        <f t="shared" si="65"/>
        <v>0</v>
      </c>
      <c r="S365" s="361">
        <f t="shared" si="56"/>
        <v>0</v>
      </c>
    </row>
    <row r="366" spans="1:19">
      <c r="A366" s="159"/>
      <c r="B366" s="59"/>
      <c r="C366" s="24">
        <f t="shared" si="57"/>
        <v>1</v>
      </c>
      <c r="D366" s="720"/>
      <c r="E366" s="24">
        <f t="shared" si="58"/>
        <v>1</v>
      </c>
      <c r="F366" s="720"/>
      <c r="G366" s="24">
        <f t="shared" si="59"/>
        <v>0.03</v>
      </c>
      <c r="H366" s="720"/>
      <c r="I366" s="24">
        <f t="shared" si="60"/>
        <v>1</v>
      </c>
      <c r="J366" s="720"/>
      <c r="K366" s="24">
        <f t="shared" si="61"/>
        <v>1</v>
      </c>
      <c r="L366" s="720"/>
      <c r="M366" s="24">
        <f t="shared" si="62"/>
        <v>1</v>
      </c>
      <c r="N366" s="720"/>
      <c r="O366" s="24">
        <f t="shared" si="63"/>
        <v>1</v>
      </c>
      <c r="P366" s="720"/>
      <c r="Q366" s="24">
        <f t="shared" si="64"/>
        <v>1</v>
      </c>
      <c r="R366" s="716">
        <f t="shared" si="65"/>
        <v>0</v>
      </c>
      <c r="S366" s="361">
        <f t="shared" si="56"/>
        <v>0</v>
      </c>
    </row>
    <row r="367" spans="1:19">
      <c r="A367" s="159"/>
      <c r="B367" s="59"/>
      <c r="C367" s="24">
        <f t="shared" si="57"/>
        <v>1</v>
      </c>
      <c r="D367" s="720"/>
      <c r="E367" s="24">
        <f t="shared" si="58"/>
        <v>1</v>
      </c>
      <c r="F367" s="720"/>
      <c r="G367" s="24">
        <f t="shared" si="59"/>
        <v>0.03</v>
      </c>
      <c r="H367" s="720"/>
      <c r="I367" s="24">
        <f t="shared" si="60"/>
        <v>1</v>
      </c>
      <c r="J367" s="720"/>
      <c r="K367" s="24">
        <f t="shared" si="61"/>
        <v>1</v>
      </c>
      <c r="L367" s="720"/>
      <c r="M367" s="24">
        <f t="shared" si="62"/>
        <v>1</v>
      </c>
      <c r="N367" s="720"/>
      <c r="O367" s="24">
        <f t="shared" si="63"/>
        <v>1</v>
      </c>
      <c r="P367" s="720"/>
      <c r="Q367" s="24">
        <f t="shared" si="64"/>
        <v>1</v>
      </c>
      <c r="R367" s="716">
        <f t="shared" si="65"/>
        <v>0</v>
      </c>
      <c r="S367" s="361">
        <f t="shared" si="56"/>
        <v>0</v>
      </c>
    </row>
    <row r="368" spans="1:19">
      <c r="A368" s="159"/>
      <c r="B368" s="59"/>
      <c r="C368" s="24">
        <f t="shared" si="57"/>
        <v>1</v>
      </c>
      <c r="D368" s="720"/>
      <c r="E368" s="24">
        <f t="shared" si="58"/>
        <v>1</v>
      </c>
      <c r="F368" s="720"/>
      <c r="G368" s="24">
        <f t="shared" si="59"/>
        <v>0.03</v>
      </c>
      <c r="H368" s="720"/>
      <c r="I368" s="24">
        <f t="shared" si="60"/>
        <v>1</v>
      </c>
      <c r="J368" s="720"/>
      <c r="K368" s="24">
        <f t="shared" si="61"/>
        <v>1</v>
      </c>
      <c r="L368" s="720"/>
      <c r="M368" s="24">
        <f t="shared" si="62"/>
        <v>1</v>
      </c>
      <c r="N368" s="720"/>
      <c r="O368" s="24">
        <f t="shared" si="63"/>
        <v>1</v>
      </c>
      <c r="P368" s="720"/>
      <c r="Q368" s="24">
        <f t="shared" si="64"/>
        <v>1</v>
      </c>
      <c r="R368" s="716">
        <f t="shared" si="65"/>
        <v>0</v>
      </c>
      <c r="S368" s="361">
        <f t="shared" si="56"/>
        <v>0</v>
      </c>
    </row>
    <row r="369" spans="1:19">
      <c r="A369" s="159"/>
      <c r="B369" s="59"/>
      <c r="C369" s="24">
        <f t="shared" si="57"/>
        <v>1</v>
      </c>
      <c r="D369" s="720"/>
      <c r="E369" s="24">
        <f t="shared" si="58"/>
        <v>1</v>
      </c>
      <c r="F369" s="720"/>
      <c r="G369" s="24">
        <f t="shared" si="59"/>
        <v>0.03</v>
      </c>
      <c r="H369" s="720"/>
      <c r="I369" s="24">
        <f t="shared" si="60"/>
        <v>1</v>
      </c>
      <c r="J369" s="720"/>
      <c r="K369" s="24">
        <f t="shared" si="61"/>
        <v>1</v>
      </c>
      <c r="L369" s="720"/>
      <c r="M369" s="24">
        <f t="shared" si="62"/>
        <v>1</v>
      </c>
      <c r="N369" s="720"/>
      <c r="O369" s="24">
        <f t="shared" si="63"/>
        <v>1</v>
      </c>
      <c r="P369" s="720"/>
      <c r="Q369" s="24">
        <f t="shared" si="64"/>
        <v>1</v>
      </c>
      <c r="R369" s="716">
        <f t="shared" si="65"/>
        <v>0</v>
      </c>
      <c r="S369" s="361">
        <f t="shared" si="56"/>
        <v>0</v>
      </c>
    </row>
    <row r="370" spans="1:19">
      <c r="A370" s="159"/>
      <c r="B370" s="59"/>
      <c r="C370" s="24">
        <f t="shared" si="57"/>
        <v>1</v>
      </c>
      <c r="D370" s="720"/>
      <c r="E370" s="24">
        <f t="shared" si="58"/>
        <v>1</v>
      </c>
      <c r="F370" s="720"/>
      <c r="G370" s="24">
        <f t="shared" si="59"/>
        <v>0.03</v>
      </c>
      <c r="H370" s="720"/>
      <c r="I370" s="24">
        <f t="shared" si="60"/>
        <v>1</v>
      </c>
      <c r="J370" s="720"/>
      <c r="K370" s="24">
        <f t="shared" si="61"/>
        <v>1</v>
      </c>
      <c r="L370" s="720"/>
      <c r="M370" s="24">
        <f t="shared" si="62"/>
        <v>1</v>
      </c>
      <c r="N370" s="720"/>
      <c r="O370" s="24">
        <f t="shared" si="63"/>
        <v>1</v>
      </c>
      <c r="P370" s="720"/>
      <c r="Q370" s="24">
        <f t="shared" si="64"/>
        <v>1</v>
      </c>
      <c r="R370" s="716">
        <f t="shared" si="65"/>
        <v>0</v>
      </c>
      <c r="S370" s="361">
        <f t="shared" si="56"/>
        <v>0</v>
      </c>
    </row>
    <row r="371" spans="1:19">
      <c r="A371" s="159"/>
      <c r="B371" s="59"/>
      <c r="C371" s="24">
        <f t="shared" si="57"/>
        <v>1</v>
      </c>
      <c r="D371" s="720"/>
      <c r="E371" s="24">
        <f t="shared" si="58"/>
        <v>1</v>
      </c>
      <c r="F371" s="720"/>
      <c r="G371" s="24">
        <f t="shared" si="59"/>
        <v>0.03</v>
      </c>
      <c r="H371" s="720"/>
      <c r="I371" s="24">
        <f t="shared" si="60"/>
        <v>1</v>
      </c>
      <c r="J371" s="720"/>
      <c r="K371" s="24">
        <f t="shared" si="61"/>
        <v>1</v>
      </c>
      <c r="L371" s="720"/>
      <c r="M371" s="24">
        <f t="shared" si="62"/>
        <v>1</v>
      </c>
      <c r="N371" s="720"/>
      <c r="O371" s="24">
        <f t="shared" si="63"/>
        <v>1</v>
      </c>
      <c r="P371" s="720"/>
      <c r="Q371" s="24">
        <f t="shared" si="64"/>
        <v>1</v>
      </c>
      <c r="R371" s="716">
        <f t="shared" si="65"/>
        <v>0</v>
      </c>
      <c r="S371" s="361">
        <f t="shared" si="56"/>
        <v>0</v>
      </c>
    </row>
    <row r="372" spans="1:19">
      <c r="A372" s="159"/>
      <c r="B372" s="59"/>
      <c r="C372" s="24">
        <f t="shared" si="57"/>
        <v>1</v>
      </c>
      <c r="D372" s="720"/>
      <c r="E372" s="24">
        <f t="shared" si="58"/>
        <v>1</v>
      </c>
      <c r="F372" s="720"/>
      <c r="G372" s="24">
        <f t="shared" si="59"/>
        <v>0.03</v>
      </c>
      <c r="H372" s="720"/>
      <c r="I372" s="24">
        <f t="shared" si="60"/>
        <v>1</v>
      </c>
      <c r="J372" s="720"/>
      <c r="K372" s="24">
        <f t="shared" si="61"/>
        <v>1</v>
      </c>
      <c r="L372" s="720"/>
      <c r="M372" s="24">
        <f t="shared" si="62"/>
        <v>1</v>
      </c>
      <c r="N372" s="720"/>
      <c r="O372" s="24">
        <f t="shared" si="63"/>
        <v>1</v>
      </c>
      <c r="P372" s="720"/>
      <c r="Q372" s="24">
        <f t="shared" si="64"/>
        <v>1</v>
      </c>
      <c r="R372" s="716">
        <f t="shared" si="65"/>
        <v>0</v>
      </c>
      <c r="S372" s="361">
        <f t="shared" si="56"/>
        <v>0</v>
      </c>
    </row>
    <row r="373" spans="1:19">
      <c r="A373" s="159"/>
      <c r="B373" s="59"/>
      <c r="C373" s="24">
        <f t="shared" si="57"/>
        <v>1</v>
      </c>
      <c r="D373" s="720"/>
      <c r="E373" s="24">
        <f t="shared" si="58"/>
        <v>1</v>
      </c>
      <c r="F373" s="720"/>
      <c r="G373" s="24">
        <f t="shared" si="59"/>
        <v>0.03</v>
      </c>
      <c r="H373" s="720"/>
      <c r="I373" s="24">
        <f t="shared" si="60"/>
        <v>1</v>
      </c>
      <c r="J373" s="720"/>
      <c r="K373" s="24">
        <f t="shared" si="61"/>
        <v>1</v>
      </c>
      <c r="L373" s="720"/>
      <c r="M373" s="24">
        <f t="shared" si="62"/>
        <v>1</v>
      </c>
      <c r="N373" s="720"/>
      <c r="O373" s="24">
        <f t="shared" si="63"/>
        <v>1</v>
      </c>
      <c r="P373" s="720"/>
      <c r="Q373" s="24">
        <f t="shared" si="64"/>
        <v>1</v>
      </c>
      <c r="R373" s="716">
        <f t="shared" si="65"/>
        <v>0</v>
      </c>
      <c r="S373" s="361">
        <f t="shared" si="56"/>
        <v>0</v>
      </c>
    </row>
    <row r="374" spans="1:19">
      <c r="A374" s="159"/>
      <c r="B374" s="59"/>
      <c r="C374" s="24">
        <f t="shared" si="57"/>
        <v>1</v>
      </c>
      <c r="D374" s="720"/>
      <c r="E374" s="24">
        <f t="shared" si="58"/>
        <v>1</v>
      </c>
      <c r="F374" s="720"/>
      <c r="G374" s="24">
        <f t="shared" si="59"/>
        <v>0.03</v>
      </c>
      <c r="H374" s="720"/>
      <c r="I374" s="24">
        <f t="shared" si="60"/>
        <v>1</v>
      </c>
      <c r="J374" s="720"/>
      <c r="K374" s="24">
        <f t="shared" si="61"/>
        <v>1</v>
      </c>
      <c r="L374" s="720"/>
      <c r="M374" s="24">
        <f t="shared" si="62"/>
        <v>1</v>
      </c>
      <c r="N374" s="720"/>
      <c r="O374" s="24">
        <f t="shared" si="63"/>
        <v>1</v>
      </c>
      <c r="P374" s="720"/>
      <c r="Q374" s="24">
        <f t="shared" si="64"/>
        <v>1</v>
      </c>
      <c r="R374" s="716">
        <f t="shared" si="65"/>
        <v>0</v>
      </c>
      <c r="S374" s="361">
        <f t="shared" si="56"/>
        <v>0</v>
      </c>
    </row>
    <row r="375" spans="1:19">
      <c r="A375" s="159"/>
      <c r="B375" s="59"/>
      <c r="C375" s="24">
        <f t="shared" si="57"/>
        <v>1</v>
      </c>
      <c r="D375" s="720"/>
      <c r="E375" s="24">
        <f t="shared" si="58"/>
        <v>1</v>
      </c>
      <c r="F375" s="720"/>
      <c r="G375" s="24">
        <f t="shared" si="59"/>
        <v>0.03</v>
      </c>
      <c r="H375" s="720"/>
      <c r="I375" s="24">
        <f t="shared" si="60"/>
        <v>1</v>
      </c>
      <c r="J375" s="720"/>
      <c r="K375" s="24">
        <f t="shared" si="61"/>
        <v>1</v>
      </c>
      <c r="L375" s="720"/>
      <c r="M375" s="24">
        <f t="shared" si="62"/>
        <v>1</v>
      </c>
      <c r="N375" s="720"/>
      <c r="O375" s="24">
        <f t="shared" si="63"/>
        <v>1</v>
      </c>
      <c r="P375" s="720"/>
      <c r="Q375" s="24">
        <f t="shared" si="64"/>
        <v>1</v>
      </c>
      <c r="R375" s="716">
        <f t="shared" si="65"/>
        <v>0</v>
      </c>
      <c r="S375" s="361">
        <f t="shared" si="56"/>
        <v>0</v>
      </c>
    </row>
    <row r="376" spans="1:19">
      <c r="A376" s="159"/>
      <c r="B376" s="59"/>
      <c r="C376" s="24">
        <f t="shared" si="57"/>
        <v>1</v>
      </c>
      <c r="D376" s="720"/>
      <c r="E376" s="24">
        <f t="shared" si="58"/>
        <v>1</v>
      </c>
      <c r="F376" s="720"/>
      <c r="G376" s="24">
        <f t="shared" si="59"/>
        <v>0.03</v>
      </c>
      <c r="H376" s="720"/>
      <c r="I376" s="24">
        <f t="shared" si="60"/>
        <v>1</v>
      </c>
      <c r="J376" s="720"/>
      <c r="K376" s="24">
        <f t="shared" si="61"/>
        <v>1</v>
      </c>
      <c r="L376" s="720"/>
      <c r="M376" s="24">
        <f t="shared" si="62"/>
        <v>1</v>
      </c>
      <c r="N376" s="720"/>
      <c r="O376" s="24">
        <f t="shared" si="63"/>
        <v>1</v>
      </c>
      <c r="P376" s="720"/>
      <c r="Q376" s="24">
        <f t="shared" si="64"/>
        <v>1</v>
      </c>
      <c r="R376" s="716">
        <f t="shared" si="65"/>
        <v>0</v>
      </c>
      <c r="S376" s="361">
        <f t="shared" si="56"/>
        <v>0</v>
      </c>
    </row>
    <row r="377" spans="1:19">
      <c r="A377" s="159"/>
      <c r="B377" s="59"/>
      <c r="C377" s="24">
        <f t="shared" si="57"/>
        <v>1</v>
      </c>
      <c r="D377" s="720"/>
      <c r="E377" s="24">
        <f t="shared" si="58"/>
        <v>1</v>
      </c>
      <c r="F377" s="720"/>
      <c r="G377" s="24">
        <f t="shared" si="59"/>
        <v>0.03</v>
      </c>
      <c r="H377" s="720"/>
      <c r="I377" s="24">
        <f t="shared" si="60"/>
        <v>1</v>
      </c>
      <c r="J377" s="720"/>
      <c r="K377" s="24">
        <f t="shared" si="61"/>
        <v>1</v>
      </c>
      <c r="L377" s="720"/>
      <c r="M377" s="24">
        <f t="shared" si="62"/>
        <v>1</v>
      </c>
      <c r="N377" s="720"/>
      <c r="O377" s="24">
        <f t="shared" si="63"/>
        <v>1</v>
      </c>
      <c r="P377" s="720"/>
      <c r="Q377" s="24">
        <f t="shared" si="64"/>
        <v>1</v>
      </c>
      <c r="R377" s="716">
        <f t="shared" si="65"/>
        <v>0</v>
      </c>
      <c r="S377" s="361">
        <f t="shared" si="56"/>
        <v>0</v>
      </c>
    </row>
    <row r="378" spans="1:19">
      <c r="A378" s="159"/>
      <c r="B378" s="59"/>
      <c r="C378" s="24">
        <f t="shared" si="57"/>
        <v>1</v>
      </c>
      <c r="D378" s="720"/>
      <c r="E378" s="24">
        <f t="shared" si="58"/>
        <v>1</v>
      </c>
      <c r="F378" s="720"/>
      <c r="G378" s="24">
        <f t="shared" si="59"/>
        <v>0.03</v>
      </c>
      <c r="H378" s="720"/>
      <c r="I378" s="24">
        <f t="shared" si="60"/>
        <v>1</v>
      </c>
      <c r="J378" s="720"/>
      <c r="K378" s="24">
        <f t="shared" si="61"/>
        <v>1</v>
      </c>
      <c r="L378" s="720"/>
      <c r="M378" s="24">
        <f t="shared" si="62"/>
        <v>1</v>
      </c>
      <c r="N378" s="720"/>
      <c r="O378" s="24">
        <f t="shared" si="63"/>
        <v>1</v>
      </c>
      <c r="P378" s="720"/>
      <c r="Q378" s="24">
        <f t="shared" si="64"/>
        <v>1</v>
      </c>
      <c r="R378" s="716">
        <f t="shared" si="65"/>
        <v>0</v>
      </c>
      <c r="S378" s="361">
        <f t="shared" si="56"/>
        <v>0</v>
      </c>
    </row>
    <row r="379" spans="1:19">
      <c r="A379" s="159"/>
      <c r="B379" s="59"/>
      <c r="C379" s="24">
        <f t="shared" si="57"/>
        <v>1</v>
      </c>
      <c r="D379" s="720"/>
      <c r="E379" s="24">
        <f t="shared" si="58"/>
        <v>1</v>
      </c>
      <c r="F379" s="720"/>
      <c r="G379" s="24">
        <f t="shared" si="59"/>
        <v>0.03</v>
      </c>
      <c r="H379" s="720"/>
      <c r="I379" s="24">
        <f t="shared" si="60"/>
        <v>1</v>
      </c>
      <c r="J379" s="720"/>
      <c r="K379" s="24">
        <f t="shared" si="61"/>
        <v>1</v>
      </c>
      <c r="L379" s="720"/>
      <c r="M379" s="24">
        <f t="shared" si="62"/>
        <v>1</v>
      </c>
      <c r="N379" s="720"/>
      <c r="O379" s="24">
        <f t="shared" si="63"/>
        <v>1</v>
      </c>
      <c r="P379" s="720"/>
      <c r="Q379" s="24">
        <f t="shared" si="64"/>
        <v>1</v>
      </c>
      <c r="R379" s="716">
        <f t="shared" si="65"/>
        <v>0</v>
      </c>
      <c r="S379" s="361">
        <f t="shared" si="56"/>
        <v>0</v>
      </c>
    </row>
    <row r="380" spans="1:19">
      <c r="A380" s="159"/>
      <c r="B380" s="59"/>
      <c r="C380" s="24">
        <f t="shared" si="57"/>
        <v>1</v>
      </c>
      <c r="D380" s="720"/>
      <c r="E380" s="24">
        <f t="shared" si="58"/>
        <v>1</v>
      </c>
      <c r="F380" s="720"/>
      <c r="G380" s="24">
        <f t="shared" si="59"/>
        <v>0.03</v>
      </c>
      <c r="H380" s="720"/>
      <c r="I380" s="24">
        <f t="shared" si="60"/>
        <v>1</v>
      </c>
      <c r="J380" s="720"/>
      <c r="K380" s="24">
        <f t="shared" si="61"/>
        <v>1</v>
      </c>
      <c r="L380" s="720"/>
      <c r="M380" s="24">
        <f t="shared" si="62"/>
        <v>1</v>
      </c>
      <c r="N380" s="720"/>
      <c r="O380" s="24">
        <f t="shared" si="63"/>
        <v>1</v>
      </c>
      <c r="P380" s="720"/>
      <c r="Q380" s="24">
        <f t="shared" si="64"/>
        <v>1</v>
      </c>
      <c r="R380" s="716">
        <f t="shared" si="65"/>
        <v>0</v>
      </c>
      <c r="S380" s="361">
        <f t="shared" si="56"/>
        <v>0</v>
      </c>
    </row>
    <row r="381" spans="1:19">
      <c r="A381" s="159"/>
      <c r="B381" s="59"/>
      <c r="C381" s="24">
        <f t="shared" si="57"/>
        <v>1</v>
      </c>
      <c r="D381" s="720"/>
      <c r="E381" s="24">
        <f t="shared" si="58"/>
        <v>1</v>
      </c>
      <c r="F381" s="720"/>
      <c r="G381" s="24">
        <f t="shared" si="59"/>
        <v>0.03</v>
      </c>
      <c r="H381" s="720"/>
      <c r="I381" s="24">
        <f t="shared" si="60"/>
        <v>1</v>
      </c>
      <c r="J381" s="720"/>
      <c r="K381" s="24">
        <f t="shared" si="61"/>
        <v>1</v>
      </c>
      <c r="L381" s="720"/>
      <c r="M381" s="24">
        <f t="shared" si="62"/>
        <v>1</v>
      </c>
      <c r="N381" s="720"/>
      <c r="O381" s="24">
        <f t="shared" si="63"/>
        <v>1</v>
      </c>
      <c r="P381" s="720"/>
      <c r="Q381" s="24">
        <f t="shared" si="64"/>
        <v>1</v>
      </c>
      <c r="R381" s="716">
        <f t="shared" si="65"/>
        <v>0</v>
      </c>
      <c r="S381" s="361">
        <f t="shared" si="56"/>
        <v>0</v>
      </c>
    </row>
    <row r="382" spans="1:19">
      <c r="A382" s="159"/>
      <c r="B382" s="59"/>
      <c r="C382" s="24">
        <f t="shared" si="57"/>
        <v>1</v>
      </c>
      <c r="D382" s="720"/>
      <c r="E382" s="24">
        <f t="shared" si="58"/>
        <v>1</v>
      </c>
      <c r="F382" s="720"/>
      <c r="G382" s="24">
        <f t="shared" si="59"/>
        <v>0.03</v>
      </c>
      <c r="H382" s="720"/>
      <c r="I382" s="24">
        <f t="shared" si="60"/>
        <v>1</v>
      </c>
      <c r="J382" s="720"/>
      <c r="K382" s="24">
        <f t="shared" si="61"/>
        <v>1</v>
      </c>
      <c r="L382" s="720"/>
      <c r="M382" s="24">
        <f t="shared" si="62"/>
        <v>1</v>
      </c>
      <c r="N382" s="720"/>
      <c r="O382" s="24">
        <f t="shared" si="63"/>
        <v>1</v>
      </c>
      <c r="P382" s="720"/>
      <c r="Q382" s="24">
        <f t="shared" si="64"/>
        <v>1</v>
      </c>
      <c r="R382" s="716">
        <f t="shared" si="65"/>
        <v>0</v>
      </c>
      <c r="S382" s="361">
        <f t="shared" si="56"/>
        <v>0</v>
      </c>
    </row>
    <row r="383" spans="1:19">
      <c r="A383" s="159"/>
      <c r="B383" s="59"/>
      <c r="C383" s="24">
        <f t="shared" si="57"/>
        <v>1</v>
      </c>
      <c r="D383" s="720"/>
      <c r="E383" s="24">
        <f t="shared" si="58"/>
        <v>1</v>
      </c>
      <c r="F383" s="720"/>
      <c r="G383" s="24">
        <f t="shared" si="59"/>
        <v>0.03</v>
      </c>
      <c r="H383" s="720"/>
      <c r="I383" s="24">
        <f t="shared" si="60"/>
        <v>1</v>
      </c>
      <c r="J383" s="720"/>
      <c r="K383" s="24">
        <f t="shared" si="61"/>
        <v>1</v>
      </c>
      <c r="L383" s="720"/>
      <c r="M383" s="24">
        <f t="shared" si="62"/>
        <v>1</v>
      </c>
      <c r="N383" s="720"/>
      <c r="O383" s="24">
        <f t="shared" si="63"/>
        <v>1</v>
      </c>
      <c r="P383" s="720"/>
      <c r="Q383" s="24">
        <f t="shared" si="64"/>
        <v>1</v>
      </c>
      <c r="R383" s="716">
        <f t="shared" si="65"/>
        <v>0</v>
      </c>
      <c r="S383" s="361">
        <f t="shared" si="56"/>
        <v>0</v>
      </c>
    </row>
    <row r="384" spans="1:19">
      <c r="A384" s="159"/>
      <c r="B384" s="59"/>
      <c r="C384" s="24">
        <f t="shared" si="57"/>
        <v>1</v>
      </c>
      <c r="D384" s="720"/>
      <c r="E384" s="24">
        <f t="shared" si="58"/>
        <v>1</v>
      </c>
      <c r="F384" s="720"/>
      <c r="G384" s="24">
        <f t="shared" si="59"/>
        <v>0.03</v>
      </c>
      <c r="H384" s="720"/>
      <c r="I384" s="24">
        <f t="shared" si="60"/>
        <v>1</v>
      </c>
      <c r="J384" s="720"/>
      <c r="K384" s="24">
        <f t="shared" si="61"/>
        <v>1</v>
      </c>
      <c r="L384" s="720"/>
      <c r="M384" s="24">
        <f t="shared" si="62"/>
        <v>1</v>
      </c>
      <c r="N384" s="720"/>
      <c r="O384" s="24">
        <f t="shared" si="63"/>
        <v>1</v>
      </c>
      <c r="P384" s="720"/>
      <c r="Q384" s="24">
        <f t="shared" si="64"/>
        <v>1</v>
      </c>
      <c r="R384" s="716">
        <f t="shared" si="65"/>
        <v>0</v>
      </c>
      <c r="S384" s="361">
        <f t="shared" si="56"/>
        <v>0</v>
      </c>
    </row>
    <row r="385" spans="1:19">
      <c r="A385" s="159"/>
      <c r="B385" s="59"/>
      <c r="C385" s="24">
        <f t="shared" si="57"/>
        <v>1</v>
      </c>
      <c r="D385" s="720"/>
      <c r="E385" s="24">
        <f t="shared" si="58"/>
        <v>1</v>
      </c>
      <c r="F385" s="720"/>
      <c r="G385" s="24">
        <f t="shared" si="59"/>
        <v>0.03</v>
      </c>
      <c r="H385" s="720"/>
      <c r="I385" s="24">
        <f t="shared" si="60"/>
        <v>1</v>
      </c>
      <c r="J385" s="720"/>
      <c r="K385" s="24">
        <f t="shared" si="61"/>
        <v>1</v>
      </c>
      <c r="L385" s="720"/>
      <c r="M385" s="24">
        <f t="shared" si="62"/>
        <v>1</v>
      </c>
      <c r="N385" s="720"/>
      <c r="O385" s="24">
        <f t="shared" si="63"/>
        <v>1</v>
      </c>
      <c r="P385" s="720"/>
      <c r="Q385" s="24">
        <f t="shared" si="64"/>
        <v>1</v>
      </c>
      <c r="R385" s="716">
        <f t="shared" si="65"/>
        <v>0</v>
      </c>
      <c r="S385" s="361">
        <f t="shared" si="56"/>
        <v>0</v>
      </c>
    </row>
    <row r="386" spans="1:19">
      <c r="A386" s="159"/>
      <c r="B386" s="59"/>
      <c r="C386" s="24">
        <f t="shared" si="57"/>
        <v>1</v>
      </c>
      <c r="D386" s="720"/>
      <c r="E386" s="24">
        <f t="shared" si="58"/>
        <v>1</v>
      </c>
      <c r="F386" s="720"/>
      <c r="G386" s="24">
        <f t="shared" si="59"/>
        <v>0.03</v>
      </c>
      <c r="H386" s="720"/>
      <c r="I386" s="24">
        <f t="shared" si="60"/>
        <v>1</v>
      </c>
      <c r="J386" s="720"/>
      <c r="K386" s="24">
        <f t="shared" si="61"/>
        <v>1</v>
      </c>
      <c r="L386" s="720"/>
      <c r="M386" s="24">
        <f t="shared" si="62"/>
        <v>1</v>
      </c>
      <c r="N386" s="720"/>
      <c r="O386" s="24">
        <f t="shared" si="63"/>
        <v>1</v>
      </c>
      <c r="P386" s="720"/>
      <c r="Q386" s="24">
        <f t="shared" si="64"/>
        <v>1</v>
      </c>
      <c r="R386" s="716">
        <f t="shared" si="65"/>
        <v>0</v>
      </c>
      <c r="S386" s="361">
        <f t="shared" si="56"/>
        <v>0</v>
      </c>
    </row>
    <row r="387" spans="1:19">
      <c r="A387" s="159"/>
      <c r="B387" s="59"/>
      <c r="C387" s="24">
        <f t="shared" si="57"/>
        <v>1</v>
      </c>
      <c r="D387" s="720"/>
      <c r="E387" s="24">
        <f t="shared" si="58"/>
        <v>1</v>
      </c>
      <c r="F387" s="720"/>
      <c r="G387" s="24">
        <f t="shared" si="59"/>
        <v>0.03</v>
      </c>
      <c r="H387" s="720"/>
      <c r="I387" s="24">
        <f t="shared" si="60"/>
        <v>1</v>
      </c>
      <c r="J387" s="720"/>
      <c r="K387" s="24">
        <f t="shared" si="61"/>
        <v>1</v>
      </c>
      <c r="L387" s="720"/>
      <c r="M387" s="24">
        <f t="shared" si="62"/>
        <v>1</v>
      </c>
      <c r="N387" s="720"/>
      <c r="O387" s="24">
        <f t="shared" si="63"/>
        <v>1</v>
      </c>
      <c r="P387" s="720"/>
      <c r="Q387" s="24">
        <f t="shared" si="64"/>
        <v>1</v>
      </c>
      <c r="R387" s="716">
        <f t="shared" si="65"/>
        <v>0</v>
      </c>
      <c r="S387" s="361">
        <f t="shared" si="56"/>
        <v>0</v>
      </c>
    </row>
    <row r="388" spans="1:19">
      <c r="A388" s="159"/>
      <c r="B388" s="59"/>
      <c r="C388" s="24">
        <f t="shared" si="57"/>
        <v>1</v>
      </c>
      <c r="D388" s="720"/>
      <c r="E388" s="24">
        <f t="shared" si="58"/>
        <v>1</v>
      </c>
      <c r="F388" s="720"/>
      <c r="G388" s="24">
        <f t="shared" si="59"/>
        <v>0.03</v>
      </c>
      <c r="H388" s="720"/>
      <c r="I388" s="24">
        <f t="shared" si="60"/>
        <v>1</v>
      </c>
      <c r="J388" s="720"/>
      <c r="K388" s="24">
        <f t="shared" si="61"/>
        <v>1</v>
      </c>
      <c r="L388" s="720"/>
      <c r="M388" s="24">
        <f t="shared" si="62"/>
        <v>1</v>
      </c>
      <c r="N388" s="720"/>
      <c r="O388" s="24">
        <f t="shared" si="63"/>
        <v>1</v>
      </c>
      <c r="P388" s="720"/>
      <c r="Q388" s="24">
        <f t="shared" si="64"/>
        <v>1</v>
      </c>
      <c r="R388" s="716">
        <f t="shared" si="65"/>
        <v>0</v>
      </c>
      <c r="S388" s="361">
        <f t="shared" si="56"/>
        <v>0</v>
      </c>
    </row>
    <row r="389" spans="1:19">
      <c r="A389" s="159"/>
      <c r="B389" s="59"/>
      <c r="C389" s="24">
        <f t="shared" si="57"/>
        <v>1</v>
      </c>
      <c r="D389" s="720"/>
      <c r="E389" s="24">
        <f t="shared" si="58"/>
        <v>1</v>
      </c>
      <c r="F389" s="720"/>
      <c r="G389" s="24">
        <f t="shared" si="59"/>
        <v>0.03</v>
      </c>
      <c r="H389" s="720"/>
      <c r="I389" s="24">
        <f t="shared" si="60"/>
        <v>1</v>
      </c>
      <c r="J389" s="720"/>
      <c r="K389" s="24">
        <f t="shared" si="61"/>
        <v>1</v>
      </c>
      <c r="L389" s="720"/>
      <c r="M389" s="24">
        <f t="shared" si="62"/>
        <v>1</v>
      </c>
      <c r="N389" s="720"/>
      <c r="O389" s="24">
        <f t="shared" si="63"/>
        <v>1</v>
      </c>
      <c r="P389" s="720"/>
      <c r="Q389" s="24">
        <f t="shared" si="64"/>
        <v>1</v>
      </c>
      <c r="R389" s="716">
        <f t="shared" si="65"/>
        <v>0</v>
      </c>
      <c r="S389" s="361">
        <f t="shared" si="56"/>
        <v>0</v>
      </c>
    </row>
    <row r="390" spans="1:19">
      <c r="A390" s="159"/>
      <c r="B390" s="59"/>
      <c r="C390" s="24">
        <f t="shared" si="57"/>
        <v>1</v>
      </c>
      <c r="D390" s="720"/>
      <c r="E390" s="24">
        <f t="shared" si="58"/>
        <v>1</v>
      </c>
      <c r="F390" s="720"/>
      <c r="G390" s="24">
        <f t="shared" si="59"/>
        <v>0.03</v>
      </c>
      <c r="H390" s="720"/>
      <c r="I390" s="24">
        <f t="shared" si="60"/>
        <v>1</v>
      </c>
      <c r="J390" s="720"/>
      <c r="K390" s="24">
        <f t="shared" si="61"/>
        <v>1</v>
      </c>
      <c r="L390" s="720"/>
      <c r="M390" s="24">
        <f t="shared" si="62"/>
        <v>1</v>
      </c>
      <c r="N390" s="720"/>
      <c r="O390" s="24">
        <f t="shared" si="63"/>
        <v>1</v>
      </c>
      <c r="P390" s="720"/>
      <c r="Q390" s="24">
        <f t="shared" si="64"/>
        <v>1</v>
      </c>
      <c r="R390" s="716">
        <f t="shared" si="65"/>
        <v>0</v>
      </c>
      <c r="S390" s="361">
        <f t="shared" si="56"/>
        <v>0</v>
      </c>
    </row>
    <row r="391" spans="1:19">
      <c r="A391" s="159"/>
      <c r="B391" s="59"/>
      <c r="C391" s="24">
        <f t="shared" si="57"/>
        <v>1</v>
      </c>
      <c r="D391" s="720"/>
      <c r="E391" s="24">
        <f t="shared" si="58"/>
        <v>1</v>
      </c>
      <c r="F391" s="720"/>
      <c r="G391" s="24">
        <f t="shared" si="59"/>
        <v>0.03</v>
      </c>
      <c r="H391" s="720"/>
      <c r="I391" s="24">
        <f t="shared" si="60"/>
        <v>1</v>
      </c>
      <c r="J391" s="720"/>
      <c r="K391" s="24">
        <f t="shared" si="61"/>
        <v>1</v>
      </c>
      <c r="L391" s="720"/>
      <c r="M391" s="24">
        <f t="shared" si="62"/>
        <v>1</v>
      </c>
      <c r="N391" s="720"/>
      <c r="O391" s="24">
        <f t="shared" si="63"/>
        <v>1</v>
      </c>
      <c r="P391" s="720"/>
      <c r="Q391" s="24">
        <f t="shared" si="64"/>
        <v>1</v>
      </c>
      <c r="R391" s="716">
        <f t="shared" si="65"/>
        <v>0</v>
      </c>
      <c r="S391" s="361">
        <f t="shared" si="56"/>
        <v>0</v>
      </c>
    </row>
    <row r="392" spans="1:19">
      <c r="A392" s="159"/>
      <c r="B392" s="59"/>
      <c r="C392" s="24">
        <f t="shared" si="57"/>
        <v>1</v>
      </c>
      <c r="D392" s="720"/>
      <c r="E392" s="24">
        <f t="shared" si="58"/>
        <v>1</v>
      </c>
      <c r="F392" s="720"/>
      <c r="G392" s="24">
        <f t="shared" si="59"/>
        <v>0.03</v>
      </c>
      <c r="H392" s="720"/>
      <c r="I392" s="24">
        <f t="shared" si="60"/>
        <v>1</v>
      </c>
      <c r="J392" s="720"/>
      <c r="K392" s="24">
        <f t="shared" si="61"/>
        <v>1</v>
      </c>
      <c r="L392" s="720"/>
      <c r="M392" s="24">
        <f t="shared" si="62"/>
        <v>1</v>
      </c>
      <c r="N392" s="720"/>
      <c r="O392" s="24">
        <f t="shared" si="63"/>
        <v>1</v>
      </c>
      <c r="P392" s="720"/>
      <c r="Q392" s="24">
        <f t="shared" si="64"/>
        <v>1</v>
      </c>
      <c r="R392" s="716">
        <f t="shared" si="65"/>
        <v>0</v>
      </c>
      <c r="S392" s="361">
        <f t="shared" si="56"/>
        <v>0</v>
      </c>
    </row>
    <row r="393" spans="1:19">
      <c r="A393" s="159"/>
      <c r="B393" s="59"/>
      <c r="C393" s="24">
        <f t="shared" si="57"/>
        <v>1</v>
      </c>
      <c r="D393" s="720"/>
      <c r="E393" s="24">
        <f t="shared" si="58"/>
        <v>1</v>
      </c>
      <c r="F393" s="720"/>
      <c r="G393" s="24">
        <f t="shared" si="59"/>
        <v>0.03</v>
      </c>
      <c r="H393" s="720"/>
      <c r="I393" s="24">
        <f t="shared" si="60"/>
        <v>1</v>
      </c>
      <c r="J393" s="720"/>
      <c r="K393" s="24">
        <f t="shared" si="61"/>
        <v>1</v>
      </c>
      <c r="L393" s="720"/>
      <c r="M393" s="24">
        <f t="shared" si="62"/>
        <v>1</v>
      </c>
      <c r="N393" s="720"/>
      <c r="O393" s="24">
        <f t="shared" si="63"/>
        <v>1</v>
      </c>
      <c r="P393" s="720"/>
      <c r="Q393" s="24">
        <f t="shared" si="64"/>
        <v>1</v>
      </c>
      <c r="R393" s="716">
        <f t="shared" si="65"/>
        <v>0</v>
      </c>
      <c r="S393" s="361">
        <f t="shared" si="56"/>
        <v>0</v>
      </c>
    </row>
    <row r="394" spans="1:19">
      <c r="A394" s="159"/>
      <c r="B394" s="59"/>
      <c r="C394" s="24">
        <f t="shared" si="57"/>
        <v>1</v>
      </c>
      <c r="D394" s="720"/>
      <c r="E394" s="24">
        <f t="shared" si="58"/>
        <v>1</v>
      </c>
      <c r="F394" s="720"/>
      <c r="G394" s="24">
        <f t="shared" si="59"/>
        <v>0.03</v>
      </c>
      <c r="H394" s="720"/>
      <c r="I394" s="24">
        <f t="shared" si="60"/>
        <v>1</v>
      </c>
      <c r="J394" s="720"/>
      <c r="K394" s="24">
        <f t="shared" si="61"/>
        <v>1</v>
      </c>
      <c r="L394" s="720"/>
      <c r="M394" s="24">
        <f t="shared" si="62"/>
        <v>1</v>
      </c>
      <c r="N394" s="720"/>
      <c r="O394" s="24">
        <f t="shared" si="63"/>
        <v>1</v>
      </c>
      <c r="P394" s="720"/>
      <c r="Q394" s="24">
        <f t="shared" si="64"/>
        <v>1</v>
      </c>
      <c r="R394" s="716">
        <f t="shared" si="65"/>
        <v>0</v>
      </c>
      <c r="S394" s="361">
        <f t="shared" si="56"/>
        <v>0</v>
      </c>
    </row>
    <row r="395" spans="1:19">
      <c r="A395" s="159"/>
      <c r="B395" s="59"/>
      <c r="C395" s="24">
        <f t="shared" si="57"/>
        <v>1</v>
      </c>
      <c r="D395" s="720"/>
      <c r="E395" s="24">
        <f t="shared" si="58"/>
        <v>1</v>
      </c>
      <c r="F395" s="720"/>
      <c r="G395" s="24">
        <f t="shared" si="59"/>
        <v>0.03</v>
      </c>
      <c r="H395" s="720"/>
      <c r="I395" s="24">
        <f t="shared" si="60"/>
        <v>1</v>
      </c>
      <c r="J395" s="720"/>
      <c r="K395" s="24">
        <f t="shared" si="61"/>
        <v>1</v>
      </c>
      <c r="L395" s="720"/>
      <c r="M395" s="24">
        <f t="shared" si="62"/>
        <v>1</v>
      </c>
      <c r="N395" s="720"/>
      <c r="O395" s="24">
        <f t="shared" si="63"/>
        <v>1</v>
      </c>
      <c r="P395" s="720"/>
      <c r="Q395" s="24">
        <f t="shared" si="64"/>
        <v>1</v>
      </c>
      <c r="R395" s="716">
        <f t="shared" si="65"/>
        <v>0</v>
      </c>
      <c r="S395" s="361">
        <f t="shared" si="56"/>
        <v>0</v>
      </c>
    </row>
    <row r="396" spans="1:19">
      <c r="A396" s="159"/>
      <c r="B396" s="59"/>
      <c r="C396" s="24">
        <f t="shared" si="57"/>
        <v>1</v>
      </c>
      <c r="D396" s="720"/>
      <c r="E396" s="24">
        <f t="shared" si="58"/>
        <v>1</v>
      </c>
      <c r="F396" s="720"/>
      <c r="G396" s="24">
        <f t="shared" si="59"/>
        <v>0.03</v>
      </c>
      <c r="H396" s="720"/>
      <c r="I396" s="24">
        <f t="shared" si="60"/>
        <v>1</v>
      </c>
      <c r="J396" s="720"/>
      <c r="K396" s="24">
        <f t="shared" si="61"/>
        <v>1</v>
      </c>
      <c r="L396" s="720"/>
      <c r="M396" s="24">
        <f t="shared" si="62"/>
        <v>1</v>
      </c>
      <c r="N396" s="720"/>
      <c r="O396" s="24">
        <f t="shared" si="63"/>
        <v>1</v>
      </c>
      <c r="P396" s="720"/>
      <c r="Q396" s="24">
        <f t="shared" si="64"/>
        <v>1</v>
      </c>
      <c r="R396" s="716">
        <f t="shared" si="65"/>
        <v>0</v>
      </c>
      <c r="S396" s="361">
        <f t="shared" si="56"/>
        <v>0</v>
      </c>
    </row>
    <row r="397" spans="1:19">
      <c r="A397" s="159"/>
      <c r="B397" s="59"/>
      <c r="C397" s="24">
        <f t="shared" si="57"/>
        <v>1</v>
      </c>
      <c r="D397" s="720"/>
      <c r="E397" s="24">
        <f t="shared" si="58"/>
        <v>1</v>
      </c>
      <c r="F397" s="720"/>
      <c r="G397" s="24">
        <f t="shared" si="59"/>
        <v>0.03</v>
      </c>
      <c r="H397" s="720"/>
      <c r="I397" s="24">
        <f t="shared" si="60"/>
        <v>1</v>
      </c>
      <c r="J397" s="720"/>
      <c r="K397" s="24">
        <f t="shared" si="61"/>
        <v>1</v>
      </c>
      <c r="L397" s="720"/>
      <c r="M397" s="24">
        <f t="shared" si="62"/>
        <v>1</v>
      </c>
      <c r="N397" s="720"/>
      <c r="O397" s="24">
        <f t="shared" si="63"/>
        <v>1</v>
      </c>
      <c r="P397" s="720"/>
      <c r="Q397" s="24">
        <f t="shared" si="64"/>
        <v>1</v>
      </c>
      <c r="R397" s="716">
        <f t="shared" si="65"/>
        <v>0</v>
      </c>
      <c r="S397" s="361">
        <f t="shared" si="56"/>
        <v>0</v>
      </c>
    </row>
    <row r="398" spans="1:19">
      <c r="A398" s="159"/>
      <c r="B398" s="59"/>
      <c r="C398" s="24">
        <f t="shared" si="57"/>
        <v>1</v>
      </c>
      <c r="D398" s="720"/>
      <c r="E398" s="24">
        <f t="shared" si="58"/>
        <v>1</v>
      </c>
      <c r="F398" s="720"/>
      <c r="G398" s="24">
        <f t="shared" si="59"/>
        <v>0.03</v>
      </c>
      <c r="H398" s="720"/>
      <c r="I398" s="24">
        <f t="shared" si="60"/>
        <v>1</v>
      </c>
      <c r="J398" s="720"/>
      <c r="K398" s="24">
        <f t="shared" si="61"/>
        <v>1</v>
      </c>
      <c r="L398" s="720"/>
      <c r="M398" s="24">
        <f t="shared" si="62"/>
        <v>1</v>
      </c>
      <c r="N398" s="720"/>
      <c r="O398" s="24">
        <f t="shared" si="63"/>
        <v>1</v>
      </c>
      <c r="P398" s="720"/>
      <c r="Q398" s="24">
        <f t="shared" si="64"/>
        <v>1</v>
      </c>
      <c r="R398" s="716">
        <f t="shared" si="65"/>
        <v>0</v>
      </c>
      <c r="S398" s="361">
        <f t="shared" si="56"/>
        <v>0</v>
      </c>
    </row>
    <row r="399" spans="1:19">
      <c r="A399" s="159"/>
      <c r="B399" s="59"/>
      <c r="C399" s="24">
        <f t="shared" si="57"/>
        <v>1</v>
      </c>
      <c r="D399" s="720"/>
      <c r="E399" s="24">
        <f t="shared" si="58"/>
        <v>1</v>
      </c>
      <c r="F399" s="720"/>
      <c r="G399" s="24">
        <f t="shared" si="59"/>
        <v>0.03</v>
      </c>
      <c r="H399" s="720"/>
      <c r="I399" s="24">
        <f t="shared" si="60"/>
        <v>1</v>
      </c>
      <c r="J399" s="720"/>
      <c r="K399" s="24">
        <f t="shared" si="61"/>
        <v>1</v>
      </c>
      <c r="L399" s="720"/>
      <c r="M399" s="24">
        <f t="shared" si="62"/>
        <v>1</v>
      </c>
      <c r="N399" s="720"/>
      <c r="O399" s="24">
        <f t="shared" si="63"/>
        <v>1</v>
      </c>
      <c r="P399" s="720"/>
      <c r="Q399" s="24">
        <f t="shared" si="64"/>
        <v>1</v>
      </c>
      <c r="R399" s="716">
        <f t="shared" si="65"/>
        <v>0</v>
      </c>
      <c r="S399" s="361">
        <f t="shared" si="56"/>
        <v>0</v>
      </c>
    </row>
    <row r="400" spans="1:19">
      <c r="A400" s="159"/>
      <c r="B400" s="59"/>
      <c r="C400" s="24">
        <f t="shared" si="57"/>
        <v>1</v>
      </c>
      <c r="D400" s="720"/>
      <c r="E400" s="24">
        <f t="shared" si="58"/>
        <v>1</v>
      </c>
      <c r="F400" s="720"/>
      <c r="G400" s="24">
        <f t="shared" si="59"/>
        <v>0.03</v>
      </c>
      <c r="H400" s="720"/>
      <c r="I400" s="24">
        <f t="shared" si="60"/>
        <v>1</v>
      </c>
      <c r="J400" s="720"/>
      <c r="K400" s="24">
        <f t="shared" si="61"/>
        <v>1</v>
      </c>
      <c r="L400" s="720"/>
      <c r="M400" s="24">
        <f t="shared" si="62"/>
        <v>1</v>
      </c>
      <c r="N400" s="720"/>
      <c r="O400" s="24">
        <f t="shared" si="63"/>
        <v>1</v>
      </c>
      <c r="P400" s="720"/>
      <c r="Q400" s="24">
        <f t="shared" si="64"/>
        <v>1</v>
      </c>
      <c r="R400" s="716">
        <f t="shared" si="65"/>
        <v>0</v>
      </c>
      <c r="S400" s="361">
        <f t="shared" si="56"/>
        <v>0</v>
      </c>
    </row>
    <row r="401" spans="1:19">
      <c r="A401" s="159"/>
      <c r="B401" s="59"/>
      <c r="C401" s="24">
        <f t="shared" si="57"/>
        <v>1</v>
      </c>
      <c r="D401" s="720"/>
      <c r="E401" s="24">
        <f t="shared" si="58"/>
        <v>1</v>
      </c>
      <c r="F401" s="720"/>
      <c r="G401" s="24">
        <f t="shared" si="59"/>
        <v>0.03</v>
      </c>
      <c r="H401" s="720"/>
      <c r="I401" s="24">
        <f t="shared" si="60"/>
        <v>1</v>
      </c>
      <c r="J401" s="720"/>
      <c r="K401" s="24">
        <f t="shared" si="61"/>
        <v>1</v>
      </c>
      <c r="L401" s="720"/>
      <c r="M401" s="24">
        <f t="shared" si="62"/>
        <v>1</v>
      </c>
      <c r="N401" s="720"/>
      <c r="O401" s="24">
        <f t="shared" si="63"/>
        <v>1</v>
      </c>
      <c r="P401" s="720"/>
      <c r="Q401" s="24">
        <f t="shared" si="64"/>
        <v>1</v>
      </c>
      <c r="R401" s="716">
        <f t="shared" si="65"/>
        <v>0</v>
      </c>
      <c r="S401" s="361">
        <f t="shared" si="56"/>
        <v>0</v>
      </c>
    </row>
    <row r="402" spans="1:19">
      <c r="A402" s="159"/>
      <c r="B402" s="59"/>
      <c r="C402" s="24">
        <f t="shared" si="57"/>
        <v>1</v>
      </c>
      <c r="D402" s="720"/>
      <c r="E402" s="24">
        <f t="shared" si="58"/>
        <v>1</v>
      </c>
      <c r="F402" s="720"/>
      <c r="G402" s="24">
        <f t="shared" si="59"/>
        <v>0.03</v>
      </c>
      <c r="H402" s="720"/>
      <c r="I402" s="24">
        <f t="shared" si="60"/>
        <v>1</v>
      </c>
      <c r="J402" s="720"/>
      <c r="K402" s="24">
        <f t="shared" si="61"/>
        <v>1</v>
      </c>
      <c r="L402" s="720"/>
      <c r="M402" s="24">
        <f t="shared" si="62"/>
        <v>1</v>
      </c>
      <c r="N402" s="720"/>
      <c r="O402" s="24">
        <f t="shared" si="63"/>
        <v>1</v>
      </c>
      <c r="P402" s="720"/>
      <c r="Q402" s="24">
        <f t="shared" si="64"/>
        <v>1</v>
      </c>
      <c r="R402" s="716">
        <f t="shared" si="65"/>
        <v>0</v>
      </c>
      <c r="S402" s="361">
        <f t="shared" si="56"/>
        <v>0</v>
      </c>
    </row>
    <row r="403" spans="1:19">
      <c r="A403" s="159"/>
      <c r="B403" s="59"/>
      <c r="C403" s="24">
        <f t="shared" si="57"/>
        <v>1</v>
      </c>
      <c r="D403" s="720"/>
      <c r="E403" s="24">
        <f t="shared" si="58"/>
        <v>1</v>
      </c>
      <c r="F403" s="720"/>
      <c r="G403" s="24">
        <f t="shared" si="59"/>
        <v>0.03</v>
      </c>
      <c r="H403" s="720"/>
      <c r="I403" s="24">
        <f t="shared" si="60"/>
        <v>1</v>
      </c>
      <c r="J403" s="720"/>
      <c r="K403" s="24">
        <f t="shared" si="61"/>
        <v>1</v>
      </c>
      <c r="L403" s="720"/>
      <c r="M403" s="24">
        <f t="shared" si="62"/>
        <v>1</v>
      </c>
      <c r="N403" s="720"/>
      <c r="O403" s="24">
        <f t="shared" si="63"/>
        <v>1</v>
      </c>
      <c r="P403" s="720"/>
      <c r="Q403" s="24">
        <f t="shared" si="64"/>
        <v>1</v>
      </c>
      <c r="R403" s="716">
        <f t="shared" si="65"/>
        <v>0</v>
      </c>
      <c r="S403" s="361">
        <f t="shared" si="56"/>
        <v>0</v>
      </c>
    </row>
    <row r="404" spans="1:19">
      <c r="A404" s="159"/>
      <c r="B404" s="59"/>
      <c r="C404" s="24">
        <f t="shared" si="57"/>
        <v>1</v>
      </c>
      <c r="D404" s="720"/>
      <c r="E404" s="24">
        <f t="shared" si="58"/>
        <v>1</v>
      </c>
      <c r="F404" s="720"/>
      <c r="G404" s="24">
        <f t="shared" si="59"/>
        <v>0.03</v>
      </c>
      <c r="H404" s="720"/>
      <c r="I404" s="24">
        <f t="shared" si="60"/>
        <v>1</v>
      </c>
      <c r="J404" s="720"/>
      <c r="K404" s="24">
        <f t="shared" si="61"/>
        <v>1</v>
      </c>
      <c r="L404" s="720"/>
      <c r="M404" s="24">
        <f t="shared" si="62"/>
        <v>1</v>
      </c>
      <c r="N404" s="720"/>
      <c r="O404" s="24">
        <f t="shared" si="63"/>
        <v>1</v>
      </c>
      <c r="P404" s="720"/>
      <c r="Q404" s="24">
        <f t="shared" si="64"/>
        <v>1</v>
      </c>
      <c r="R404" s="716">
        <f t="shared" si="65"/>
        <v>0</v>
      </c>
      <c r="S404" s="361">
        <f t="shared" si="56"/>
        <v>0</v>
      </c>
    </row>
    <row r="405" spans="1:19">
      <c r="A405" s="159"/>
      <c r="B405" s="59"/>
      <c r="C405" s="24">
        <f t="shared" si="57"/>
        <v>1</v>
      </c>
      <c r="D405" s="720"/>
      <c r="E405" s="24">
        <f t="shared" si="58"/>
        <v>1</v>
      </c>
      <c r="F405" s="720"/>
      <c r="G405" s="24">
        <f t="shared" si="59"/>
        <v>0.03</v>
      </c>
      <c r="H405" s="720"/>
      <c r="I405" s="24">
        <f t="shared" si="60"/>
        <v>1</v>
      </c>
      <c r="J405" s="720"/>
      <c r="K405" s="24">
        <f t="shared" si="61"/>
        <v>1</v>
      </c>
      <c r="L405" s="720"/>
      <c r="M405" s="24">
        <f t="shared" si="62"/>
        <v>1</v>
      </c>
      <c r="N405" s="720"/>
      <c r="O405" s="24">
        <f t="shared" si="63"/>
        <v>1</v>
      </c>
      <c r="P405" s="720"/>
      <c r="Q405" s="24">
        <f t="shared" si="64"/>
        <v>1</v>
      </c>
      <c r="R405" s="716">
        <f t="shared" si="65"/>
        <v>0</v>
      </c>
      <c r="S405" s="361">
        <f t="shared" si="56"/>
        <v>0</v>
      </c>
    </row>
    <row r="406" spans="1:19">
      <c r="A406" s="159"/>
      <c r="B406" s="59"/>
      <c r="C406" s="24">
        <f t="shared" si="57"/>
        <v>1</v>
      </c>
      <c r="D406" s="720"/>
      <c r="E406" s="24">
        <f t="shared" si="58"/>
        <v>1</v>
      </c>
      <c r="F406" s="720"/>
      <c r="G406" s="24">
        <f t="shared" si="59"/>
        <v>0.03</v>
      </c>
      <c r="H406" s="720"/>
      <c r="I406" s="24">
        <f t="shared" si="60"/>
        <v>1</v>
      </c>
      <c r="J406" s="720"/>
      <c r="K406" s="24">
        <f t="shared" si="61"/>
        <v>1</v>
      </c>
      <c r="L406" s="720"/>
      <c r="M406" s="24">
        <f t="shared" si="62"/>
        <v>1</v>
      </c>
      <c r="N406" s="720"/>
      <c r="O406" s="24">
        <f t="shared" si="63"/>
        <v>1</v>
      </c>
      <c r="P406" s="720"/>
      <c r="Q406" s="24">
        <f t="shared" si="64"/>
        <v>1</v>
      </c>
      <c r="R406" s="716">
        <f t="shared" si="65"/>
        <v>0</v>
      </c>
      <c r="S406" s="361">
        <f t="shared" si="56"/>
        <v>0</v>
      </c>
    </row>
    <row r="407" spans="1:19">
      <c r="A407" s="159"/>
      <c r="B407" s="59"/>
      <c r="C407" s="24">
        <f t="shared" si="57"/>
        <v>1</v>
      </c>
      <c r="D407" s="720"/>
      <c r="E407" s="24">
        <f t="shared" si="58"/>
        <v>1</v>
      </c>
      <c r="F407" s="720"/>
      <c r="G407" s="24">
        <f t="shared" si="59"/>
        <v>0.03</v>
      </c>
      <c r="H407" s="720"/>
      <c r="I407" s="24">
        <f t="shared" si="60"/>
        <v>1</v>
      </c>
      <c r="J407" s="720"/>
      <c r="K407" s="24">
        <f t="shared" si="61"/>
        <v>1</v>
      </c>
      <c r="L407" s="720"/>
      <c r="M407" s="24">
        <f t="shared" si="62"/>
        <v>1</v>
      </c>
      <c r="N407" s="720"/>
      <c r="O407" s="24">
        <f t="shared" si="63"/>
        <v>1</v>
      </c>
      <c r="P407" s="720"/>
      <c r="Q407" s="24">
        <f t="shared" si="64"/>
        <v>1</v>
      </c>
      <c r="R407" s="716">
        <f t="shared" si="65"/>
        <v>0</v>
      </c>
      <c r="S407" s="361">
        <f t="shared" si="56"/>
        <v>0</v>
      </c>
    </row>
    <row r="408" spans="1:19">
      <c r="A408" s="159"/>
      <c r="B408" s="59"/>
      <c r="C408" s="24">
        <f t="shared" si="57"/>
        <v>1</v>
      </c>
      <c r="D408" s="720"/>
      <c r="E408" s="24">
        <f t="shared" si="58"/>
        <v>1</v>
      </c>
      <c r="F408" s="720"/>
      <c r="G408" s="24">
        <f t="shared" si="59"/>
        <v>0.03</v>
      </c>
      <c r="H408" s="720"/>
      <c r="I408" s="24">
        <f t="shared" si="60"/>
        <v>1</v>
      </c>
      <c r="J408" s="720"/>
      <c r="K408" s="24">
        <f t="shared" si="61"/>
        <v>1</v>
      </c>
      <c r="L408" s="720"/>
      <c r="M408" s="24">
        <f t="shared" si="62"/>
        <v>1</v>
      </c>
      <c r="N408" s="720"/>
      <c r="O408" s="24">
        <f t="shared" si="63"/>
        <v>1</v>
      </c>
      <c r="P408" s="720"/>
      <c r="Q408" s="24">
        <f t="shared" si="64"/>
        <v>1</v>
      </c>
      <c r="R408" s="716">
        <f t="shared" si="65"/>
        <v>0</v>
      </c>
      <c r="S408" s="361">
        <f t="shared" ref="S408:S471" si="66">ROUND(R408*B408/10000,0)</f>
        <v>0</v>
      </c>
    </row>
    <row r="409" spans="1:19">
      <c r="A409" s="159"/>
      <c r="B409" s="59"/>
      <c r="C409" s="24">
        <f t="shared" si="57"/>
        <v>1</v>
      </c>
      <c r="D409" s="720"/>
      <c r="E409" s="24">
        <f t="shared" si="58"/>
        <v>1</v>
      </c>
      <c r="F409" s="720"/>
      <c r="G409" s="24">
        <f t="shared" si="59"/>
        <v>0.03</v>
      </c>
      <c r="H409" s="720"/>
      <c r="I409" s="24">
        <f t="shared" si="60"/>
        <v>1</v>
      </c>
      <c r="J409" s="720"/>
      <c r="K409" s="24">
        <f t="shared" si="61"/>
        <v>1</v>
      </c>
      <c r="L409" s="720"/>
      <c r="M409" s="24">
        <f t="shared" si="62"/>
        <v>1</v>
      </c>
      <c r="N409" s="720"/>
      <c r="O409" s="24">
        <f t="shared" si="63"/>
        <v>1</v>
      </c>
      <c r="P409" s="720"/>
      <c r="Q409" s="24">
        <f t="shared" si="64"/>
        <v>1</v>
      </c>
      <c r="R409" s="716">
        <f t="shared" si="65"/>
        <v>0</v>
      </c>
      <c r="S409" s="361">
        <f t="shared" si="66"/>
        <v>0</v>
      </c>
    </row>
    <row r="410" spans="1:19">
      <c r="A410" s="159"/>
      <c r="B410" s="59"/>
      <c r="C410" s="24">
        <f t="shared" ref="C410:C473" si="67">IF(B410="",1,(LOOKUP(B410,$3:$3,$4:$4)-LOOKUP($B$24,$3:$3,$4:$4)+100)/100)</f>
        <v>1</v>
      </c>
      <c r="D410" s="720"/>
      <c r="E410" s="24">
        <f t="shared" ref="E410:E473" si="68">(SUMIF($5:$5,D410,$6:$6)-SUMIF($5:$5,$D$24,$6:$6)+100)/100</f>
        <v>1</v>
      </c>
      <c r="F410" s="720"/>
      <c r="G410" s="24">
        <f t="shared" ref="G410:G473" si="69">(SUMIF($7:$7,F410,$8:$8)-SUMIF($7:$7,$F$24,$8:$8)+100)/100</f>
        <v>0.03</v>
      </c>
      <c r="H410" s="720"/>
      <c r="I410" s="24">
        <f t="shared" ref="I410:I473" si="70">(SUMIF($9:$9,H410,$10:$10)-SUMIF($9:$9,$H$24,$10:$10)+100)/100</f>
        <v>1</v>
      </c>
      <c r="J410" s="720"/>
      <c r="K410" s="24">
        <f t="shared" ref="K410:K473" si="71">(SUMIF($11:$11,J410,$12:$12)-SUMIF($11:$11,$J$24,$12:$12)+100)/100</f>
        <v>1</v>
      </c>
      <c r="L410" s="720"/>
      <c r="M410" s="24">
        <f t="shared" ref="M410:M473" si="72">(SUMIF($13:$13,L410,$14:$14)-SUMIF($13:$13,$L$24,$14:$14)+100)/100</f>
        <v>1</v>
      </c>
      <c r="N410" s="720"/>
      <c r="O410" s="24">
        <f t="shared" ref="O410:O473" si="73">(SUMIF($15:$15,N410,$16:$16)-SUMIF($15:$15,$N$24,$16:$16)+100)/100</f>
        <v>1</v>
      </c>
      <c r="P410" s="720"/>
      <c r="Q410" s="24">
        <f t="shared" ref="Q410:Q473" si="74">(SUMIF($17:$17,P410,$18:$18)-SUMIF($17:$17,$P$24,$18:$18)+100)/100</f>
        <v>1</v>
      </c>
      <c r="R410" s="716">
        <f t="shared" ref="R410:R473" si="75">IF(B410="",0,ROUND($R$24*C410*E410*G410*I410*K410*M410*O410*Q410,0))</f>
        <v>0</v>
      </c>
      <c r="S410" s="361">
        <f t="shared" si="66"/>
        <v>0</v>
      </c>
    </row>
    <row r="411" spans="1:19">
      <c r="A411" s="159"/>
      <c r="B411" s="59"/>
      <c r="C411" s="24">
        <f t="shared" si="67"/>
        <v>1</v>
      </c>
      <c r="D411" s="720"/>
      <c r="E411" s="24">
        <f t="shared" si="68"/>
        <v>1</v>
      </c>
      <c r="F411" s="720"/>
      <c r="G411" s="24">
        <f t="shared" si="69"/>
        <v>0.03</v>
      </c>
      <c r="H411" s="720"/>
      <c r="I411" s="24">
        <f t="shared" si="70"/>
        <v>1</v>
      </c>
      <c r="J411" s="720"/>
      <c r="K411" s="24">
        <f t="shared" si="71"/>
        <v>1</v>
      </c>
      <c r="L411" s="720"/>
      <c r="M411" s="24">
        <f t="shared" si="72"/>
        <v>1</v>
      </c>
      <c r="N411" s="720"/>
      <c r="O411" s="24">
        <f t="shared" si="73"/>
        <v>1</v>
      </c>
      <c r="P411" s="720"/>
      <c r="Q411" s="24">
        <f t="shared" si="74"/>
        <v>1</v>
      </c>
      <c r="R411" s="716">
        <f t="shared" si="75"/>
        <v>0</v>
      </c>
      <c r="S411" s="361">
        <f t="shared" si="66"/>
        <v>0</v>
      </c>
    </row>
    <row r="412" spans="1:19">
      <c r="A412" s="159"/>
      <c r="B412" s="59"/>
      <c r="C412" s="24">
        <f t="shared" si="67"/>
        <v>1</v>
      </c>
      <c r="D412" s="720"/>
      <c r="E412" s="24">
        <f t="shared" si="68"/>
        <v>1</v>
      </c>
      <c r="F412" s="720"/>
      <c r="G412" s="24">
        <f t="shared" si="69"/>
        <v>0.03</v>
      </c>
      <c r="H412" s="720"/>
      <c r="I412" s="24">
        <f t="shared" si="70"/>
        <v>1</v>
      </c>
      <c r="J412" s="720"/>
      <c r="K412" s="24">
        <f t="shared" si="71"/>
        <v>1</v>
      </c>
      <c r="L412" s="720"/>
      <c r="M412" s="24">
        <f t="shared" si="72"/>
        <v>1</v>
      </c>
      <c r="N412" s="720"/>
      <c r="O412" s="24">
        <f t="shared" si="73"/>
        <v>1</v>
      </c>
      <c r="P412" s="720"/>
      <c r="Q412" s="24">
        <f t="shared" si="74"/>
        <v>1</v>
      </c>
      <c r="R412" s="716">
        <f t="shared" si="75"/>
        <v>0</v>
      </c>
      <c r="S412" s="361">
        <f t="shared" si="66"/>
        <v>0</v>
      </c>
    </row>
    <row r="413" spans="1:19">
      <c r="A413" s="159"/>
      <c r="B413" s="59"/>
      <c r="C413" s="24">
        <f t="shared" si="67"/>
        <v>1</v>
      </c>
      <c r="D413" s="720"/>
      <c r="E413" s="24">
        <f t="shared" si="68"/>
        <v>1</v>
      </c>
      <c r="F413" s="720"/>
      <c r="G413" s="24">
        <f t="shared" si="69"/>
        <v>0.03</v>
      </c>
      <c r="H413" s="720"/>
      <c r="I413" s="24">
        <f t="shared" si="70"/>
        <v>1</v>
      </c>
      <c r="J413" s="720"/>
      <c r="K413" s="24">
        <f t="shared" si="71"/>
        <v>1</v>
      </c>
      <c r="L413" s="720"/>
      <c r="M413" s="24">
        <f t="shared" si="72"/>
        <v>1</v>
      </c>
      <c r="N413" s="720"/>
      <c r="O413" s="24">
        <f t="shared" si="73"/>
        <v>1</v>
      </c>
      <c r="P413" s="720"/>
      <c r="Q413" s="24">
        <f t="shared" si="74"/>
        <v>1</v>
      </c>
      <c r="R413" s="716">
        <f t="shared" si="75"/>
        <v>0</v>
      </c>
      <c r="S413" s="361">
        <f t="shared" si="66"/>
        <v>0</v>
      </c>
    </row>
    <row r="414" spans="1:19">
      <c r="A414" s="159"/>
      <c r="B414" s="59"/>
      <c r="C414" s="24">
        <f t="shared" si="67"/>
        <v>1</v>
      </c>
      <c r="D414" s="720"/>
      <c r="E414" s="24">
        <f t="shared" si="68"/>
        <v>1</v>
      </c>
      <c r="F414" s="720"/>
      <c r="G414" s="24">
        <f t="shared" si="69"/>
        <v>0.03</v>
      </c>
      <c r="H414" s="720"/>
      <c r="I414" s="24">
        <f t="shared" si="70"/>
        <v>1</v>
      </c>
      <c r="J414" s="720"/>
      <c r="K414" s="24">
        <f t="shared" si="71"/>
        <v>1</v>
      </c>
      <c r="L414" s="720"/>
      <c r="M414" s="24">
        <f t="shared" si="72"/>
        <v>1</v>
      </c>
      <c r="N414" s="720"/>
      <c r="O414" s="24">
        <f t="shared" si="73"/>
        <v>1</v>
      </c>
      <c r="P414" s="720"/>
      <c r="Q414" s="24">
        <f t="shared" si="74"/>
        <v>1</v>
      </c>
      <c r="R414" s="716">
        <f t="shared" si="75"/>
        <v>0</v>
      </c>
      <c r="S414" s="361">
        <f t="shared" si="66"/>
        <v>0</v>
      </c>
    </row>
    <row r="415" spans="1:19">
      <c r="A415" s="159"/>
      <c r="B415" s="59"/>
      <c r="C415" s="24">
        <f t="shared" si="67"/>
        <v>1</v>
      </c>
      <c r="D415" s="720"/>
      <c r="E415" s="24">
        <f t="shared" si="68"/>
        <v>1</v>
      </c>
      <c r="F415" s="720"/>
      <c r="G415" s="24">
        <f t="shared" si="69"/>
        <v>0.03</v>
      </c>
      <c r="H415" s="720"/>
      <c r="I415" s="24">
        <f t="shared" si="70"/>
        <v>1</v>
      </c>
      <c r="J415" s="720"/>
      <c r="K415" s="24">
        <f t="shared" si="71"/>
        <v>1</v>
      </c>
      <c r="L415" s="720"/>
      <c r="M415" s="24">
        <f t="shared" si="72"/>
        <v>1</v>
      </c>
      <c r="N415" s="720"/>
      <c r="O415" s="24">
        <f t="shared" si="73"/>
        <v>1</v>
      </c>
      <c r="P415" s="720"/>
      <c r="Q415" s="24">
        <f t="shared" si="74"/>
        <v>1</v>
      </c>
      <c r="R415" s="716">
        <f t="shared" si="75"/>
        <v>0</v>
      </c>
      <c r="S415" s="361">
        <f t="shared" si="66"/>
        <v>0</v>
      </c>
    </row>
    <row r="416" spans="1:19">
      <c r="A416" s="159"/>
      <c r="B416" s="59"/>
      <c r="C416" s="24">
        <f t="shared" si="67"/>
        <v>1</v>
      </c>
      <c r="D416" s="720"/>
      <c r="E416" s="24">
        <f t="shared" si="68"/>
        <v>1</v>
      </c>
      <c r="F416" s="720"/>
      <c r="G416" s="24">
        <f t="shared" si="69"/>
        <v>0.03</v>
      </c>
      <c r="H416" s="720"/>
      <c r="I416" s="24">
        <f t="shared" si="70"/>
        <v>1</v>
      </c>
      <c r="J416" s="720"/>
      <c r="K416" s="24">
        <f t="shared" si="71"/>
        <v>1</v>
      </c>
      <c r="L416" s="720"/>
      <c r="M416" s="24">
        <f t="shared" si="72"/>
        <v>1</v>
      </c>
      <c r="N416" s="720"/>
      <c r="O416" s="24">
        <f t="shared" si="73"/>
        <v>1</v>
      </c>
      <c r="P416" s="720"/>
      <c r="Q416" s="24">
        <f t="shared" si="74"/>
        <v>1</v>
      </c>
      <c r="R416" s="716">
        <f t="shared" si="75"/>
        <v>0</v>
      </c>
      <c r="S416" s="361">
        <f t="shared" si="66"/>
        <v>0</v>
      </c>
    </row>
    <row r="417" spans="1:19">
      <c r="A417" s="159"/>
      <c r="B417" s="59"/>
      <c r="C417" s="24">
        <f t="shared" si="67"/>
        <v>1</v>
      </c>
      <c r="D417" s="720"/>
      <c r="E417" s="24">
        <f t="shared" si="68"/>
        <v>1</v>
      </c>
      <c r="F417" s="720"/>
      <c r="G417" s="24">
        <f t="shared" si="69"/>
        <v>0.03</v>
      </c>
      <c r="H417" s="720"/>
      <c r="I417" s="24">
        <f t="shared" si="70"/>
        <v>1</v>
      </c>
      <c r="J417" s="720"/>
      <c r="K417" s="24">
        <f t="shared" si="71"/>
        <v>1</v>
      </c>
      <c r="L417" s="720"/>
      <c r="M417" s="24">
        <f t="shared" si="72"/>
        <v>1</v>
      </c>
      <c r="N417" s="720"/>
      <c r="O417" s="24">
        <f t="shared" si="73"/>
        <v>1</v>
      </c>
      <c r="P417" s="720"/>
      <c r="Q417" s="24">
        <f t="shared" si="74"/>
        <v>1</v>
      </c>
      <c r="R417" s="716">
        <f t="shared" si="75"/>
        <v>0</v>
      </c>
      <c r="S417" s="361">
        <f t="shared" si="66"/>
        <v>0</v>
      </c>
    </row>
    <row r="418" spans="1:19">
      <c r="A418" s="159"/>
      <c r="B418" s="59"/>
      <c r="C418" s="24">
        <f t="shared" si="67"/>
        <v>1</v>
      </c>
      <c r="D418" s="720"/>
      <c r="E418" s="24">
        <f t="shared" si="68"/>
        <v>1</v>
      </c>
      <c r="F418" s="720"/>
      <c r="G418" s="24">
        <f t="shared" si="69"/>
        <v>0.03</v>
      </c>
      <c r="H418" s="720"/>
      <c r="I418" s="24">
        <f t="shared" si="70"/>
        <v>1</v>
      </c>
      <c r="J418" s="720"/>
      <c r="K418" s="24">
        <f t="shared" si="71"/>
        <v>1</v>
      </c>
      <c r="L418" s="720"/>
      <c r="M418" s="24">
        <f t="shared" si="72"/>
        <v>1</v>
      </c>
      <c r="N418" s="720"/>
      <c r="O418" s="24">
        <f t="shared" si="73"/>
        <v>1</v>
      </c>
      <c r="P418" s="720"/>
      <c r="Q418" s="24">
        <f t="shared" si="74"/>
        <v>1</v>
      </c>
      <c r="R418" s="716">
        <f t="shared" si="75"/>
        <v>0</v>
      </c>
      <c r="S418" s="361">
        <f t="shared" si="66"/>
        <v>0</v>
      </c>
    </row>
    <row r="419" spans="1:19">
      <c r="A419" s="159"/>
      <c r="B419" s="59"/>
      <c r="C419" s="24">
        <f t="shared" si="67"/>
        <v>1</v>
      </c>
      <c r="D419" s="720"/>
      <c r="E419" s="24">
        <f t="shared" si="68"/>
        <v>1</v>
      </c>
      <c r="F419" s="720"/>
      <c r="G419" s="24">
        <f t="shared" si="69"/>
        <v>0.03</v>
      </c>
      <c r="H419" s="720"/>
      <c r="I419" s="24">
        <f t="shared" si="70"/>
        <v>1</v>
      </c>
      <c r="J419" s="720"/>
      <c r="K419" s="24">
        <f t="shared" si="71"/>
        <v>1</v>
      </c>
      <c r="L419" s="720"/>
      <c r="M419" s="24">
        <f t="shared" si="72"/>
        <v>1</v>
      </c>
      <c r="N419" s="720"/>
      <c r="O419" s="24">
        <f t="shared" si="73"/>
        <v>1</v>
      </c>
      <c r="P419" s="720"/>
      <c r="Q419" s="24">
        <f t="shared" si="74"/>
        <v>1</v>
      </c>
      <c r="R419" s="716">
        <f t="shared" si="75"/>
        <v>0</v>
      </c>
      <c r="S419" s="361">
        <f t="shared" si="66"/>
        <v>0</v>
      </c>
    </row>
    <row r="420" spans="1:19">
      <c r="A420" s="159"/>
      <c r="B420" s="59"/>
      <c r="C420" s="24">
        <f t="shared" si="67"/>
        <v>1</v>
      </c>
      <c r="D420" s="720"/>
      <c r="E420" s="24">
        <f t="shared" si="68"/>
        <v>1</v>
      </c>
      <c r="F420" s="720"/>
      <c r="G420" s="24">
        <f t="shared" si="69"/>
        <v>0.03</v>
      </c>
      <c r="H420" s="720"/>
      <c r="I420" s="24">
        <f t="shared" si="70"/>
        <v>1</v>
      </c>
      <c r="J420" s="720"/>
      <c r="K420" s="24">
        <f t="shared" si="71"/>
        <v>1</v>
      </c>
      <c r="L420" s="720"/>
      <c r="M420" s="24">
        <f t="shared" si="72"/>
        <v>1</v>
      </c>
      <c r="N420" s="720"/>
      <c r="O420" s="24">
        <f t="shared" si="73"/>
        <v>1</v>
      </c>
      <c r="P420" s="720"/>
      <c r="Q420" s="24">
        <f t="shared" si="74"/>
        <v>1</v>
      </c>
      <c r="R420" s="716">
        <f t="shared" si="75"/>
        <v>0</v>
      </c>
      <c r="S420" s="361">
        <f t="shared" si="66"/>
        <v>0</v>
      </c>
    </row>
    <row r="421" spans="1:19">
      <c r="A421" s="159"/>
      <c r="B421" s="59"/>
      <c r="C421" s="24">
        <f t="shared" si="67"/>
        <v>1</v>
      </c>
      <c r="D421" s="720"/>
      <c r="E421" s="24">
        <f t="shared" si="68"/>
        <v>1</v>
      </c>
      <c r="F421" s="720"/>
      <c r="G421" s="24">
        <f t="shared" si="69"/>
        <v>0.03</v>
      </c>
      <c r="H421" s="720"/>
      <c r="I421" s="24">
        <f t="shared" si="70"/>
        <v>1</v>
      </c>
      <c r="J421" s="720"/>
      <c r="K421" s="24">
        <f t="shared" si="71"/>
        <v>1</v>
      </c>
      <c r="L421" s="720"/>
      <c r="M421" s="24">
        <f t="shared" si="72"/>
        <v>1</v>
      </c>
      <c r="N421" s="720"/>
      <c r="O421" s="24">
        <f t="shared" si="73"/>
        <v>1</v>
      </c>
      <c r="P421" s="720"/>
      <c r="Q421" s="24">
        <f t="shared" si="74"/>
        <v>1</v>
      </c>
      <c r="R421" s="716">
        <f t="shared" si="75"/>
        <v>0</v>
      </c>
      <c r="S421" s="361">
        <f t="shared" si="66"/>
        <v>0</v>
      </c>
    </row>
    <row r="422" spans="1:19">
      <c r="A422" s="159"/>
      <c r="B422" s="59"/>
      <c r="C422" s="24">
        <f t="shared" si="67"/>
        <v>1</v>
      </c>
      <c r="D422" s="720"/>
      <c r="E422" s="24">
        <f t="shared" si="68"/>
        <v>1</v>
      </c>
      <c r="F422" s="720"/>
      <c r="G422" s="24">
        <f t="shared" si="69"/>
        <v>0.03</v>
      </c>
      <c r="H422" s="720"/>
      <c r="I422" s="24">
        <f t="shared" si="70"/>
        <v>1</v>
      </c>
      <c r="J422" s="720"/>
      <c r="K422" s="24">
        <f t="shared" si="71"/>
        <v>1</v>
      </c>
      <c r="L422" s="720"/>
      <c r="M422" s="24">
        <f t="shared" si="72"/>
        <v>1</v>
      </c>
      <c r="N422" s="720"/>
      <c r="O422" s="24">
        <f t="shared" si="73"/>
        <v>1</v>
      </c>
      <c r="P422" s="720"/>
      <c r="Q422" s="24">
        <f t="shared" si="74"/>
        <v>1</v>
      </c>
      <c r="R422" s="716">
        <f t="shared" si="75"/>
        <v>0</v>
      </c>
      <c r="S422" s="361">
        <f t="shared" si="66"/>
        <v>0</v>
      </c>
    </row>
    <row r="423" spans="1:19">
      <c r="A423" s="159"/>
      <c r="B423" s="59"/>
      <c r="C423" s="24">
        <f t="shared" si="67"/>
        <v>1</v>
      </c>
      <c r="D423" s="720"/>
      <c r="E423" s="24">
        <f t="shared" si="68"/>
        <v>1</v>
      </c>
      <c r="F423" s="720"/>
      <c r="G423" s="24">
        <f t="shared" si="69"/>
        <v>0.03</v>
      </c>
      <c r="H423" s="720"/>
      <c r="I423" s="24">
        <f t="shared" si="70"/>
        <v>1</v>
      </c>
      <c r="J423" s="720"/>
      <c r="K423" s="24">
        <f t="shared" si="71"/>
        <v>1</v>
      </c>
      <c r="L423" s="720"/>
      <c r="M423" s="24">
        <f t="shared" si="72"/>
        <v>1</v>
      </c>
      <c r="N423" s="720"/>
      <c r="O423" s="24">
        <f t="shared" si="73"/>
        <v>1</v>
      </c>
      <c r="P423" s="720"/>
      <c r="Q423" s="24">
        <f t="shared" si="74"/>
        <v>1</v>
      </c>
      <c r="R423" s="716">
        <f t="shared" si="75"/>
        <v>0</v>
      </c>
      <c r="S423" s="361">
        <f t="shared" si="66"/>
        <v>0</v>
      </c>
    </row>
    <row r="424" spans="1:19">
      <c r="A424" s="159"/>
      <c r="B424" s="59"/>
      <c r="C424" s="24">
        <f t="shared" si="67"/>
        <v>1</v>
      </c>
      <c r="D424" s="720"/>
      <c r="E424" s="24">
        <f t="shared" si="68"/>
        <v>1</v>
      </c>
      <c r="F424" s="720"/>
      <c r="G424" s="24">
        <f t="shared" si="69"/>
        <v>0.03</v>
      </c>
      <c r="H424" s="720"/>
      <c r="I424" s="24">
        <f t="shared" si="70"/>
        <v>1</v>
      </c>
      <c r="J424" s="720"/>
      <c r="K424" s="24">
        <f t="shared" si="71"/>
        <v>1</v>
      </c>
      <c r="L424" s="720"/>
      <c r="M424" s="24">
        <f t="shared" si="72"/>
        <v>1</v>
      </c>
      <c r="N424" s="720"/>
      <c r="O424" s="24">
        <f t="shared" si="73"/>
        <v>1</v>
      </c>
      <c r="P424" s="720"/>
      <c r="Q424" s="24">
        <f t="shared" si="74"/>
        <v>1</v>
      </c>
      <c r="R424" s="716">
        <f t="shared" si="75"/>
        <v>0</v>
      </c>
      <c r="S424" s="361">
        <f t="shared" si="66"/>
        <v>0</v>
      </c>
    </row>
    <row r="425" spans="1:19">
      <c r="A425" s="159"/>
      <c r="B425" s="59"/>
      <c r="C425" s="24">
        <f t="shared" si="67"/>
        <v>1</v>
      </c>
      <c r="D425" s="720"/>
      <c r="E425" s="24">
        <f t="shared" si="68"/>
        <v>1</v>
      </c>
      <c r="F425" s="720"/>
      <c r="G425" s="24">
        <f t="shared" si="69"/>
        <v>0.03</v>
      </c>
      <c r="H425" s="720"/>
      <c r="I425" s="24">
        <f t="shared" si="70"/>
        <v>1</v>
      </c>
      <c r="J425" s="720"/>
      <c r="K425" s="24">
        <f t="shared" si="71"/>
        <v>1</v>
      </c>
      <c r="L425" s="720"/>
      <c r="M425" s="24">
        <f t="shared" si="72"/>
        <v>1</v>
      </c>
      <c r="N425" s="720"/>
      <c r="O425" s="24">
        <f t="shared" si="73"/>
        <v>1</v>
      </c>
      <c r="P425" s="720"/>
      <c r="Q425" s="24">
        <f t="shared" si="74"/>
        <v>1</v>
      </c>
      <c r="R425" s="716">
        <f t="shared" si="75"/>
        <v>0</v>
      </c>
      <c r="S425" s="361">
        <f t="shared" si="66"/>
        <v>0</v>
      </c>
    </row>
    <row r="426" spans="1:19">
      <c r="A426" s="159"/>
      <c r="B426" s="59"/>
      <c r="C426" s="24">
        <f t="shared" si="67"/>
        <v>1</v>
      </c>
      <c r="D426" s="720"/>
      <c r="E426" s="24">
        <f t="shared" si="68"/>
        <v>1</v>
      </c>
      <c r="F426" s="720"/>
      <c r="G426" s="24">
        <f t="shared" si="69"/>
        <v>0.03</v>
      </c>
      <c r="H426" s="720"/>
      <c r="I426" s="24">
        <f t="shared" si="70"/>
        <v>1</v>
      </c>
      <c r="J426" s="720"/>
      <c r="K426" s="24">
        <f t="shared" si="71"/>
        <v>1</v>
      </c>
      <c r="L426" s="720"/>
      <c r="M426" s="24">
        <f t="shared" si="72"/>
        <v>1</v>
      </c>
      <c r="N426" s="720"/>
      <c r="O426" s="24">
        <f t="shared" si="73"/>
        <v>1</v>
      </c>
      <c r="P426" s="720"/>
      <c r="Q426" s="24">
        <f t="shared" si="74"/>
        <v>1</v>
      </c>
      <c r="R426" s="716">
        <f t="shared" si="75"/>
        <v>0</v>
      </c>
      <c r="S426" s="361">
        <f t="shared" si="66"/>
        <v>0</v>
      </c>
    </row>
    <row r="427" spans="1:19">
      <c r="A427" s="159"/>
      <c r="B427" s="59"/>
      <c r="C427" s="24">
        <f t="shared" si="67"/>
        <v>1</v>
      </c>
      <c r="D427" s="720"/>
      <c r="E427" s="24">
        <f t="shared" si="68"/>
        <v>1</v>
      </c>
      <c r="F427" s="720"/>
      <c r="G427" s="24">
        <f t="shared" si="69"/>
        <v>0.03</v>
      </c>
      <c r="H427" s="720"/>
      <c r="I427" s="24">
        <f t="shared" si="70"/>
        <v>1</v>
      </c>
      <c r="J427" s="720"/>
      <c r="K427" s="24">
        <f t="shared" si="71"/>
        <v>1</v>
      </c>
      <c r="L427" s="720"/>
      <c r="M427" s="24">
        <f t="shared" si="72"/>
        <v>1</v>
      </c>
      <c r="N427" s="720"/>
      <c r="O427" s="24">
        <f t="shared" si="73"/>
        <v>1</v>
      </c>
      <c r="P427" s="720"/>
      <c r="Q427" s="24">
        <f t="shared" si="74"/>
        <v>1</v>
      </c>
      <c r="R427" s="716">
        <f t="shared" si="75"/>
        <v>0</v>
      </c>
      <c r="S427" s="361">
        <f t="shared" si="66"/>
        <v>0</v>
      </c>
    </row>
    <row r="428" spans="1:19">
      <c r="A428" s="159"/>
      <c r="B428" s="59"/>
      <c r="C428" s="24">
        <f t="shared" si="67"/>
        <v>1</v>
      </c>
      <c r="D428" s="720"/>
      <c r="E428" s="24">
        <f t="shared" si="68"/>
        <v>1</v>
      </c>
      <c r="F428" s="720"/>
      <c r="G428" s="24">
        <f t="shared" si="69"/>
        <v>0.03</v>
      </c>
      <c r="H428" s="720"/>
      <c r="I428" s="24">
        <f t="shared" si="70"/>
        <v>1</v>
      </c>
      <c r="J428" s="720"/>
      <c r="K428" s="24">
        <f t="shared" si="71"/>
        <v>1</v>
      </c>
      <c r="L428" s="720"/>
      <c r="M428" s="24">
        <f t="shared" si="72"/>
        <v>1</v>
      </c>
      <c r="N428" s="720"/>
      <c r="O428" s="24">
        <f t="shared" si="73"/>
        <v>1</v>
      </c>
      <c r="P428" s="720"/>
      <c r="Q428" s="24">
        <f t="shared" si="74"/>
        <v>1</v>
      </c>
      <c r="R428" s="716">
        <f t="shared" si="75"/>
        <v>0</v>
      </c>
      <c r="S428" s="361">
        <f t="shared" si="66"/>
        <v>0</v>
      </c>
    </row>
    <row r="429" spans="1:19">
      <c r="A429" s="159"/>
      <c r="B429" s="59"/>
      <c r="C429" s="24">
        <f t="shared" si="67"/>
        <v>1</v>
      </c>
      <c r="D429" s="720"/>
      <c r="E429" s="24">
        <f t="shared" si="68"/>
        <v>1</v>
      </c>
      <c r="F429" s="720"/>
      <c r="G429" s="24">
        <f t="shared" si="69"/>
        <v>0.03</v>
      </c>
      <c r="H429" s="720"/>
      <c r="I429" s="24">
        <f t="shared" si="70"/>
        <v>1</v>
      </c>
      <c r="J429" s="720"/>
      <c r="K429" s="24">
        <f t="shared" si="71"/>
        <v>1</v>
      </c>
      <c r="L429" s="720"/>
      <c r="M429" s="24">
        <f t="shared" si="72"/>
        <v>1</v>
      </c>
      <c r="N429" s="720"/>
      <c r="O429" s="24">
        <f t="shared" si="73"/>
        <v>1</v>
      </c>
      <c r="P429" s="720"/>
      <c r="Q429" s="24">
        <f t="shared" si="74"/>
        <v>1</v>
      </c>
      <c r="R429" s="716">
        <f t="shared" si="75"/>
        <v>0</v>
      </c>
      <c r="S429" s="361">
        <f t="shared" si="66"/>
        <v>0</v>
      </c>
    </row>
    <row r="430" spans="1:19">
      <c r="A430" s="159"/>
      <c r="B430" s="59"/>
      <c r="C430" s="24">
        <f t="shared" si="67"/>
        <v>1</v>
      </c>
      <c r="D430" s="720"/>
      <c r="E430" s="24">
        <f t="shared" si="68"/>
        <v>1</v>
      </c>
      <c r="F430" s="720"/>
      <c r="G430" s="24">
        <f t="shared" si="69"/>
        <v>0.03</v>
      </c>
      <c r="H430" s="720"/>
      <c r="I430" s="24">
        <f t="shared" si="70"/>
        <v>1</v>
      </c>
      <c r="J430" s="720"/>
      <c r="K430" s="24">
        <f t="shared" si="71"/>
        <v>1</v>
      </c>
      <c r="L430" s="720"/>
      <c r="M430" s="24">
        <f t="shared" si="72"/>
        <v>1</v>
      </c>
      <c r="N430" s="720"/>
      <c r="O430" s="24">
        <f t="shared" si="73"/>
        <v>1</v>
      </c>
      <c r="P430" s="720"/>
      <c r="Q430" s="24">
        <f t="shared" si="74"/>
        <v>1</v>
      </c>
      <c r="R430" s="716">
        <f t="shared" si="75"/>
        <v>0</v>
      </c>
      <c r="S430" s="361">
        <f t="shared" si="66"/>
        <v>0</v>
      </c>
    </row>
    <row r="431" spans="1:19">
      <c r="A431" s="159"/>
      <c r="B431" s="59"/>
      <c r="C431" s="24">
        <f t="shared" si="67"/>
        <v>1</v>
      </c>
      <c r="D431" s="720"/>
      <c r="E431" s="24">
        <f t="shared" si="68"/>
        <v>1</v>
      </c>
      <c r="F431" s="720"/>
      <c r="G431" s="24">
        <f t="shared" si="69"/>
        <v>0.03</v>
      </c>
      <c r="H431" s="720"/>
      <c r="I431" s="24">
        <f t="shared" si="70"/>
        <v>1</v>
      </c>
      <c r="J431" s="720"/>
      <c r="K431" s="24">
        <f t="shared" si="71"/>
        <v>1</v>
      </c>
      <c r="L431" s="720"/>
      <c r="M431" s="24">
        <f t="shared" si="72"/>
        <v>1</v>
      </c>
      <c r="N431" s="720"/>
      <c r="O431" s="24">
        <f t="shared" si="73"/>
        <v>1</v>
      </c>
      <c r="P431" s="720"/>
      <c r="Q431" s="24">
        <f t="shared" si="74"/>
        <v>1</v>
      </c>
      <c r="R431" s="716">
        <f t="shared" si="75"/>
        <v>0</v>
      </c>
      <c r="S431" s="361">
        <f t="shared" si="66"/>
        <v>0</v>
      </c>
    </row>
    <row r="432" spans="1:19">
      <c r="A432" s="159"/>
      <c r="B432" s="59"/>
      <c r="C432" s="24">
        <f t="shared" si="67"/>
        <v>1</v>
      </c>
      <c r="D432" s="720"/>
      <c r="E432" s="24">
        <f t="shared" si="68"/>
        <v>1</v>
      </c>
      <c r="F432" s="720"/>
      <c r="G432" s="24">
        <f t="shared" si="69"/>
        <v>0.03</v>
      </c>
      <c r="H432" s="720"/>
      <c r="I432" s="24">
        <f t="shared" si="70"/>
        <v>1</v>
      </c>
      <c r="J432" s="720"/>
      <c r="K432" s="24">
        <f t="shared" si="71"/>
        <v>1</v>
      </c>
      <c r="L432" s="720"/>
      <c r="M432" s="24">
        <f t="shared" si="72"/>
        <v>1</v>
      </c>
      <c r="N432" s="720"/>
      <c r="O432" s="24">
        <f t="shared" si="73"/>
        <v>1</v>
      </c>
      <c r="P432" s="720"/>
      <c r="Q432" s="24">
        <f t="shared" si="74"/>
        <v>1</v>
      </c>
      <c r="R432" s="716">
        <f t="shared" si="75"/>
        <v>0</v>
      </c>
      <c r="S432" s="361">
        <f t="shared" si="66"/>
        <v>0</v>
      </c>
    </row>
    <row r="433" spans="1:19">
      <c r="A433" s="159"/>
      <c r="B433" s="59"/>
      <c r="C433" s="24">
        <f t="shared" si="67"/>
        <v>1</v>
      </c>
      <c r="D433" s="720"/>
      <c r="E433" s="24">
        <f t="shared" si="68"/>
        <v>1</v>
      </c>
      <c r="F433" s="720"/>
      <c r="G433" s="24">
        <f t="shared" si="69"/>
        <v>0.03</v>
      </c>
      <c r="H433" s="720"/>
      <c r="I433" s="24">
        <f t="shared" si="70"/>
        <v>1</v>
      </c>
      <c r="J433" s="720"/>
      <c r="K433" s="24">
        <f t="shared" si="71"/>
        <v>1</v>
      </c>
      <c r="L433" s="720"/>
      <c r="M433" s="24">
        <f t="shared" si="72"/>
        <v>1</v>
      </c>
      <c r="N433" s="720"/>
      <c r="O433" s="24">
        <f t="shared" si="73"/>
        <v>1</v>
      </c>
      <c r="P433" s="720"/>
      <c r="Q433" s="24">
        <f t="shared" si="74"/>
        <v>1</v>
      </c>
      <c r="R433" s="716">
        <f t="shared" si="75"/>
        <v>0</v>
      </c>
      <c r="S433" s="361">
        <f t="shared" si="66"/>
        <v>0</v>
      </c>
    </row>
    <row r="434" spans="1:19">
      <c r="A434" s="159"/>
      <c r="B434" s="59"/>
      <c r="C434" s="24">
        <f t="shared" si="67"/>
        <v>1</v>
      </c>
      <c r="D434" s="720"/>
      <c r="E434" s="24">
        <f t="shared" si="68"/>
        <v>1</v>
      </c>
      <c r="F434" s="720"/>
      <c r="G434" s="24">
        <f t="shared" si="69"/>
        <v>0.03</v>
      </c>
      <c r="H434" s="720"/>
      <c r="I434" s="24">
        <f t="shared" si="70"/>
        <v>1</v>
      </c>
      <c r="J434" s="720"/>
      <c r="K434" s="24">
        <f t="shared" si="71"/>
        <v>1</v>
      </c>
      <c r="L434" s="720"/>
      <c r="M434" s="24">
        <f t="shared" si="72"/>
        <v>1</v>
      </c>
      <c r="N434" s="720"/>
      <c r="O434" s="24">
        <f t="shared" si="73"/>
        <v>1</v>
      </c>
      <c r="P434" s="720"/>
      <c r="Q434" s="24">
        <f t="shared" si="74"/>
        <v>1</v>
      </c>
      <c r="R434" s="716">
        <f t="shared" si="75"/>
        <v>0</v>
      </c>
      <c r="S434" s="361">
        <f t="shared" si="66"/>
        <v>0</v>
      </c>
    </row>
    <row r="435" spans="1:19">
      <c r="A435" s="159"/>
      <c r="B435" s="59"/>
      <c r="C435" s="24">
        <f t="shared" si="67"/>
        <v>1</v>
      </c>
      <c r="D435" s="720"/>
      <c r="E435" s="24">
        <f t="shared" si="68"/>
        <v>1</v>
      </c>
      <c r="F435" s="720"/>
      <c r="G435" s="24">
        <f t="shared" si="69"/>
        <v>0.03</v>
      </c>
      <c r="H435" s="720"/>
      <c r="I435" s="24">
        <f t="shared" si="70"/>
        <v>1</v>
      </c>
      <c r="J435" s="720"/>
      <c r="K435" s="24">
        <f t="shared" si="71"/>
        <v>1</v>
      </c>
      <c r="L435" s="720"/>
      <c r="M435" s="24">
        <f t="shared" si="72"/>
        <v>1</v>
      </c>
      <c r="N435" s="720"/>
      <c r="O435" s="24">
        <f t="shared" si="73"/>
        <v>1</v>
      </c>
      <c r="P435" s="720"/>
      <c r="Q435" s="24">
        <f t="shared" si="74"/>
        <v>1</v>
      </c>
      <c r="R435" s="716">
        <f t="shared" si="75"/>
        <v>0</v>
      </c>
      <c r="S435" s="361">
        <f t="shared" si="66"/>
        <v>0</v>
      </c>
    </row>
    <row r="436" spans="1:19">
      <c r="A436" s="159"/>
      <c r="B436" s="59"/>
      <c r="C436" s="24">
        <f t="shared" si="67"/>
        <v>1</v>
      </c>
      <c r="D436" s="720"/>
      <c r="E436" s="24">
        <f t="shared" si="68"/>
        <v>1</v>
      </c>
      <c r="F436" s="720"/>
      <c r="G436" s="24">
        <f t="shared" si="69"/>
        <v>0.03</v>
      </c>
      <c r="H436" s="720"/>
      <c r="I436" s="24">
        <f t="shared" si="70"/>
        <v>1</v>
      </c>
      <c r="J436" s="720"/>
      <c r="K436" s="24">
        <f t="shared" si="71"/>
        <v>1</v>
      </c>
      <c r="L436" s="720"/>
      <c r="M436" s="24">
        <f t="shared" si="72"/>
        <v>1</v>
      </c>
      <c r="N436" s="720"/>
      <c r="O436" s="24">
        <f t="shared" si="73"/>
        <v>1</v>
      </c>
      <c r="P436" s="720"/>
      <c r="Q436" s="24">
        <f t="shared" si="74"/>
        <v>1</v>
      </c>
      <c r="R436" s="716">
        <f t="shared" si="75"/>
        <v>0</v>
      </c>
      <c r="S436" s="361">
        <f t="shared" si="66"/>
        <v>0</v>
      </c>
    </row>
    <row r="437" spans="1:19">
      <c r="A437" s="159"/>
      <c r="B437" s="59"/>
      <c r="C437" s="24">
        <f t="shared" si="67"/>
        <v>1</v>
      </c>
      <c r="D437" s="720"/>
      <c r="E437" s="24">
        <f t="shared" si="68"/>
        <v>1</v>
      </c>
      <c r="F437" s="720"/>
      <c r="G437" s="24">
        <f t="shared" si="69"/>
        <v>0.03</v>
      </c>
      <c r="H437" s="720"/>
      <c r="I437" s="24">
        <f t="shared" si="70"/>
        <v>1</v>
      </c>
      <c r="J437" s="720"/>
      <c r="K437" s="24">
        <f t="shared" si="71"/>
        <v>1</v>
      </c>
      <c r="L437" s="720"/>
      <c r="M437" s="24">
        <f t="shared" si="72"/>
        <v>1</v>
      </c>
      <c r="N437" s="720"/>
      <c r="O437" s="24">
        <f t="shared" si="73"/>
        <v>1</v>
      </c>
      <c r="P437" s="720"/>
      <c r="Q437" s="24">
        <f t="shared" si="74"/>
        <v>1</v>
      </c>
      <c r="R437" s="716">
        <f t="shared" si="75"/>
        <v>0</v>
      </c>
      <c r="S437" s="361">
        <f t="shared" si="66"/>
        <v>0</v>
      </c>
    </row>
    <row r="438" spans="1:19">
      <c r="A438" s="159"/>
      <c r="B438" s="59"/>
      <c r="C438" s="24">
        <f t="shared" si="67"/>
        <v>1</v>
      </c>
      <c r="D438" s="720"/>
      <c r="E438" s="24">
        <f t="shared" si="68"/>
        <v>1</v>
      </c>
      <c r="F438" s="720"/>
      <c r="G438" s="24">
        <f t="shared" si="69"/>
        <v>0.03</v>
      </c>
      <c r="H438" s="720"/>
      <c r="I438" s="24">
        <f t="shared" si="70"/>
        <v>1</v>
      </c>
      <c r="J438" s="720"/>
      <c r="K438" s="24">
        <f t="shared" si="71"/>
        <v>1</v>
      </c>
      <c r="L438" s="720"/>
      <c r="M438" s="24">
        <f t="shared" si="72"/>
        <v>1</v>
      </c>
      <c r="N438" s="720"/>
      <c r="O438" s="24">
        <f t="shared" si="73"/>
        <v>1</v>
      </c>
      <c r="P438" s="720"/>
      <c r="Q438" s="24">
        <f t="shared" si="74"/>
        <v>1</v>
      </c>
      <c r="R438" s="716">
        <f t="shared" si="75"/>
        <v>0</v>
      </c>
      <c r="S438" s="361">
        <f t="shared" si="66"/>
        <v>0</v>
      </c>
    </row>
    <row r="439" spans="1:19">
      <c r="A439" s="159"/>
      <c r="B439" s="59"/>
      <c r="C439" s="24">
        <f t="shared" si="67"/>
        <v>1</v>
      </c>
      <c r="D439" s="720"/>
      <c r="E439" s="24">
        <f t="shared" si="68"/>
        <v>1</v>
      </c>
      <c r="F439" s="720"/>
      <c r="G439" s="24">
        <f t="shared" si="69"/>
        <v>0.03</v>
      </c>
      <c r="H439" s="720"/>
      <c r="I439" s="24">
        <f t="shared" si="70"/>
        <v>1</v>
      </c>
      <c r="J439" s="720"/>
      <c r="K439" s="24">
        <f t="shared" si="71"/>
        <v>1</v>
      </c>
      <c r="L439" s="720"/>
      <c r="M439" s="24">
        <f t="shared" si="72"/>
        <v>1</v>
      </c>
      <c r="N439" s="720"/>
      <c r="O439" s="24">
        <f t="shared" si="73"/>
        <v>1</v>
      </c>
      <c r="P439" s="720"/>
      <c r="Q439" s="24">
        <f t="shared" si="74"/>
        <v>1</v>
      </c>
      <c r="R439" s="716">
        <f t="shared" si="75"/>
        <v>0</v>
      </c>
      <c r="S439" s="361">
        <f t="shared" si="66"/>
        <v>0</v>
      </c>
    </row>
    <row r="440" spans="1:19">
      <c r="A440" s="159"/>
      <c r="B440" s="59"/>
      <c r="C440" s="24">
        <f t="shared" si="67"/>
        <v>1</v>
      </c>
      <c r="D440" s="720"/>
      <c r="E440" s="24">
        <f t="shared" si="68"/>
        <v>1</v>
      </c>
      <c r="F440" s="720"/>
      <c r="G440" s="24">
        <f t="shared" si="69"/>
        <v>0.03</v>
      </c>
      <c r="H440" s="720"/>
      <c r="I440" s="24">
        <f t="shared" si="70"/>
        <v>1</v>
      </c>
      <c r="J440" s="720"/>
      <c r="K440" s="24">
        <f t="shared" si="71"/>
        <v>1</v>
      </c>
      <c r="L440" s="720"/>
      <c r="M440" s="24">
        <f t="shared" si="72"/>
        <v>1</v>
      </c>
      <c r="N440" s="720"/>
      <c r="O440" s="24">
        <f t="shared" si="73"/>
        <v>1</v>
      </c>
      <c r="P440" s="720"/>
      <c r="Q440" s="24">
        <f t="shared" si="74"/>
        <v>1</v>
      </c>
      <c r="R440" s="716">
        <f t="shared" si="75"/>
        <v>0</v>
      </c>
      <c r="S440" s="361">
        <f t="shared" si="66"/>
        <v>0</v>
      </c>
    </row>
    <row r="441" spans="1:19">
      <c r="A441" s="159"/>
      <c r="B441" s="59"/>
      <c r="C441" s="24">
        <f t="shared" si="67"/>
        <v>1</v>
      </c>
      <c r="D441" s="720"/>
      <c r="E441" s="24">
        <f t="shared" si="68"/>
        <v>1</v>
      </c>
      <c r="F441" s="720"/>
      <c r="G441" s="24">
        <f t="shared" si="69"/>
        <v>0.03</v>
      </c>
      <c r="H441" s="720"/>
      <c r="I441" s="24">
        <f t="shared" si="70"/>
        <v>1</v>
      </c>
      <c r="J441" s="720"/>
      <c r="K441" s="24">
        <f t="shared" si="71"/>
        <v>1</v>
      </c>
      <c r="L441" s="720"/>
      <c r="M441" s="24">
        <f t="shared" si="72"/>
        <v>1</v>
      </c>
      <c r="N441" s="720"/>
      <c r="O441" s="24">
        <f t="shared" si="73"/>
        <v>1</v>
      </c>
      <c r="P441" s="720"/>
      <c r="Q441" s="24">
        <f t="shared" si="74"/>
        <v>1</v>
      </c>
      <c r="R441" s="716">
        <f t="shared" si="75"/>
        <v>0</v>
      </c>
      <c r="S441" s="361">
        <f t="shared" si="66"/>
        <v>0</v>
      </c>
    </row>
    <row r="442" spans="1:19">
      <c r="A442" s="159"/>
      <c r="B442" s="59"/>
      <c r="C442" s="24">
        <f t="shared" si="67"/>
        <v>1</v>
      </c>
      <c r="D442" s="720"/>
      <c r="E442" s="24">
        <f t="shared" si="68"/>
        <v>1</v>
      </c>
      <c r="F442" s="720"/>
      <c r="G442" s="24">
        <f t="shared" si="69"/>
        <v>0.03</v>
      </c>
      <c r="H442" s="720"/>
      <c r="I442" s="24">
        <f t="shared" si="70"/>
        <v>1</v>
      </c>
      <c r="J442" s="720"/>
      <c r="K442" s="24">
        <f t="shared" si="71"/>
        <v>1</v>
      </c>
      <c r="L442" s="720"/>
      <c r="M442" s="24">
        <f t="shared" si="72"/>
        <v>1</v>
      </c>
      <c r="N442" s="720"/>
      <c r="O442" s="24">
        <f t="shared" si="73"/>
        <v>1</v>
      </c>
      <c r="P442" s="720"/>
      <c r="Q442" s="24">
        <f t="shared" si="74"/>
        <v>1</v>
      </c>
      <c r="R442" s="716">
        <f t="shared" si="75"/>
        <v>0</v>
      </c>
      <c r="S442" s="361">
        <f t="shared" si="66"/>
        <v>0</v>
      </c>
    </row>
    <row r="443" spans="1:19">
      <c r="A443" s="159"/>
      <c r="B443" s="59"/>
      <c r="C443" s="24">
        <f t="shared" si="67"/>
        <v>1</v>
      </c>
      <c r="D443" s="720"/>
      <c r="E443" s="24">
        <f t="shared" si="68"/>
        <v>1</v>
      </c>
      <c r="F443" s="720"/>
      <c r="G443" s="24">
        <f t="shared" si="69"/>
        <v>0.03</v>
      </c>
      <c r="H443" s="720"/>
      <c r="I443" s="24">
        <f t="shared" si="70"/>
        <v>1</v>
      </c>
      <c r="J443" s="720"/>
      <c r="K443" s="24">
        <f t="shared" si="71"/>
        <v>1</v>
      </c>
      <c r="L443" s="720"/>
      <c r="M443" s="24">
        <f t="shared" si="72"/>
        <v>1</v>
      </c>
      <c r="N443" s="720"/>
      <c r="O443" s="24">
        <f t="shared" si="73"/>
        <v>1</v>
      </c>
      <c r="P443" s="720"/>
      <c r="Q443" s="24">
        <f t="shared" si="74"/>
        <v>1</v>
      </c>
      <c r="R443" s="716">
        <f t="shared" si="75"/>
        <v>0</v>
      </c>
      <c r="S443" s="361">
        <f t="shared" si="66"/>
        <v>0</v>
      </c>
    </row>
    <row r="444" spans="1:19">
      <c r="A444" s="159"/>
      <c r="B444" s="59"/>
      <c r="C444" s="24">
        <f t="shared" si="67"/>
        <v>1</v>
      </c>
      <c r="D444" s="720"/>
      <c r="E444" s="24">
        <f t="shared" si="68"/>
        <v>1</v>
      </c>
      <c r="F444" s="720"/>
      <c r="G444" s="24">
        <f t="shared" si="69"/>
        <v>0.03</v>
      </c>
      <c r="H444" s="720"/>
      <c r="I444" s="24">
        <f t="shared" si="70"/>
        <v>1</v>
      </c>
      <c r="J444" s="720"/>
      <c r="K444" s="24">
        <f t="shared" si="71"/>
        <v>1</v>
      </c>
      <c r="L444" s="720"/>
      <c r="M444" s="24">
        <f t="shared" si="72"/>
        <v>1</v>
      </c>
      <c r="N444" s="720"/>
      <c r="O444" s="24">
        <f t="shared" si="73"/>
        <v>1</v>
      </c>
      <c r="P444" s="720"/>
      <c r="Q444" s="24">
        <f t="shared" si="74"/>
        <v>1</v>
      </c>
      <c r="R444" s="716">
        <f t="shared" si="75"/>
        <v>0</v>
      </c>
      <c r="S444" s="361">
        <f t="shared" si="66"/>
        <v>0</v>
      </c>
    </row>
    <row r="445" spans="1:19">
      <c r="A445" s="159"/>
      <c r="B445" s="59"/>
      <c r="C445" s="24">
        <f t="shared" si="67"/>
        <v>1</v>
      </c>
      <c r="D445" s="720"/>
      <c r="E445" s="24">
        <f t="shared" si="68"/>
        <v>1</v>
      </c>
      <c r="F445" s="720"/>
      <c r="G445" s="24">
        <f t="shared" si="69"/>
        <v>0.03</v>
      </c>
      <c r="H445" s="720"/>
      <c r="I445" s="24">
        <f t="shared" si="70"/>
        <v>1</v>
      </c>
      <c r="J445" s="720"/>
      <c r="K445" s="24">
        <f t="shared" si="71"/>
        <v>1</v>
      </c>
      <c r="L445" s="720"/>
      <c r="M445" s="24">
        <f t="shared" si="72"/>
        <v>1</v>
      </c>
      <c r="N445" s="720"/>
      <c r="O445" s="24">
        <f t="shared" si="73"/>
        <v>1</v>
      </c>
      <c r="P445" s="720"/>
      <c r="Q445" s="24">
        <f t="shared" si="74"/>
        <v>1</v>
      </c>
      <c r="R445" s="716">
        <f t="shared" si="75"/>
        <v>0</v>
      </c>
      <c r="S445" s="361">
        <f t="shared" si="66"/>
        <v>0</v>
      </c>
    </row>
    <row r="446" spans="1:19">
      <c r="A446" s="159"/>
      <c r="B446" s="59"/>
      <c r="C446" s="24">
        <f t="shared" si="67"/>
        <v>1</v>
      </c>
      <c r="D446" s="720"/>
      <c r="E446" s="24">
        <f t="shared" si="68"/>
        <v>1</v>
      </c>
      <c r="F446" s="720"/>
      <c r="G446" s="24">
        <f t="shared" si="69"/>
        <v>0.03</v>
      </c>
      <c r="H446" s="720"/>
      <c r="I446" s="24">
        <f t="shared" si="70"/>
        <v>1</v>
      </c>
      <c r="J446" s="720"/>
      <c r="K446" s="24">
        <f t="shared" si="71"/>
        <v>1</v>
      </c>
      <c r="L446" s="720"/>
      <c r="M446" s="24">
        <f t="shared" si="72"/>
        <v>1</v>
      </c>
      <c r="N446" s="720"/>
      <c r="O446" s="24">
        <f t="shared" si="73"/>
        <v>1</v>
      </c>
      <c r="P446" s="720"/>
      <c r="Q446" s="24">
        <f t="shared" si="74"/>
        <v>1</v>
      </c>
      <c r="R446" s="716">
        <f t="shared" si="75"/>
        <v>0</v>
      </c>
      <c r="S446" s="361">
        <f t="shared" si="66"/>
        <v>0</v>
      </c>
    </row>
    <row r="447" spans="1:19">
      <c r="A447" s="159"/>
      <c r="B447" s="59"/>
      <c r="C447" s="24">
        <f t="shared" si="67"/>
        <v>1</v>
      </c>
      <c r="D447" s="720"/>
      <c r="E447" s="24">
        <f t="shared" si="68"/>
        <v>1</v>
      </c>
      <c r="F447" s="720"/>
      <c r="G447" s="24">
        <f t="shared" si="69"/>
        <v>0.03</v>
      </c>
      <c r="H447" s="720"/>
      <c r="I447" s="24">
        <f t="shared" si="70"/>
        <v>1</v>
      </c>
      <c r="J447" s="720"/>
      <c r="K447" s="24">
        <f t="shared" si="71"/>
        <v>1</v>
      </c>
      <c r="L447" s="720"/>
      <c r="M447" s="24">
        <f t="shared" si="72"/>
        <v>1</v>
      </c>
      <c r="N447" s="720"/>
      <c r="O447" s="24">
        <f t="shared" si="73"/>
        <v>1</v>
      </c>
      <c r="P447" s="720"/>
      <c r="Q447" s="24">
        <f t="shared" si="74"/>
        <v>1</v>
      </c>
      <c r="R447" s="716">
        <f t="shared" si="75"/>
        <v>0</v>
      </c>
      <c r="S447" s="361">
        <f t="shared" si="66"/>
        <v>0</v>
      </c>
    </row>
    <row r="448" spans="1:19">
      <c r="A448" s="159"/>
      <c r="B448" s="59"/>
      <c r="C448" s="24">
        <f t="shared" si="67"/>
        <v>1</v>
      </c>
      <c r="D448" s="720"/>
      <c r="E448" s="24">
        <f t="shared" si="68"/>
        <v>1</v>
      </c>
      <c r="F448" s="720"/>
      <c r="G448" s="24">
        <f t="shared" si="69"/>
        <v>0.03</v>
      </c>
      <c r="H448" s="720"/>
      <c r="I448" s="24">
        <f t="shared" si="70"/>
        <v>1</v>
      </c>
      <c r="J448" s="720"/>
      <c r="K448" s="24">
        <f t="shared" si="71"/>
        <v>1</v>
      </c>
      <c r="L448" s="720"/>
      <c r="M448" s="24">
        <f t="shared" si="72"/>
        <v>1</v>
      </c>
      <c r="N448" s="720"/>
      <c r="O448" s="24">
        <f t="shared" si="73"/>
        <v>1</v>
      </c>
      <c r="P448" s="720"/>
      <c r="Q448" s="24">
        <f t="shared" si="74"/>
        <v>1</v>
      </c>
      <c r="R448" s="716">
        <f t="shared" si="75"/>
        <v>0</v>
      </c>
      <c r="S448" s="361">
        <f t="shared" si="66"/>
        <v>0</v>
      </c>
    </row>
    <row r="449" spans="1:19">
      <c r="A449" s="159"/>
      <c r="B449" s="59"/>
      <c r="C449" s="24">
        <f t="shared" si="67"/>
        <v>1</v>
      </c>
      <c r="D449" s="720"/>
      <c r="E449" s="24">
        <f t="shared" si="68"/>
        <v>1</v>
      </c>
      <c r="F449" s="720"/>
      <c r="G449" s="24">
        <f t="shared" si="69"/>
        <v>0.03</v>
      </c>
      <c r="H449" s="720"/>
      <c r="I449" s="24">
        <f t="shared" si="70"/>
        <v>1</v>
      </c>
      <c r="J449" s="720"/>
      <c r="K449" s="24">
        <f t="shared" si="71"/>
        <v>1</v>
      </c>
      <c r="L449" s="720"/>
      <c r="M449" s="24">
        <f t="shared" si="72"/>
        <v>1</v>
      </c>
      <c r="N449" s="720"/>
      <c r="O449" s="24">
        <f t="shared" si="73"/>
        <v>1</v>
      </c>
      <c r="P449" s="720"/>
      <c r="Q449" s="24">
        <f t="shared" si="74"/>
        <v>1</v>
      </c>
      <c r="R449" s="716">
        <f t="shared" si="75"/>
        <v>0</v>
      </c>
      <c r="S449" s="361">
        <f t="shared" si="66"/>
        <v>0</v>
      </c>
    </row>
    <row r="450" spans="1:19">
      <c r="A450" s="159"/>
      <c r="B450" s="59"/>
      <c r="C450" s="24">
        <f t="shared" si="67"/>
        <v>1</v>
      </c>
      <c r="D450" s="720"/>
      <c r="E450" s="24">
        <f t="shared" si="68"/>
        <v>1</v>
      </c>
      <c r="F450" s="720"/>
      <c r="G450" s="24">
        <f t="shared" si="69"/>
        <v>0.03</v>
      </c>
      <c r="H450" s="720"/>
      <c r="I450" s="24">
        <f t="shared" si="70"/>
        <v>1</v>
      </c>
      <c r="J450" s="720"/>
      <c r="K450" s="24">
        <f t="shared" si="71"/>
        <v>1</v>
      </c>
      <c r="L450" s="720"/>
      <c r="M450" s="24">
        <f t="shared" si="72"/>
        <v>1</v>
      </c>
      <c r="N450" s="720"/>
      <c r="O450" s="24">
        <f t="shared" si="73"/>
        <v>1</v>
      </c>
      <c r="P450" s="720"/>
      <c r="Q450" s="24">
        <f t="shared" si="74"/>
        <v>1</v>
      </c>
      <c r="R450" s="716">
        <f t="shared" si="75"/>
        <v>0</v>
      </c>
      <c r="S450" s="361">
        <f t="shared" si="66"/>
        <v>0</v>
      </c>
    </row>
    <row r="451" spans="1:19">
      <c r="A451" s="159"/>
      <c r="B451" s="59"/>
      <c r="C451" s="24">
        <f t="shared" si="67"/>
        <v>1</v>
      </c>
      <c r="D451" s="720"/>
      <c r="E451" s="24">
        <f t="shared" si="68"/>
        <v>1</v>
      </c>
      <c r="F451" s="720"/>
      <c r="G451" s="24">
        <f t="shared" si="69"/>
        <v>0.03</v>
      </c>
      <c r="H451" s="720"/>
      <c r="I451" s="24">
        <f t="shared" si="70"/>
        <v>1</v>
      </c>
      <c r="J451" s="720"/>
      <c r="K451" s="24">
        <f t="shared" si="71"/>
        <v>1</v>
      </c>
      <c r="L451" s="720"/>
      <c r="M451" s="24">
        <f t="shared" si="72"/>
        <v>1</v>
      </c>
      <c r="N451" s="720"/>
      <c r="O451" s="24">
        <f t="shared" si="73"/>
        <v>1</v>
      </c>
      <c r="P451" s="720"/>
      <c r="Q451" s="24">
        <f t="shared" si="74"/>
        <v>1</v>
      </c>
      <c r="R451" s="716">
        <f t="shared" si="75"/>
        <v>0</v>
      </c>
      <c r="S451" s="361">
        <f t="shared" si="66"/>
        <v>0</v>
      </c>
    </row>
    <row r="452" spans="1:19">
      <c r="A452" s="159"/>
      <c r="B452" s="59"/>
      <c r="C452" s="24">
        <f t="shared" si="67"/>
        <v>1</v>
      </c>
      <c r="D452" s="720"/>
      <c r="E452" s="24">
        <f t="shared" si="68"/>
        <v>1</v>
      </c>
      <c r="F452" s="720"/>
      <c r="G452" s="24">
        <f t="shared" si="69"/>
        <v>0.03</v>
      </c>
      <c r="H452" s="720"/>
      <c r="I452" s="24">
        <f t="shared" si="70"/>
        <v>1</v>
      </c>
      <c r="J452" s="720"/>
      <c r="K452" s="24">
        <f t="shared" si="71"/>
        <v>1</v>
      </c>
      <c r="L452" s="720"/>
      <c r="M452" s="24">
        <f t="shared" si="72"/>
        <v>1</v>
      </c>
      <c r="N452" s="720"/>
      <c r="O452" s="24">
        <f t="shared" si="73"/>
        <v>1</v>
      </c>
      <c r="P452" s="720"/>
      <c r="Q452" s="24">
        <f t="shared" si="74"/>
        <v>1</v>
      </c>
      <c r="R452" s="716">
        <f t="shared" si="75"/>
        <v>0</v>
      </c>
      <c r="S452" s="361">
        <f t="shared" si="66"/>
        <v>0</v>
      </c>
    </row>
    <row r="453" spans="1:19">
      <c r="A453" s="159"/>
      <c r="B453" s="59"/>
      <c r="C453" s="24">
        <f t="shared" si="67"/>
        <v>1</v>
      </c>
      <c r="D453" s="720"/>
      <c r="E453" s="24">
        <f t="shared" si="68"/>
        <v>1</v>
      </c>
      <c r="F453" s="720"/>
      <c r="G453" s="24">
        <f t="shared" si="69"/>
        <v>0.03</v>
      </c>
      <c r="H453" s="720"/>
      <c r="I453" s="24">
        <f t="shared" si="70"/>
        <v>1</v>
      </c>
      <c r="J453" s="720"/>
      <c r="K453" s="24">
        <f t="shared" si="71"/>
        <v>1</v>
      </c>
      <c r="L453" s="720"/>
      <c r="M453" s="24">
        <f t="shared" si="72"/>
        <v>1</v>
      </c>
      <c r="N453" s="720"/>
      <c r="O453" s="24">
        <f t="shared" si="73"/>
        <v>1</v>
      </c>
      <c r="P453" s="720"/>
      <c r="Q453" s="24">
        <f t="shared" si="74"/>
        <v>1</v>
      </c>
      <c r="R453" s="716">
        <f t="shared" si="75"/>
        <v>0</v>
      </c>
      <c r="S453" s="361">
        <f t="shared" si="66"/>
        <v>0</v>
      </c>
    </row>
    <row r="454" spans="1:19">
      <c r="A454" s="159"/>
      <c r="B454" s="59"/>
      <c r="C454" s="24">
        <f t="shared" si="67"/>
        <v>1</v>
      </c>
      <c r="D454" s="720"/>
      <c r="E454" s="24">
        <f t="shared" si="68"/>
        <v>1</v>
      </c>
      <c r="F454" s="720"/>
      <c r="G454" s="24">
        <f t="shared" si="69"/>
        <v>0.03</v>
      </c>
      <c r="H454" s="720"/>
      <c r="I454" s="24">
        <f t="shared" si="70"/>
        <v>1</v>
      </c>
      <c r="J454" s="720"/>
      <c r="K454" s="24">
        <f t="shared" si="71"/>
        <v>1</v>
      </c>
      <c r="L454" s="720"/>
      <c r="M454" s="24">
        <f t="shared" si="72"/>
        <v>1</v>
      </c>
      <c r="N454" s="720"/>
      <c r="O454" s="24">
        <f t="shared" si="73"/>
        <v>1</v>
      </c>
      <c r="P454" s="720"/>
      <c r="Q454" s="24">
        <f t="shared" si="74"/>
        <v>1</v>
      </c>
      <c r="R454" s="716">
        <f t="shared" si="75"/>
        <v>0</v>
      </c>
      <c r="S454" s="361">
        <f t="shared" si="66"/>
        <v>0</v>
      </c>
    </row>
    <row r="455" spans="1:19">
      <c r="A455" s="159"/>
      <c r="B455" s="59"/>
      <c r="C455" s="24">
        <f t="shared" si="67"/>
        <v>1</v>
      </c>
      <c r="D455" s="720"/>
      <c r="E455" s="24">
        <f t="shared" si="68"/>
        <v>1</v>
      </c>
      <c r="F455" s="720"/>
      <c r="G455" s="24">
        <f t="shared" si="69"/>
        <v>0.03</v>
      </c>
      <c r="H455" s="720"/>
      <c r="I455" s="24">
        <f t="shared" si="70"/>
        <v>1</v>
      </c>
      <c r="J455" s="720"/>
      <c r="K455" s="24">
        <f t="shared" si="71"/>
        <v>1</v>
      </c>
      <c r="L455" s="720"/>
      <c r="M455" s="24">
        <f t="shared" si="72"/>
        <v>1</v>
      </c>
      <c r="N455" s="720"/>
      <c r="O455" s="24">
        <f t="shared" si="73"/>
        <v>1</v>
      </c>
      <c r="P455" s="720"/>
      <c r="Q455" s="24">
        <f t="shared" si="74"/>
        <v>1</v>
      </c>
      <c r="R455" s="716">
        <f t="shared" si="75"/>
        <v>0</v>
      </c>
      <c r="S455" s="361">
        <f t="shared" si="66"/>
        <v>0</v>
      </c>
    </row>
    <row r="456" spans="1:19">
      <c r="A456" s="159"/>
      <c r="B456" s="59"/>
      <c r="C456" s="24">
        <f t="shared" si="67"/>
        <v>1</v>
      </c>
      <c r="D456" s="720"/>
      <c r="E456" s="24">
        <f t="shared" si="68"/>
        <v>1</v>
      </c>
      <c r="F456" s="720"/>
      <c r="G456" s="24">
        <f t="shared" si="69"/>
        <v>0.03</v>
      </c>
      <c r="H456" s="720"/>
      <c r="I456" s="24">
        <f t="shared" si="70"/>
        <v>1</v>
      </c>
      <c r="J456" s="720"/>
      <c r="K456" s="24">
        <f t="shared" si="71"/>
        <v>1</v>
      </c>
      <c r="L456" s="720"/>
      <c r="M456" s="24">
        <f t="shared" si="72"/>
        <v>1</v>
      </c>
      <c r="N456" s="720"/>
      <c r="O456" s="24">
        <f t="shared" si="73"/>
        <v>1</v>
      </c>
      <c r="P456" s="720"/>
      <c r="Q456" s="24">
        <f t="shared" si="74"/>
        <v>1</v>
      </c>
      <c r="R456" s="716">
        <f t="shared" si="75"/>
        <v>0</v>
      </c>
      <c r="S456" s="361">
        <f t="shared" si="66"/>
        <v>0</v>
      </c>
    </row>
    <row r="457" spans="1:19">
      <c r="A457" s="159"/>
      <c r="B457" s="59"/>
      <c r="C457" s="24">
        <f t="shared" si="67"/>
        <v>1</v>
      </c>
      <c r="D457" s="720"/>
      <c r="E457" s="24">
        <f t="shared" si="68"/>
        <v>1</v>
      </c>
      <c r="F457" s="720"/>
      <c r="G457" s="24">
        <f t="shared" si="69"/>
        <v>0.03</v>
      </c>
      <c r="H457" s="720"/>
      <c r="I457" s="24">
        <f t="shared" si="70"/>
        <v>1</v>
      </c>
      <c r="J457" s="720"/>
      <c r="K457" s="24">
        <f t="shared" si="71"/>
        <v>1</v>
      </c>
      <c r="L457" s="720"/>
      <c r="M457" s="24">
        <f t="shared" si="72"/>
        <v>1</v>
      </c>
      <c r="N457" s="720"/>
      <c r="O457" s="24">
        <f t="shared" si="73"/>
        <v>1</v>
      </c>
      <c r="P457" s="720"/>
      <c r="Q457" s="24">
        <f t="shared" si="74"/>
        <v>1</v>
      </c>
      <c r="R457" s="716">
        <f t="shared" si="75"/>
        <v>0</v>
      </c>
      <c r="S457" s="361">
        <f t="shared" si="66"/>
        <v>0</v>
      </c>
    </row>
    <row r="458" spans="1:19">
      <c r="A458" s="159"/>
      <c r="B458" s="59"/>
      <c r="C458" s="24">
        <f t="shared" si="67"/>
        <v>1</v>
      </c>
      <c r="D458" s="720"/>
      <c r="E458" s="24">
        <f t="shared" si="68"/>
        <v>1</v>
      </c>
      <c r="F458" s="720"/>
      <c r="G458" s="24">
        <f t="shared" si="69"/>
        <v>0.03</v>
      </c>
      <c r="H458" s="720"/>
      <c r="I458" s="24">
        <f t="shared" si="70"/>
        <v>1</v>
      </c>
      <c r="J458" s="720"/>
      <c r="K458" s="24">
        <f t="shared" si="71"/>
        <v>1</v>
      </c>
      <c r="L458" s="720"/>
      <c r="M458" s="24">
        <f t="shared" si="72"/>
        <v>1</v>
      </c>
      <c r="N458" s="720"/>
      <c r="O458" s="24">
        <f t="shared" si="73"/>
        <v>1</v>
      </c>
      <c r="P458" s="720"/>
      <c r="Q458" s="24">
        <f t="shared" si="74"/>
        <v>1</v>
      </c>
      <c r="R458" s="716">
        <f t="shared" si="75"/>
        <v>0</v>
      </c>
      <c r="S458" s="361">
        <f t="shared" si="66"/>
        <v>0</v>
      </c>
    </row>
    <row r="459" spans="1:19">
      <c r="A459" s="159"/>
      <c r="B459" s="59"/>
      <c r="C459" s="24">
        <f t="shared" si="67"/>
        <v>1</v>
      </c>
      <c r="D459" s="720"/>
      <c r="E459" s="24">
        <f t="shared" si="68"/>
        <v>1</v>
      </c>
      <c r="F459" s="720"/>
      <c r="G459" s="24">
        <f t="shared" si="69"/>
        <v>0.03</v>
      </c>
      <c r="H459" s="720"/>
      <c r="I459" s="24">
        <f t="shared" si="70"/>
        <v>1</v>
      </c>
      <c r="J459" s="720"/>
      <c r="K459" s="24">
        <f t="shared" si="71"/>
        <v>1</v>
      </c>
      <c r="L459" s="720"/>
      <c r="M459" s="24">
        <f t="shared" si="72"/>
        <v>1</v>
      </c>
      <c r="N459" s="720"/>
      <c r="O459" s="24">
        <f t="shared" si="73"/>
        <v>1</v>
      </c>
      <c r="P459" s="720"/>
      <c r="Q459" s="24">
        <f t="shared" si="74"/>
        <v>1</v>
      </c>
      <c r="R459" s="716">
        <f t="shared" si="75"/>
        <v>0</v>
      </c>
      <c r="S459" s="361">
        <f t="shared" si="66"/>
        <v>0</v>
      </c>
    </row>
    <row r="460" spans="1:19">
      <c r="A460" s="159"/>
      <c r="B460" s="59"/>
      <c r="C460" s="24">
        <f t="shared" si="67"/>
        <v>1</v>
      </c>
      <c r="D460" s="720"/>
      <c r="E460" s="24">
        <f t="shared" si="68"/>
        <v>1</v>
      </c>
      <c r="F460" s="720"/>
      <c r="G460" s="24">
        <f t="shared" si="69"/>
        <v>0.03</v>
      </c>
      <c r="H460" s="720"/>
      <c r="I460" s="24">
        <f t="shared" si="70"/>
        <v>1</v>
      </c>
      <c r="J460" s="720"/>
      <c r="K460" s="24">
        <f t="shared" si="71"/>
        <v>1</v>
      </c>
      <c r="L460" s="720"/>
      <c r="M460" s="24">
        <f t="shared" si="72"/>
        <v>1</v>
      </c>
      <c r="N460" s="720"/>
      <c r="O460" s="24">
        <f t="shared" si="73"/>
        <v>1</v>
      </c>
      <c r="P460" s="720"/>
      <c r="Q460" s="24">
        <f t="shared" si="74"/>
        <v>1</v>
      </c>
      <c r="R460" s="716">
        <f t="shared" si="75"/>
        <v>0</v>
      </c>
      <c r="S460" s="361">
        <f t="shared" si="66"/>
        <v>0</v>
      </c>
    </row>
    <row r="461" spans="1:19">
      <c r="A461" s="159"/>
      <c r="B461" s="59"/>
      <c r="C461" s="24">
        <f t="shared" si="67"/>
        <v>1</v>
      </c>
      <c r="D461" s="720"/>
      <c r="E461" s="24">
        <f t="shared" si="68"/>
        <v>1</v>
      </c>
      <c r="F461" s="720"/>
      <c r="G461" s="24">
        <f t="shared" si="69"/>
        <v>0.03</v>
      </c>
      <c r="H461" s="720"/>
      <c r="I461" s="24">
        <f t="shared" si="70"/>
        <v>1</v>
      </c>
      <c r="J461" s="720"/>
      <c r="K461" s="24">
        <f t="shared" si="71"/>
        <v>1</v>
      </c>
      <c r="L461" s="720"/>
      <c r="M461" s="24">
        <f t="shared" si="72"/>
        <v>1</v>
      </c>
      <c r="N461" s="720"/>
      <c r="O461" s="24">
        <f t="shared" si="73"/>
        <v>1</v>
      </c>
      <c r="P461" s="720"/>
      <c r="Q461" s="24">
        <f t="shared" si="74"/>
        <v>1</v>
      </c>
      <c r="R461" s="716">
        <f t="shared" si="75"/>
        <v>0</v>
      </c>
      <c r="S461" s="361">
        <f t="shared" si="66"/>
        <v>0</v>
      </c>
    </row>
    <row r="462" spans="1:19">
      <c r="A462" s="159"/>
      <c r="B462" s="59"/>
      <c r="C462" s="24">
        <f t="shared" si="67"/>
        <v>1</v>
      </c>
      <c r="D462" s="720"/>
      <c r="E462" s="24">
        <f t="shared" si="68"/>
        <v>1</v>
      </c>
      <c r="F462" s="720"/>
      <c r="G462" s="24">
        <f t="shared" si="69"/>
        <v>0.03</v>
      </c>
      <c r="H462" s="720"/>
      <c r="I462" s="24">
        <f t="shared" si="70"/>
        <v>1</v>
      </c>
      <c r="J462" s="720"/>
      <c r="K462" s="24">
        <f t="shared" si="71"/>
        <v>1</v>
      </c>
      <c r="L462" s="720"/>
      <c r="M462" s="24">
        <f t="shared" si="72"/>
        <v>1</v>
      </c>
      <c r="N462" s="720"/>
      <c r="O462" s="24">
        <f t="shared" si="73"/>
        <v>1</v>
      </c>
      <c r="P462" s="720"/>
      <c r="Q462" s="24">
        <f t="shared" si="74"/>
        <v>1</v>
      </c>
      <c r="R462" s="716">
        <f t="shared" si="75"/>
        <v>0</v>
      </c>
      <c r="S462" s="361">
        <f t="shared" si="66"/>
        <v>0</v>
      </c>
    </row>
    <row r="463" spans="1:19">
      <c r="A463" s="159"/>
      <c r="B463" s="59"/>
      <c r="C463" s="24">
        <f t="shared" si="67"/>
        <v>1</v>
      </c>
      <c r="D463" s="720"/>
      <c r="E463" s="24">
        <f t="shared" si="68"/>
        <v>1</v>
      </c>
      <c r="F463" s="720"/>
      <c r="G463" s="24">
        <f t="shared" si="69"/>
        <v>0.03</v>
      </c>
      <c r="H463" s="720"/>
      <c r="I463" s="24">
        <f t="shared" si="70"/>
        <v>1</v>
      </c>
      <c r="J463" s="720"/>
      <c r="K463" s="24">
        <f t="shared" si="71"/>
        <v>1</v>
      </c>
      <c r="L463" s="720"/>
      <c r="M463" s="24">
        <f t="shared" si="72"/>
        <v>1</v>
      </c>
      <c r="N463" s="720"/>
      <c r="O463" s="24">
        <f t="shared" si="73"/>
        <v>1</v>
      </c>
      <c r="P463" s="720"/>
      <c r="Q463" s="24">
        <f t="shared" si="74"/>
        <v>1</v>
      </c>
      <c r="R463" s="716">
        <f t="shared" si="75"/>
        <v>0</v>
      </c>
      <c r="S463" s="361">
        <f t="shared" si="66"/>
        <v>0</v>
      </c>
    </row>
    <row r="464" spans="1:19">
      <c r="A464" s="159"/>
      <c r="B464" s="59"/>
      <c r="C464" s="24">
        <f t="shared" si="67"/>
        <v>1</v>
      </c>
      <c r="D464" s="720"/>
      <c r="E464" s="24">
        <f t="shared" si="68"/>
        <v>1</v>
      </c>
      <c r="F464" s="720"/>
      <c r="G464" s="24">
        <f t="shared" si="69"/>
        <v>0.03</v>
      </c>
      <c r="H464" s="720"/>
      <c r="I464" s="24">
        <f t="shared" si="70"/>
        <v>1</v>
      </c>
      <c r="J464" s="720"/>
      <c r="K464" s="24">
        <f t="shared" si="71"/>
        <v>1</v>
      </c>
      <c r="L464" s="720"/>
      <c r="M464" s="24">
        <f t="shared" si="72"/>
        <v>1</v>
      </c>
      <c r="N464" s="720"/>
      <c r="O464" s="24">
        <f t="shared" si="73"/>
        <v>1</v>
      </c>
      <c r="P464" s="720"/>
      <c r="Q464" s="24">
        <f t="shared" si="74"/>
        <v>1</v>
      </c>
      <c r="R464" s="716">
        <f t="shared" si="75"/>
        <v>0</v>
      </c>
      <c r="S464" s="361">
        <f t="shared" si="66"/>
        <v>0</v>
      </c>
    </row>
    <row r="465" spans="1:19">
      <c r="A465" s="159"/>
      <c r="B465" s="59"/>
      <c r="C465" s="24">
        <f t="shared" si="67"/>
        <v>1</v>
      </c>
      <c r="D465" s="720"/>
      <c r="E465" s="24">
        <f t="shared" si="68"/>
        <v>1</v>
      </c>
      <c r="F465" s="720"/>
      <c r="G465" s="24">
        <f t="shared" si="69"/>
        <v>0.03</v>
      </c>
      <c r="H465" s="720"/>
      <c r="I465" s="24">
        <f t="shared" si="70"/>
        <v>1</v>
      </c>
      <c r="J465" s="720"/>
      <c r="K465" s="24">
        <f t="shared" si="71"/>
        <v>1</v>
      </c>
      <c r="L465" s="720"/>
      <c r="M465" s="24">
        <f t="shared" si="72"/>
        <v>1</v>
      </c>
      <c r="N465" s="720"/>
      <c r="O465" s="24">
        <f t="shared" si="73"/>
        <v>1</v>
      </c>
      <c r="P465" s="720"/>
      <c r="Q465" s="24">
        <f t="shared" si="74"/>
        <v>1</v>
      </c>
      <c r="R465" s="716">
        <f t="shared" si="75"/>
        <v>0</v>
      </c>
      <c r="S465" s="361">
        <f t="shared" si="66"/>
        <v>0</v>
      </c>
    </row>
    <row r="466" spans="1:19">
      <c r="A466" s="159"/>
      <c r="B466" s="59"/>
      <c r="C466" s="24">
        <f t="shared" si="67"/>
        <v>1</v>
      </c>
      <c r="D466" s="720"/>
      <c r="E466" s="24">
        <f t="shared" si="68"/>
        <v>1</v>
      </c>
      <c r="F466" s="720"/>
      <c r="G466" s="24">
        <f t="shared" si="69"/>
        <v>0.03</v>
      </c>
      <c r="H466" s="720"/>
      <c r="I466" s="24">
        <f t="shared" si="70"/>
        <v>1</v>
      </c>
      <c r="J466" s="720"/>
      <c r="K466" s="24">
        <f t="shared" si="71"/>
        <v>1</v>
      </c>
      <c r="L466" s="720"/>
      <c r="M466" s="24">
        <f t="shared" si="72"/>
        <v>1</v>
      </c>
      <c r="N466" s="720"/>
      <c r="O466" s="24">
        <f t="shared" si="73"/>
        <v>1</v>
      </c>
      <c r="P466" s="720"/>
      <c r="Q466" s="24">
        <f t="shared" si="74"/>
        <v>1</v>
      </c>
      <c r="R466" s="716">
        <f t="shared" si="75"/>
        <v>0</v>
      </c>
      <c r="S466" s="361">
        <f t="shared" si="66"/>
        <v>0</v>
      </c>
    </row>
    <row r="467" spans="1:19">
      <c r="A467" s="159"/>
      <c r="B467" s="59"/>
      <c r="C467" s="24">
        <f t="shared" si="67"/>
        <v>1</v>
      </c>
      <c r="D467" s="720"/>
      <c r="E467" s="24">
        <f t="shared" si="68"/>
        <v>1</v>
      </c>
      <c r="F467" s="720"/>
      <c r="G467" s="24">
        <f t="shared" si="69"/>
        <v>0.03</v>
      </c>
      <c r="H467" s="720"/>
      <c r="I467" s="24">
        <f t="shared" si="70"/>
        <v>1</v>
      </c>
      <c r="J467" s="720"/>
      <c r="K467" s="24">
        <f t="shared" si="71"/>
        <v>1</v>
      </c>
      <c r="L467" s="720"/>
      <c r="M467" s="24">
        <f t="shared" si="72"/>
        <v>1</v>
      </c>
      <c r="N467" s="720"/>
      <c r="O467" s="24">
        <f t="shared" si="73"/>
        <v>1</v>
      </c>
      <c r="P467" s="720"/>
      <c r="Q467" s="24">
        <f t="shared" si="74"/>
        <v>1</v>
      </c>
      <c r="R467" s="716">
        <f t="shared" si="75"/>
        <v>0</v>
      </c>
      <c r="S467" s="361">
        <f t="shared" si="66"/>
        <v>0</v>
      </c>
    </row>
    <row r="468" spans="1:19">
      <c r="A468" s="159"/>
      <c r="B468" s="59"/>
      <c r="C468" s="24">
        <f t="shared" si="67"/>
        <v>1</v>
      </c>
      <c r="D468" s="720"/>
      <c r="E468" s="24">
        <f t="shared" si="68"/>
        <v>1</v>
      </c>
      <c r="F468" s="720"/>
      <c r="G468" s="24">
        <f t="shared" si="69"/>
        <v>0.03</v>
      </c>
      <c r="H468" s="720"/>
      <c r="I468" s="24">
        <f t="shared" si="70"/>
        <v>1</v>
      </c>
      <c r="J468" s="720"/>
      <c r="K468" s="24">
        <f t="shared" si="71"/>
        <v>1</v>
      </c>
      <c r="L468" s="720"/>
      <c r="M468" s="24">
        <f t="shared" si="72"/>
        <v>1</v>
      </c>
      <c r="N468" s="720"/>
      <c r="O468" s="24">
        <f t="shared" si="73"/>
        <v>1</v>
      </c>
      <c r="P468" s="720"/>
      <c r="Q468" s="24">
        <f t="shared" si="74"/>
        <v>1</v>
      </c>
      <c r="R468" s="716">
        <f t="shared" si="75"/>
        <v>0</v>
      </c>
      <c r="S468" s="361">
        <f t="shared" si="66"/>
        <v>0</v>
      </c>
    </row>
    <row r="469" spans="1:19">
      <c r="A469" s="159"/>
      <c r="B469" s="59"/>
      <c r="C469" s="24">
        <f t="shared" si="67"/>
        <v>1</v>
      </c>
      <c r="D469" s="720"/>
      <c r="E469" s="24">
        <f t="shared" si="68"/>
        <v>1</v>
      </c>
      <c r="F469" s="720"/>
      <c r="G469" s="24">
        <f t="shared" si="69"/>
        <v>0.03</v>
      </c>
      <c r="H469" s="720"/>
      <c r="I469" s="24">
        <f t="shared" si="70"/>
        <v>1</v>
      </c>
      <c r="J469" s="720"/>
      <c r="K469" s="24">
        <f t="shared" si="71"/>
        <v>1</v>
      </c>
      <c r="L469" s="720"/>
      <c r="M469" s="24">
        <f t="shared" si="72"/>
        <v>1</v>
      </c>
      <c r="N469" s="720"/>
      <c r="O469" s="24">
        <f t="shared" si="73"/>
        <v>1</v>
      </c>
      <c r="P469" s="720"/>
      <c r="Q469" s="24">
        <f t="shared" si="74"/>
        <v>1</v>
      </c>
      <c r="R469" s="716">
        <f t="shared" si="75"/>
        <v>0</v>
      </c>
      <c r="S469" s="361">
        <f t="shared" si="66"/>
        <v>0</v>
      </c>
    </row>
    <row r="470" spans="1:19">
      <c r="A470" s="159"/>
      <c r="B470" s="59"/>
      <c r="C470" s="24">
        <f t="shared" si="67"/>
        <v>1</v>
      </c>
      <c r="D470" s="720"/>
      <c r="E470" s="24">
        <f t="shared" si="68"/>
        <v>1</v>
      </c>
      <c r="F470" s="720"/>
      <c r="G470" s="24">
        <f t="shared" si="69"/>
        <v>0.03</v>
      </c>
      <c r="H470" s="720"/>
      <c r="I470" s="24">
        <f t="shared" si="70"/>
        <v>1</v>
      </c>
      <c r="J470" s="720"/>
      <c r="K470" s="24">
        <f t="shared" si="71"/>
        <v>1</v>
      </c>
      <c r="L470" s="720"/>
      <c r="M470" s="24">
        <f t="shared" si="72"/>
        <v>1</v>
      </c>
      <c r="N470" s="720"/>
      <c r="O470" s="24">
        <f t="shared" si="73"/>
        <v>1</v>
      </c>
      <c r="P470" s="720"/>
      <c r="Q470" s="24">
        <f t="shared" si="74"/>
        <v>1</v>
      </c>
      <c r="R470" s="716">
        <f t="shared" si="75"/>
        <v>0</v>
      </c>
      <c r="S470" s="361">
        <f t="shared" si="66"/>
        <v>0</v>
      </c>
    </row>
    <row r="471" spans="1:19">
      <c r="A471" s="159"/>
      <c r="B471" s="59"/>
      <c r="C471" s="24">
        <f t="shared" si="67"/>
        <v>1</v>
      </c>
      <c r="D471" s="720"/>
      <c r="E471" s="24">
        <f t="shared" si="68"/>
        <v>1</v>
      </c>
      <c r="F471" s="720"/>
      <c r="G471" s="24">
        <f t="shared" si="69"/>
        <v>0.03</v>
      </c>
      <c r="H471" s="720"/>
      <c r="I471" s="24">
        <f t="shared" si="70"/>
        <v>1</v>
      </c>
      <c r="J471" s="720"/>
      <c r="K471" s="24">
        <f t="shared" si="71"/>
        <v>1</v>
      </c>
      <c r="L471" s="720"/>
      <c r="M471" s="24">
        <f t="shared" si="72"/>
        <v>1</v>
      </c>
      <c r="N471" s="720"/>
      <c r="O471" s="24">
        <f t="shared" si="73"/>
        <v>1</v>
      </c>
      <c r="P471" s="720"/>
      <c r="Q471" s="24">
        <f t="shared" si="74"/>
        <v>1</v>
      </c>
      <c r="R471" s="716">
        <f t="shared" si="75"/>
        <v>0</v>
      </c>
      <c r="S471" s="361">
        <f t="shared" si="66"/>
        <v>0</v>
      </c>
    </row>
    <row r="472" spans="1:19">
      <c r="A472" s="159"/>
      <c r="B472" s="59"/>
      <c r="C472" s="24">
        <f t="shared" si="67"/>
        <v>1</v>
      </c>
      <c r="D472" s="720"/>
      <c r="E472" s="24">
        <f t="shared" si="68"/>
        <v>1</v>
      </c>
      <c r="F472" s="720"/>
      <c r="G472" s="24">
        <f t="shared" si="69"/>
        <v>0.03</v>
      </c>
      <c r="H472" s="720"/>
      <c r="I472" s="24">
        <f t="shared" si="70"/>
        <v>1</v>
      </c>
      <c r="J472" s="720"/>
      <c r="K472" s="24">
        <f t="shared" si="71"/>
        <v>1</v>
      </c>
      <c r="L472" s="720"/>
      <c r="M472" s="24">
        <f t="shared" si="72"/>
        <v>1</v>
      </c>
      <c r="N472" s="720"/>
      <c r="O472" s="24">
        <f t="shared" si="73"/>
        <v>1</v>
      </c>
      <c r="P472" s="720"/>
      <c r="Q472" s="24">
        <f t="shared" si="74"/>
        <v>1</v>
      </c>
      <c r="R472" s="716">
        <f t="shared" si="75"/>
        <v>0</v>
      </c>
      <c r="S472" s="361">
        <f t="shared" ref="S472:S524" si="76">ROUND(R472*B472/10000,0)</f>
        <v>0</v>
      </c>
    </row>
    <row r="473" spans="1:19">
      <c r="A473" s="159"/>
      <c r="B473" s="59"/>
      <c r="C473" s="24">
        <f t="shared" si="67"/>
        <v>1</v>
      </c>
      <c r="D473" s="720"/>
      <c r="E473" s="24">
        <f t="shared" si="68"/>
        <v>1</v>
      </c>
      <c r="F473" s="720"/>
      <c r="G473" s="24">
        <f t="shared" si="69"/>
        <v>0.03</v>
      </c>
      <c r="H473" s="720"/>
      <c r="I473" s="24">
        <f t="shared" si="70"/>
        <v>1</v>
      </c>
      <c r="J473" s="720"/>
      <c r="K473" s="24">
        <f t="shared" si="71"/>
        <v>1</v>
      </c>
      <c r="L473" s="720"/>
      <c r="M473" s="24">
        <f t="shared" si="72"/>
        <v>1</v>
      </c>
      <c r="N473" s="720"/>
      <c r="O473" s="24">
        <f t="shared" si="73"/>
        <v>1</v>
      </c>
      <c r="P473" s="720"/>
      <c r="Q473" s="24">
        <f t="shared" si="74"/>
        <v>1</v>
      </c>
      <c r="R473" s="716">
        <f t="shared" si="75"/>
        <v>0</v>
      </c>
      <c r="S473" s="361">
        <f t="shared" si="76"/>
        <v>0</v>
      </c>
    </row>
    <row r="474" spans="1:19">
      <c r="A474" s="159"/>
      <c r="B474" s="59"/>
      <c r="C474" s="24">
        <f t="shared" ref="C474:C524" si="77">IF(B474="",1,(LOOKUP(B474,$3:$3,$4:$4)-LOOKUP($B$24,$3:$3,$4:$4)+100)/100)</f>
        <v>1</v>
      </c>
      <c r="D474" s="720"/>
      <c r="E474" s="24">
        <f t="shared" ref="E474:E524" si="78">(SUMIF($5:$5,D474,$6:$6)-SUMIF($5:$5,$D$24,$6:$6)+100)/100</f>
        <v>1</v>
      </c>
      <c r="F474" s="720"/>
      <c r="G474" s="24">
        <f t="shared" ref="G474:G524" si="79">(SUMIF($7:$7,F474,$8:$8)-SUMIF($7:$7,$F$24,$8:$8)+100)/100</f>
        <v>0.03</v>
      </c>
      <c r="H474" s="720"/>
      <c r="I474" s="24">
        <f t="shared" ref="I474:I524" si="80">(SUMIF($9:$9,H474,$10:$10)-SUMIF($9:$9,$H$24,$10:$10)+100)/100</f>
        <v>1</v>
      </c>
      <c r="J474" s="720"/>
      <c r="K474" s="24">
        <f t="shared" ref="K474:K524" si="81">(SUMIF($11:$11,J474,$12:$12)-SUMIF($11:$11,$J$24,$12:$12)+100)/100</f>
        <v>1</v>
      </c>
      <c r="L474" s="720"/>
      <c r="M474" s="24">
        <f t="shared" ref="M474:M524" si="82">(SUMIF($13:$13,L474,$14:$14)-SUMIF($13:$13,$L$24,$14:$14)+100)/100</f>
        <v>1</v>
      </c>
      <c r="N474" s="720"/>
      <c r="O474" s="24">
        <f t="shared" ref="O474:O524" si="83">(SUMIF($15:$15,N474,$16:$16)-SUMIF($15:$15,$N$24,$16:$16)+100)/100</f>
        <v>1</v>
      </c>
      <c r="P474" s="720"/>
      <c r="Q474" s="24">
        <f t="shared" ref="Q474:Q524" si="84">(SUMIF($17:$17,P474,$18:$18)-SUMIF($17:$17,$P$24,$18:$18)+100)/100</f>
        <v>1</v>
      </c>
      <c r="R474" s="716">
        <f t="shared" ref="R474:R524" si="85">IF(B474="",0,ROUND($R$24*C474*E474*G474*I474*K474*M474*O474*Q474,0))</f>
        <v>0</v>
      </c>
      <c r="S474" s="361">
        <f t="shared" si="76"/>
        <v>0</v>
      </c>
    </row>
    <row r="475" spans="1:19">
      <c r="A475" s="159"/>
      <c r="B475" s="59"/>
      <c r="C475" s="24">
        <f t="shared" si="77"/>
        <v>1</v>
      </c>
      <c r="D475" s="720"/>
      <c r="E475" s="24">
        <f t="shared" si="78"/>
        <v>1</v>
      </c>
      <c r="F475" s="720"/>
      <c r="G475" s="24">
        <f t="shared" si="79"/>
        <v>0.03</v>
      </c>
      <c r="H475" s="720"/>
      <c r="I475" s="24">
        <f t="shared" si="80"/>
        <v>1</v>
      </c>
      <c r="J475" s="720"/>
      <c r="K475" s="24">
        <f t="shared" si="81"/>
        <v>1</v>
      </c>
      <c r="L475" s="720"/>
      <c r="M475" s="24">
        <f t="shared" si="82"/>
        <v>1</v>
      </c>
      <c r="N475" s="720"/>
      <c r="O475" s="24">
        <f t="shared" si="83"/>
        <v>1</v>
      </c>
      <c r="P475" s="720"/>
      <c r="Q475" s="24">
        <f t="shared" si="84"/>
        <v>1</v>
      </c>
      <c r="R475" s="716">
        <f t="shared" si="85"/>
        <v>0</v>
      </c>
      <c r="S475" s="361">
        <f t="shared" si="76"/>
        <v>0</v>
      </c>
    </row>
    <row r="476" spans="1:19">
      <c r="A476" s="159"/>
      <c r="B476" s="59"/>
      <c r="C476" s="24">
        <f t="shared" si="77"/>
        <v>1</v>
      </c>
      <c r="D476" s="720"/>
      <c r="E476" s="24">
        <f t="shared" si="78"/>
        <v>1</v>
      </c>
      <c r="F476" s="720"/>
      <c r="G476" s="24">
        <f t="shared" si="79"/>
        <v>0.03</v>
      </c>
      <c r="H476" s="720"/>
      <c r="I476" s="24">
        <f t="shared" si="80"/>
        <v>1</v>
      </c>
      <c r="J476" s="720"/>
      <c r="K476" s="24">
        <f t="shared" si="81"/>
        <v>1</v>
      </c>
      <c r="L476" s="720"/>
      <c r="M476" s="24">
        <f t="shared" si="82"/>
        <v>1</v>
      </c>
      <c r="N476" s="720"/>
      <c r="O476" s="24">
        <f t="shared" si="83"/>
        <v>1</v>
      </c>
      <c r="P476" s="720"/>
      <c r="Q476" s="24">
        <f t="shared" si="84"/>
        <v>1</v>
      </c>
      <c r="R476" s="716">
        <f t="shared" si="85"/>
        <v>0</v>
      </c>
      <c r="S476" s="361">
        <f t="shared" si="76"/>
        <v>0</v>
      </c>
    </row>
    <row r="477" spans="1:19">
      <c r="A477" s="159"/>
      <c r="B477" s="59"/>
      <c r="C477" s="24">
        <f t="shared" si="77"/>
        <v>1</v>
      </c>
      <c r="D477" s="720"/>
      <c r="E477" s="24">
        <f t="shared" si="78"/>
        <v>1</v>
      </c>
      <c r="F477" s="720"/>
      <c r="G477" s="24">
        <f t="shared" si="79"/>
        <v>0.03</v>
      </c>
      <c r="H477" s="720"/>
      <c r="I477" s="24">
        <f t="shared" si="80"/>
        <v>1</v>
      </c>
      <c r="J477" s="720"/>
      <c r="K477" s="24">
        <f t="shared" si="81"/>
        <v>1</v>
      </c>
      <c r="L477" s="720"/>
      <c r="M477" s="24">
        <f t="shared" si="82"/>
        <v>1</v>
      </c>
      <c r="N477" s="720"/>
      <c r="O477" s="24">
        <f t="shared" si="83"/>
        <v>1</v>
      </c>
      <c r="P477" s="720"/>
      <c r="Q477" s="24">
        <f t="shared" si="84"/>
        <v>1</v>
      </c>
      <c r="R477" s="716">
        <f t="shared" si="85"/>
        <v>0</v>
      </c>
      <c r="S477" s="361">
        <f t="shared" si="76"/>
        <v>0</v>
      </c>
    </row>
    <row r="478" spans="1:19">
      <c r="A478" s="159"/>
      <c r="B478" s="59"/>
      <c r="C478" s="24">
        <f t="shared" si="77"/>
        <v>1</v>
      </c>
      <c r="D478" s="720"/>
      <c r="E478" s="24">
        <f t="shared" si="78"/>
        <v>1</v>
      </c>
      <c r="F478" s="720"/>
      <c r="G478" s="24">
        <f t="shared" si="79"/>
        <v>0.03</v>
      </c>
      <c r="H478" s="720"/>
      <c r="I478" s="24">
        <f t="shared" si="80"/>
        <v>1</v>
      </c>
      <c r="J478" s="720"/>
      <c r="K478" s="24">
        <f t="shared" si="81"/>
        <v>1</v>
      </c>
      <c r="L478" s="720"/>
      <c r="M478" s="24">
        <f t="shared" si="82"/>
        <v>1</v>
      </c>
      <c r="N478" s="720"/>
      <c r="O478" s="24">
        <f t="shared" si="83"/>
        <v>1</v>
      </c>
      <c r="P478" s="720"/>
      <c r="Q478" s="24">
        <f t="shared" si="84"/>
        <v>1</v>
      </c>
      <c r="R478" s="716">
        <f t="shared" si="85"/>
        <v>0</v>
      </c>
      <c r="S478" s="361">
        <f t="shared" si="76"/>
        <v>0</v>
      </c>
    </row>
    <row r="479" spans="1:19">
      <c r="A479" s="159"/>
      <c r="B479" s="59"/>
      <c r="C479" s="24">
        <f t="shared" si="77"/>
        <v>1</v>
      </c>
      <c r="D479" s="720"/>
      <c r="E479" s="24">
        <f t="shared" si="78"/>
        <v>1</v>
      </c>
      <c r="F479" s="720"/>
      <c r="G479" s="24">
        <f t="shared" si="79"/>
        <v>0.03</v>
      </c>
      <c r="H479" s="720"/>
      <c r="I479" s="24">
        <f t="shared" si="80"/>
        <v>1</v>
      </c>
      <c r="J479" s="720"/>
      <c r="K479" s="24">
        <f t="shared" si="81"/>
        <v>1</v>
      </c>
      <c r="L479" s="720"/>
      <c r="M479" s="24">
        <f t="shared" si="82"/>
        <v>1</v>
      </c>
      <c r="N479" s="720"/>
      <c r="O479" s="24">
        <f t="shared" si="83"/>
        <v>1</v>
      </c>
      <c r="P479" s="720"/>
      <c r="Q479" s="24">
        <f t="shared" si="84"/>
        <v>1</v>
      </c>
      <c r="R479" s="716">
        <f t="shared" si="85"/>
        <v>0</v>
      </c>
      <c r="S479" s="361">
        <f t="shared" si="76"/>
        <v>0</v>
      </c>
    </row>
    <row r="480" spans="1:19">
      <c r="A480" s="159"/>
      <c r="B480" s="59"/>
      <c r="C480" s="24">
        <f t="shared" si="77"/>
        <v>1</v>
      </c>
      <c r="D480" s="720"/>
      <c r="E480" s="24">
        <f t="shared" si="78"/>
        <v>1</v>
      </c>
      <c r="F480" s="720"/>
      <c r="G480" s="24">
        <f t="shared" si="79"/>
        <v>0.03</v>
      </c>
      <c r="H480" s="720"/>
      <c r="I480" s="24">
        <f t="shared" si="80"/>
        <v>1</v>
      </c>
      <c r="J480" s="720"/>
      <c r="K480" s="24">
        <f t="shared" si="81"/>
        <v>1</v>
      </c>
      <c r="L480" s="720"/>
      <c r="M480" s="24">
        <f t="shared" si="82"/>
        <v>1</v>
      </c>
      <c r="N480" s="720"/>
      <c r="O480" s="24">
        <f t="shared" si="83"/>
        <v>1</v>
      </c>
      <c r="P480" s="720"/>
      <c r="Q480" s="24">
        <f t="shared" si="84"/>
        <v>1</v>
      </c>
      <c r="R480" s="716">
        <f t="shared" si="85"/>
        <v>0</v>
      </c>
      <c r="S480" s="361">
        <f t="shared" si="76"/>
        <v>0</v>
      </c>
    </row>
    <row r="481" spans="1:19">
      <c r="A481" s="159"/>
      <c r="B481" s="59"/>
      <c r="C481" s="24">
        <f t="shared" si="77"/>
        <v>1</v>
      </c>
      <c r="D481" s="720"/>
      <c r="E481" s="24">
        <f t="shared" si="78"/>
        <v>1</v>
      </c>
      <c r="F481" s="720"/>
      <c r="G481" s="24">
        <f t="shared" si="79"/>
        <v>0.03</v>
      </c>
      <c r="H481" s="720"/>
      <c r="I481" s="24">
        <f t="shared" si="80"/>
        <v>1</v>
      </c>
      <c r="J481" s="720"/>
      <c r="K481" s="24">
        <f t="shared" si="81"/>
        <v>1</v>
      </c>
      <c r="L481" s="720"/>
      <c r="M481" s="24">
        <f t="shared" si="82"/>
        <v>1</v>
      </c>
      <c r="N481" s="720"/>
      <c r="O481" s="24">
        <f t="shared" si="83"/>
        <v>1</v>
      </c>
      <c r="P481" s="720"/>
      <c r="Q481" s="24">
        <f t="shared" si="84"/>
        <v>1</v>
      </c>
      <c r="R481" s="716">
        <f t="shared" si="85"/>
        <v>0</v>
      </c>
      <c r="S481" s="361">
        <f t="shared" si="76"/>
        <v>0</v>
      </c>
    </row>
    <row r="482" spans="1:19">
      <c r="A482" s="159"/>
      <c r="B482" s="59"/>
      <c r="C482" s="24">
        <f t="shared" si="77"/>
        <v>1</v>
      </c>
      <c r="D482" s="720"/>
      <c r="E482" s="24">
        <f t="shared" si="78"/>
        <v>1</v>
      </c>
      <c r="F482" s="720"/>
      <c r="G482" s="24">
        <f t="shared" si="79"/>
        <v>0.03</v>
      </c>
      <c r="H482" s="720"/>
      <c r="I482" s="24">
        <f t="shared" si="80"/>
        <v>1</v>
      </c>
      <c r="J482" s="720"/>
      <c r="K482" s="24">
        <f t="shared" si="81"/>
        <v>1</v>
      </c>
      <c r="L482" s="720"/>
      <c r="M482" s="24">
        <f t="shared" si="82"/>
        <v>1</v>
      </c>
      <c r="N482" s="720"/>
      <c r="O482" s="24">
        <f t="shared" si="83"/>
        <v>1</v>
      </c>
      <c r="P482" s="720"/>
      <c r="Q482" s="24">
        <f t="shared" si="84"/>
        <v>1</v>
      </c>
      <c r="R482" s="716">
        <f t="shared" si="85"/>
        <v>0</v>
      </c>
      <c r="S482" s="361">
        <f t="shared" si="76"/>
        <v>0</v>
      </c>
    </row>
    <row r="483" spans="1:19">
      <c r="A483" s="159"/>
      <c r="B483" s="59"/>
      <c r="C483" s="24">
        <f t="shared" si="77"/>
        <v>1</v>
      </c>
      <c r="D483" s="720"/>
      <c r="E483" s="24">
        <f t="shared" si="78"/>
        <v>1</v>
      </c>
      <c r="F483" s="720"/>
      <c r="G483" s="24">
        <f t="shared" si="79"/>
        <v>0.03</v>
      </c>
      <c r="H483" s="720"/>
      <c r="I483" s="24">
        <f t="shared" si="80"/>
        <v>1</v>
      </c>
      <c r="J483" s="720"/>
      <c r="K483" s="24">
        <f t="shared" si="81"/>
        <v>1</v>
      </c>
      <c r="L483" s="720"/>
      <c r="M483" s="24">
        <f t="shared" si="82"/>
        <v>1</v>
      </c>
      <c r="N483" s="720"/>
      <c r="O483" s="24">
        <f t="shared" si="83"/>
        <v>1</v>
      </c>
      <c r="P483" s="720"/>
      <c r="Q483" s="24">
        <f t="shared" si="84"/>
        <v>1</v>
      </c>
      <c r="R483" s="716">
        <f t="shared" si="85"/>
        <v>0</v>
      </c>
      <c r="S483" s="361">
        <f t="shared" si="76"/>
        <v>0</v>
      </c>
    </row>
    <row r="484" spans="1:19">
      <c r="A484" s="159"/>
      <c r="B484" s="59"/>
      <c r="C484" s="24">
        <f t="shared" si="77"/>
        <v>1</v>
      </c>
      <c r="D484" s="720"/>
      <c r="E484" s="24">
        <f t="shared" si="78"/>
        <v>1</v>
      </c>
      <c r="F484" s="720"/>
      <c r="G484" s="24">
        <f t="shared" si="79"/>
        <v>0.03</v>
      </c>
      <c r="H484" s="720"/>
      <c r="I484" s="24">
        <f t="shared" si="80"/>
        <v>1</v>
      </c>
      <c r="J484" s="720"/>
      <c r="K484" s="24">
        <f t="shared" si="81"/>
        <v>1</v>
      </c>
      <c r="L484" s="720"/>
      <c r="M484" s="24">
        <f t="shared" si="82"/>
        <v>1</v>
      </c>
      <c r="N484" s="720"/>
      <c r="O484" s="24">
        <f t="shared" si="83"/>
        <v>1</v>
      </c>
      <c r="P484" s="720"/>
      <c r="Q484" s="24">
        <f t="shared" si="84"/>
        <v>1</v>
      </c>
      <c r="R484" s="716">
        <f t="shared" si="85"/>
        <v>0</v>
      </c>
      <c r="S484" s="361">
        <f t="shared" si="76"/>
        <v>0</v>
      </c>
    </row>
    <row r="485" spans="1:19">
      <c r="A485" s="159"/>
      <c r="B485" s="59"/>
      <c r="C485" s="24">
        <f t="shared" si="77"/>
        <v>1</v>
      </c>
      <c r="D485" s="720"/>
      <c r="E485" s="24">
        <f t="shared" si="78"/>
        <v>1</v>
      </c>
      <c r="F485" s="720"/>
      <c r="G485" s="24">
        <f t="shared" si="79"/>
        <v>0.03</v>
      </c>
      <c r="H485" s="720"/>
      <c r="I485" s="24">
        <f t="shared" si="80"/>
        <v>1</v>
      </c>
      <c r="J485" s="720"/>
      <c r="K485" s="24">
        <f t="shared" si="81"/>
        <v>1</v>
      </c>
      <c r="L485" s="720"/>
      <c r="M485" s="24">
        <f t="shared" si="82"/>
        <v>1</v>
      </c>
      <c r="N485" s="720"/>
      <c r="O485" s="24">
        <f t="shared" si="83"/>
        <v>1</v>
      </c>
      <c r="P485" s="720"/>
      <c r="Q485" s="24">
        <f t="shared" si="84"/>
        <v>1</v>
      </c>
      <c r="R485" s="716">
        <f t="shared" si="85"/>
        <v>0</v>
      </c>
      <c r="S485" s="361">
        <f t="shared" si="76"/>
        <v>0</v>
      </c>
    </row>
    <row r="486" spans="1:19">
      <c r="A486" s="159"/>
      <c r="B486" s="59"/>
      <c r="C486" s="24">
        <f t="shared" si="77"/>
        <v>1</v>
      </c>
      <c r="D486" s="720"/>
      <c r="E486" s="24">
        <f t="shared" si="78"/>
        <v>1</v>
      </c>
      <c r="F486" s="720"/>
      <c r="G486" s="24">
        <f t="shared" si="79"/>
        <v>0.03</v>
      </c>
      <c r="H486" s="720"/>
      <c r="I486" s="24">
        <f t="shared" si="80"/>
        <v>1</v>
      </c>
      <c r="J486" s="720"/>
      <c r="K486" s="24">
        <f t="shared" si="81"/>
        <v>1</v>
      </c>
      <c r="L486" s="720"/>
      <c r="M486" s="24">
        <f t="shared" si="82"/>
        <v>1</v>
      </c>
      <c r="N486" s="720"/>
      <c r="O486" s="24">
        <f t="shared" si="83"/>
        <v>1</v>
      </c>
      <c r="P486" s="720"/>
      <c r="Q486" s="24">
        <f t="shared" si="84"/>
        <v>1</v>
      </c>
      <c r="R486" s="716">
        <f t="shared" si="85"/>
        <v>0</v>
      </c>
      <c r="S486" s="361">
        <f t="shared" si="76"/>
        <v>0</v>
      </c>
    </row>
    <row r="487" spans="1:19">
      <c r="A487" s="159"/>
      <c r="B487" s="59"/>
      <c r="C487" s="24">
        <f t="shared" si="77"/>
        <v>1</v>
      </c>
      <c r="D487" s="720"/>
      <c r="E487" s="24">
        <f t="shared" si="78"/>
        <v>1</v>
      </c>
      <c r="F487" s="720"/>
      <c r="G487" s="24">
        <f t="shared" si="79"/>
        <v>0.03</v>
      </c>
      <c r="H487" s="720"/>
      <c r="I487" s="24">
        <f t="shared" si="80"/>
        <v>1</v>
      </c>
      <c r="J487" s="720"/>
      <c r="K487" s="24">
        <f t="shared" si="81"/>
        <v>1</v>
      </c>
      <c r="L487" s="720"/>
      <c r="M487" s="24">
        <f t="shared" si="82"/>
        <v>1</v>
      </c>
      <c r="N487" s="720"/>
      <c r="O487" s="24">
        <f t="shared" si="83"/>
        <v>1</v>
      </c>
      <c r="P487" s="720"/>
      <c r="Q487" s="24">
        <f t="shared" si="84"/>
        <v>1</v>
      </c>
      <c r="R487" s="716">
        <f t="shared" si="85"/>
        <v>0</v>
      </c>
      <c r="S487" s="361">
        <f t="shared" si="76"/>
        <v>0</v>
      </c>
    </row>
    <row r="488" spans="1:19">
      <c r="A488" s="159"/>
      <c r="B488" s="59"/>
      <c r="C488" s="24">
        <f t="shared" si="77"/>
        <v>1</v>
      </c>
      <c r="D488" s="720"/>
      <c r="E488" s="24">
        <f t="shared" si="78"/>
        <v>1</v>
      </c>
      <c r="F488" s="720"/>
      <c r="G488" s="24">
        <f t="shared" si="79"/>
        <v>0.03</v>
      </c>
      <c r="H488" s="720"/>
      <c r="I488" s="24">
        <f t="shared" si="80"/>
        <v>1</v>
      </c>
      <c r="J488" s="720"/>
      <c r="K488" s="24">
        <f t="shared" si="81"/>
        <v>1</v>
      </c>
      <c r="L488" s="720"/>
      <c r="M488" s="24">
        <f t="shared" si="82"/>
        <v>1</v>
      </c>
      <c r="N488" s="720"/>
      <c r="O488" s="24">
        <f t="shared" si="83"/>
        <v>1</v>
      </c>
      <c r="P488" s="720"/>
      <c r="Q488" s="24">
        <f t="shared" si="84"/>
        <v>1</v>
      </c>
      <c r="R488" s="716">
        <f t="shared" si="85"/>
        <v>0</v>
      </c>
      <c r="S488" s="361">
        <f t="shared" si="76"/>
        <v>0</v>
      </c>
    </row>
    <row r="489" spans="1:19">
      <c r="A489" s="159"/>
      <c r="B489" s="59"/>
      <c r="C489" s="24">
        <f t="shared" si="77"/>
        <v>1</v>
      </c>
      <c r="D489" s="720"/>
      <c r="E489" s="24">
        <f t="shared" si="78"/>
        <v>1</v>
      </c>
      <c r="F489" s="720"/>
      <c r="G489" s="24">
        <f t="shared" si="79"/>
        <v>0.03</v>
      </c>
      <c r="H489" s="720"/>
      <c r="I489" s="24">
        <f t="shared" si="80"/>
        <v>1</v>
      </c>
      <c r="J489" s="720"/>
      <c r="K489" s="24">
        <f t="shared" si="81"/>
        <v>1</v>
      </c>
      <c r="L489" s="720"/>
      <c r="M489" s="24">
        <f t="shared" si="82"/>
        <v>1</v>
      </c>
      <c r="N489" s="720"/>
      <c r="O489" s="24">
        <f t="shared" si="83"/>
        <v>1</v>
      </c>
      <c r="P489" s="720"/>
      <c r="Q489" s="24">
        <f t="shared" si="84"/>
        <v>1</v>
      </c>
      <c r="R489" s="716">
        <f t="shared" si="85"/>
        <v>0</v>
      </c>
      <c r="S489" s="361">
        <f t="shared" si="76"/>
        <v>0</v>
      </c>
    </row>
    <row r="490" spans="1:19">
      <c r="A490" s="159"/>
      <c r="B490" s="59"/>
      <c r="C490" s="24">
        <f t="shared" si="77"/>
        <v>1</v>
      </c>
      <c r="D490" s="720"/>
      <c r="E490" s="24">
        <f t="shared" si="78"/>
        <v>1</v>
      </c>
      <c r="F490" s="720"/>
      <c r="G490" s="24">
        <f t="shared" si="79"/>
        <v>0.03</v>
      </c>
      <c r="H490" s="720"/>
      <c r="I490" s="24">
        <f t="shared" si="80"/>
        <v>1</v>
      </c>
      <c r="J490" s="720"/>
      <c r="K490" s="24">
        <f t="shared" si="81"/>
        <v>1</v>
      </c>
      <c r="L490" s="720"/>
      <c r="M490" s="24">
        <f t="shared" si="82"/>
        <v>1</v>
      </c>
      <c r="N490" s="720"/>
      <c r="O490" s="24">
        <f t="shared" si="83"/>
        <v>1</v>
      </c>
      <c r="P490" s="720"/>
      <c r="Q490" s="24">
        <f t="shared" si="84"/>
        <v>1</v>
      </c>
      <c r="R490" s="716">
        <f t="shared" si="85"/>
        <v>0</v>
      </c>
      <c r="S490" s="361">
        <f t="shared" si="76"/>
        <v>0</v>
      </c>
    </row>
    <row r="491" spans="1:19">
      <c r="A491" s="159"/>
      <c r="B491" s="59"/>
      <c r="C491" s="24">
        <f t="shared" si="77"/>
        <v>1</v>
      </c>
      <c r="D491" s="720"/>
      <c r="E491" s="24">
        <f t="shared" si="78"/>
        <v>1</v>
      </c>
      <c r="F491" s="720"/>
      <c r="G491" s="24">
        <f t="shared" si="79"/>
        <v>0.03</v>
      </c>
      <c r="H491" s="720"/>
      <c r="I491" s="24">
        <f t="shared" si="80"/>
        <v>1</v>
      </c>
      <c r="J491" s="720"/>
      <c r="K491" s="24">
        <f t="shared" si="81"/>
        <v>1</v>
      </c>
      <c r="L491" s="720"/>
      <c r="M491" s="24">
        <f t="shared" si="82"/>
        <v>1</v>
      </c>
      <c r="N491" s="720"/>
      <c r="O491" s="24">
        <f t="shared" si="83"/>
        <v>1</v>
      </c>
      <c r="P491" s="720"/>
      <c r="Q491" s="24">
        <f t="shared" si="84"/>
        <v>1</v>
      </c>
      <c r="R491" s="716">
        <f t="shared" si="85"/>
        <v>0</v>
      </c>
      <c r="S491" s="361">
        <f t="shared" si="76"/>
        <v>0</v>
      </c>
    </row>
    <row r="492" spans="1:19">
      <c r="A492" s="159"/>
      <c r="B492" s="59"/>
      <c r="C492" s="24">
        <f t="shared" si="77"/>
        <v>1</v>
      </c>
      <c r="D492" s="720"/>
      <c r="E492" s="24">
        <f t="shared" si="78"/>
        <v>1</v>
      </c>
      <c r="F492" s="720"/>
      <c r="G492" s="24">
        <f t="shared" si="79"/>
        <v>0.03</v>
      </c>
      <c r="H492" s="720"/>
      <c r="I492" s="24">
        <f t="shared" si="80"/>
        <v>1</v>
      </c>
      <c r="J492" s="720"/>
      <c r="K492" s="24">
        <f t="shared" si="81"/>
        <v>1</v>
      </c>
      <c r="L492" s="720"/>
      <c r="M492" s="24">
        <f t="shared" si="82"/>
        <v>1</v>
      </c>
      <c r="N492" s="720"/>
      <c r="O492" s="24">
        <f t="shared" si="83"/>
        <v>1</v>
      </c>
      <c r="P492" s="720"/>
      <c r="Q492" s="24">
        <f t="shared" si="84"/>
        <v>1</v>
      </c>
      <c r="R492" s="716">
        <f t="shared" si="85"/>
        <v>0</v>
      </c>
      <c r="S492" s="361">
        <f t="shared" si="76"/>
        <v>0</v>
      </c>
    </row>
    <row r="493" spans="1:19">
      <c r="A493" s="159"/>
      <c r="B493" s="59"/>
      <c r="C493" s="24">
        <f t="shared" si="77"/>
        <v>1</v>
      </c>
      <c r="D493" s="720"/>
      <c r="E493" s="24">
        <f t="shared" si="78"/>
        <v>1</v>
      </c>
      <c r="F493" s="720"/>
      <c r="G493" s="24">
        <f t="shared" si="79"/>
        <v>0.03</v>
      </c>
      <c r="H493" s="720"/>
      <c r="I493" s="24">
        <f t="shared" si="80"/>
        <v>1</v>
      </c>
      <c r="J493" s="720"/>
      <c r="K493" s="24">
        <f t="shared" si="81"/>
        <v>1</v>
      </c>
      <c r="L493" s="720"/>
      <c r="M493" s="24">
        <f t="shared" si="82"/>
        <v>1</v>
      </c>
      <c r="N493" s="720"/>
      <c r="O493" s="24">
        <f t="shared" si="83"/>
        <v>1</v>
      </c>
      <c r="P493" s="720"/>
      <c r="Q493" s="24">
        <f t="shared" si="84"/>
        <v>1</v>
      </c>
      <c r="R493" s="716">
        <f t="shared" si="85"/>
        <v>0</v>
      </c>
      <c r="S493" s="361">
        <f t="shared" si="76"/>
        <v>0</v>
      </c>
    </row>
    <row r="494" spans="1:19">
      <c r="A494" s="159"/>
      <c r="B494" s="59"/>
      <c r="C494" s="24">
        <f t="shared" si="77"/>
        <v>1</v>
      </c>
      <c r="D494" s="720"/>
      <c r="E494" s="24">
        <f t="shared" si="78"/>
        <v>1</v>
      </c>
      <c r="F494" s="720"/>
      <c r="G494" s="24">
        <f t="shared" si="79"/>
        <v>0.03</v>
      </c>
      <c r="H494" s="720"/>
      <c r="I494" s="24">
        <f t="shared" si="80"/>
        <v>1</v>
      </c>
      <c r="J494" s="720"/>
      <c r="K494" s="24">
        <f t="shared" si="81"/>
        <v>1</v>
      </c>
      <c r="L494" s="720"/>
      <c r="M494" s="24">
        <f t="shared" si="82"/>
        <v>1</v>
      </c>
      <c r="N494" s="720"/>
      <c r="O494" s="24">
        <f t="shared" si="83"/>
        <v>1</v>
      </c>
      <c r="P494" s="720"/>
      <c r="Q494" s="24">
        <f t="shared" si="84"/>
        <v>1</v>
      </c>
      <c r="R494" s="716">
        <f t="shared" si="85"/>
        <v>0</v>
      </c>
      <c r="S494" s="361">
        <f t="shared" si="76"/>
        <v>0</v>
      </c>
    </row>
    <row r="495" spans="1:19">
      <c r="A495" s="159"/>
      <c r="B495" s="59"/>
      <c r="C495" s="24">
        <f t="shared" si="77"/>
        <v>1</v>
      </c>
      <c r="D495" s="720"/>
      <c r="E495" s="24">
        <f t="shared" si="78"/>
        <v>1</v>
      </c>
      <c r="F495" s="720"/>
      <c r="G495" s="24">
        <f t="shared" si="79"/>
        <v>0.03</v>
      </c>
      <c r="H495" s="720"/>
      <c r="I495" s="24">
        <f t="shared" si="80"/>
        <v>1</v>
      </c>
      <c r="J495" s="720"/>
      <c r="K495" s="24">
        <f t="shared" si="81"/>
        <v>1</v>
      </c>
      <c r="L495" s="720"/>
      <c r="M495" s="24">
        <f t="shared" si="82"/>
        <v>1</v>
      </c>
      <c r="N495" s="720"/>
      <c r="O495" s="24">
        <f t="shared" si="83"/>
        <v>1</v>
      </c>
      <c r="P495" s="720"/>
      <c r="Q495" s="24">
        <f t="shared" si="84"/>
        <v>1</v>
      </c>
      <c r="R495" s="716">
        <f t="shared" si="85"/>
        <v>0</v>
      </c>
      <c r="S495" s="361">
        <f t="shared" si="76"/>
        <v>0</v>
      </c>
    </row>
    <row r="496" spans="1:19">
      <c r="A496" s="159"/>
      <c r="B496" s="59"/>
      <c r="C496" s="24">
        <f t="shared" si="77"/>
        <v>1</v>
      </c>
      <c r="D496" s="720"/>
      <c r="E496" s="24">
        <f t="shared" si="78"/>
        <v>1</v>
      </c>
      <c r="F496" s="720"/>
      <c r="G496" s="24">
        <f t="shared" si="79"/>
        <v>0.03</v>
      </c>
      <c r="H496" s="720"/>
      <c r="I496" s="24">
        <f t="shared" si="80"/>
        <v>1</v>
      </c>
      <c r="J496" s="720"/>
      <c r="K496" s="24">
        <f t="shared" si="81"/>
        <v>1</v>
      </c>
      <c r="L496" s="720"/>
      <c r="M496" s="24">
        <f t="shared" si="82"/>
        <v>1</v>
      </c>
      <c r="N496" s="720"/>
      <c r="O496" s="24">
        <f t="shared" si="83"/>
        <v>1</v>
      </c>
      <c r="P496" s="720"/>
      <c r="Q496" s="24">
        <f t="shared" si="84"/>
        <v>1</v>
      </c>
      <c r="R496" s="716">
        <f t="shared" si="85"/>
        <v>0</v>
      </c>
      <c r="S496" s="361">
        <f t="shared" si="76"/>
        <v>0</v>
      </c>
    </row>
    <row r="497" spans="1:19">
      <c r="A497" s="159"/>
      <c r="B497" s="59"/>
      <c r="C497" s="24">
        <f t="shared" si="77"/>
        <v>1</v>
      </c>
      <c r="D497" s="720"/>
      <c r="E497" s="24">
        <f t="shared" si="78"/>
        <v>1</v>
      </c>
      <c r="F497" s="720"/>
      <c r="G497" s="24">
        <f t="shared" si="79"/>
        <v>0.03</v>
      </c>
      <c r="H497" s="720"/>
      <c r="I497" s="24">
        <f t="shared" si="80"/>
        <v>1</v>
      </c>
      <c r="J497" s="720"/>
      <c r="K497" s="24">
        <f t="shared" si="81"/>
        <v>1</v>
      </c>
      <c r="L497" s="720"/>
      <c r="M497" s="24">
        <f t="shared" si="82"/>
        <v>1</v>
      </c>
      <c r="N497" s="720"/>
      <c r="O497" s="24">
        <f t="shared" si="83"/>
        <v>1</v>
      </c>
      <c r="P497" s="720"/>
      <c r="Q497" s="24">
        <f t="shared" si="84"/>
        <v>1</v>
      </c>
      <c r="R497" s="716">
        <f t="shared" si="85"/>
        <v>0</v>
      </c>
      <c r="S497" s="361">
        <f t="shared" si="76"/>
        <v>0</v>
      </c>
    </row>
    <row r="498" spans="1:19">
      <c r="A498" s="159"/>
      <c r="B498" s="59"/>
      <c r="C498" s="24">
        <f t="shared" si="77"/>
        <v>1</v>
      </c>
      <c r="D498" s="720"/>
      <c r="E498" s="24">
        <f t="shared" si="78"/>
        <v>1</v>
      </c>
      <c r="F498" s="720"/>
      <c r="G498" s="24">
        <f t="shared" si="79"/>
        <v>0.03</v>
      </c>
      <c r="H498" s="720"/>
      <c r="I498" s="24">
        <f t="shared" si="80"/>
        <v>1</v>
      </c>
      <c r="J498" s="720"/>
      <c r="K498" s="24">
        <f t="shared" si="81"/>
        <v>1</v>
      </c>
      <c r="L498" s="720"/>
      <c r="M498" s="24">
        <f t="shared" si="82"/>
        <v>1</v>
      </c>
      <c r="N498" s="720"/>
      <c r="O498" s="24">
        <f t="shared" si="83"/>
        <v>1</v>
      </c>
      <c r="P498" s="720"/>
      <c r="Q498" s="24">
        <f t="shared" si="84"/>
        <v>1</v>
      </c>
      <c r="R498" s="716">
        <f t="shared" si="85"/>
        <v>0</v>
      </c>
      <c r="S498" s="361">
        <f t="shared" si="76"/>
        <v>0</v>
      </c>
    </row>
    <row r="499" spans="1:19">
      <c r="A499" s="159"/>
      <c r="B499" s="59"/>
      <c r="C499" s="24">
        <f t="shared" si="77"/>
        <v>1</v>
      </c>
      <c r="D499" s="720"/>
      <c r="E499" s="24">
        <f t="shared" si="78"/>
        <v>1</v>
      </c>
      <c r="F499" s="720"/>
      <c r="G499" s="24">
        <f t="shared" si="79"/>
        <v>0.03</v>
      </c>
      <c r="H499" s="720"/>
      <c r="I499" s="24">
        <f t="shared" si="80"/>
        <v>1</v>
      </c>
      <c r="J499" s="720"/>
      <c r="K499" s="24">
        <f t="shared" si="81"/>
        <v>1</v>
      </c>
      <c r="L499" s="720"/>
      <c r="M499" s="24">
        <f t="shared" si="82"/>
        <v>1</v>
      </c>
      <c r="N499" s="720"/>
      <c r="O499" s="24">
        <f t="shared" si="83"/>
        <v>1</v>
      </c>
      <c r="P499" s="720"/>
      <c r="Q499" s="24">
        <f t="shared" si="84"/>
        <v>1</v>
      </c>
      <c r="R499" s="716">
        <f t="shared" si="85"/>
        <v>0</v>
      </c>
      <c r="S499" s="361">
        <f t="shared" si="76"/>
        <v>0</v>
      </c>
    </row>
    <row r="500" spans="1:19">
      <c r="A500" s="159"/>
      <c r="B500" s="59"/>
      <c r="C500" s="24">
        <f t="shared" si="77"/>
        <v>1</v>
      </c>
      <c r="D500" s="720"/>
      <c r="E500" s="24">
        <f t="shared" si="78"/>
        <v>1</v>
      </c>
      <c r="F500" s="720"/>
      <c r="G500" s="24">
        <f t="shared" si="79"/>
        <v>0.03</v>
      </c>
      <c r="H500" s="720"/>
      <c r="I500" s="24">
        <f t="shared" si="80"/>
        <v>1</v>
      </c>
      <c r="J500" s="720"/>
      <c r="K500" s="24">
        <f t="shared" si="81"/>
        <v>1</v>
      </c>
      <c r="L500" s="720"/>
      <c r="M500" s="24">
        <f t="shared" si="82"/>
        <v>1</v>
      </c>
      <c r="N500" s="720"/>
      <c r="O500" s="24">
        <f t="shared" si="83"/>
        <v>1</v>
      </c>
      <c r="P500" s="720"/>
      <c r="Q500" s="24">
        <f t="shared" si="84"/>
        <v>1</v>
      </c>
      <c r="R500" s="716">
        <f t="shared" si="85"/>
        <v>0</v>
      </c>
      <c r="S500" s="361">
        <f t="shared" si="76"/>
        <v>0</v>
      </c>
    </row>
    <row r="501" spans="1:19">
      <c r="A501" s="159"/>
      <c r="B501" s="59"/>
      <c r="C501" s="24">
        <f t="shared" si="77"/>
        <v>1</v>
      </c>
      <c r="D501" s="720"/>
      <c r="E501" s="24">
        <f t="shared" si="78"/>
        <v>1</v>
      </c>
      <c r="F501" s="720"/>
      <c r="G501" s="24">
        <f t="shared" si="79"/>
        <v>0.03</v>
      </c>
      <c r="H501" s="720"/>
      <c r="I501" s="24">
        <f t="shared" si="80"/>
        <v>1</v>
      </c>
      <c r="J501" s="720"/>
      <c r="K501" s="24">
        <f t="shared" si="81"/>
        <v>1</v>
      </c>
      <c r="L501" s="720"/>
      <c r="M501" s="24">
        <f t="shared" si="82"/>
        <v>1</v>
      </c>
      <c r="N501" s="720"/>
      <c r="O501" s="24">
        <f t="shared" si="83"/>
        <v>1</v>
      </c>
      <c r="P501" s="720"/>
      <c r="Q501" s="24">
        <f t="shared" si="84"/>
        <v>1</v>
      </c>
      <c r="R501" s="716">
        <f t="shared" si="85"/>
        <v>0</v>
      </c>
      <c r="S501" s="361">
        <f t="shared" si="76"/>
        <v>0</v>
      </c>
    </row>
    <row r="502" spans="1:19">
      <c r="A502" s="159"/>
      <c r="B502" s="59"/>
      <c r="C502" s="24">
        <f t="shared" si="77"/>
        <v>1</v>
      </c>
      <c r="D502" s="720"/>
      <c r="E502" s="24">
        <f t="shared" si="78"/>
        <v>1</v>
      </c>
      <c r="F502" s="720"/>
      <c r="G502" s="24">
        <f t="shared" si="79"/>
        <v>0.03</v>
      </c>
      <c r="H502" s="720"/>
      <c r="I502" s="24">
        <f t="shared" si="80"/>
        <v>1</v>
      </c>
      <c r="J502" s="720"/>
      <c r="K502" s="24">
        <f t="shared" si="81"/>
        <v>1</v>
      </c>
      <c r="L502" s="720"/>
      <c r="M502" s="24">
        <f t="shared" si="82"/>
        <v>1</v>
      </c>
      <c r="N502" s="720"/>
      <c r="O502" s="24">
        <f t="shared" si="83"/>
        <v>1</v>
      </c>
      <c r="P502" s="720"/>
      <c r="Q502" s="24">
        <f t="shared" si="84"/>
        <v>1</v>
      </c>
      <c r="R502" s="716">
        <f t="shared" si="85"/>
        <v>0</v>
      </c>
      <c r="S502" s="361">
        <f t="shared" si="76"/>
        <v>0</v>
      </c>
    </row>
    <row r="503" spans="1:19">
      <c r="A503" s="159"/>
      <c r="B503" s="59"/>
      <c r="C503" s="24">
        <f t="shared" si="77"/>
        <v>1</v>
      </c>
      <c r="D503" s="720"/>
      <c r="E503" s="24">
        <f t="shared" si="78"/>
        <v>1</v>
      </c>
      <c r="F503" s="720"/>
      <c r="G503" s="24">
        <f t="shared" si="79"/>
        <v>0.03</v>
      </c>
      <c r="H503" s="720"/>
      <c r="I503" s="24">
        <f t="shared" si="80"/>
        <v>1</v>
      </c>
      <c r="J503" s="720"/>
      <c r="K503" s="24">
        <f t="shared" si="81"/>
        <v>1</v>
      </c>
      <c r="L503" s="720"/>
      <c r="M503" s="24">
        <f t="shared" si="82"/>
        <v>1</v>
      </c>
      <c r="N503" s="720"/>
      <c r="O503" s="24">
        <f t="shared" si="83"/>
        <v>1</v>
      </c>
      <c r="P503" s="720"/>
      <c r="Q503" s="24">
        <f t="shared" si="84"/>
        <v>1</v>
      </c>
      <c r="R503" s="716">
        <f t="shared" si="85"/>
        <v>0</v>
      </c>
      <c r="S503" s="361">
        <f t="shared" si="76"/>
        <v>0</v>
      </c>
    </row>
    <row r="504" spans="1:19">
      <c r="A504" s="159"/>
      <c r="B504" s="59"/>
      <c r="C504" s="24">
        <f t="shared" si="77"/>
        <v>1</v>
      </c>
      <c r="D504" s="720"/>
      <c r="E504" s="24">
        <f t="shared" si="78"/>
        <v>1</v>
      </c>
      <c r="F504" s="720"/>
      <c r="G504" s="24">
        <f t="shared" si="79"/>
        <v>0.03</v>
      </c>
      <c r="H504" s="720"/>
      <c r="I504" s="24">
        <f t="shared" si="80"/>
        <v>1</v>
      </c>
      <c r="J504" s="720"/>
      <c r="K504" s="24">
        <f t="shared" si="81"/>
        <v>1</v>
      </c>
      <c r="L504" s="720"/>
      <c r="M504" s="24">
        <f t="shared" si="82"/>
        <v>1</v>
      </c>
      <c r="N504" s="720"/>
      <c r="O504" s="24">
        <f t="shared" si="83"/>
        <v>1</v>
      </c>
      <c r="P504" s="720"/>
      <c r="Q504" s="24">
        <f t="shared" si="84"/>
        <v>1</v>
      </c>
      <c r="R504" s="716">
        <f t="shared" si="85"/>
        <v>0</v>
      </c>
      <c r="S504" s="361">
        <f t="shared" si="76"/>
        <v>0</v>
      </c>
    </row>
    <row r="505" spans="1:19">
      <c r="A505" s="159"/>
      <c r="B505" s="59"/>
      <c r="C505" s="24">
        <f t="shared" si="77"/>
        <v>1</v>
      </c>
      <c r="D505" s="720"/>
      <c r="E505" s="24">
        <f t="shared" si="78"/>
        <v>1</v>
      </c>
      <c r="F505" s="720"/>
      <c r="G505" s="24">
        <f t="shared" si="79"/>
        <v>0.03</v>
      </c>
      <c r="H505" s="720"/>
      <c r="I505" s="24">
        <f t="shared" si="80"/>
        <v>1</v>
      </c>
      <c r="J505" s="720"/>
      <c r="K505" s="24">
        <f t="shared" si="81"/>
        <v>1</v>
      </c>
      <c r="L505" s="720"/>
      <c r="M505" s="24">
        <f t="shared" si="82"/>
        <v>1</v>
      </c>
      <c r="N505" s="720"/>
      <c r="O505" s="24">
        <f t="shared" si="83"/>
        <v>1</v>
      </c>
      <c r="P505" s="720"/>
      <c r="Q505" s="24">
        <f t="shared" si="84"/>
        <v>1</v>
      </c>
      <c r="R505" s="716">
        <f t="shared" si="85"/>
        <v>0</v>
      </c>
      <c r="S505" s="361">
        <f t="shared" si="76"/>
        <v>0</v>
      </c>
    </row>
    <row r="506" spans="1:19">
      <c r="A506" s="159"/>
      <c r="B506" s="59"/>
      <c r="C506" s="24">
        <f t="shared" si="77"/>
        <v>1</v>
      </c>
      <c r="D506" s="720"/>
      <c r="E506" s="24">
        <f t="shared" si="78"/>
        <v>1</v>
      </c>
      <c r="F506" s="720"/>
      <c r="G506" s="24">
        <f t="shared" si="79"/>
        <v>0.03</v>
      </c>
      <c r="H506" s="720"/>
      <c r="I506" s="24">
        <f t="shared" si="80"/>
        <v>1</v>
      </c>
      <c r="J506" s="720"/>
      <c r="K506" s="24">
        <f t="shared" si="81"/>
        <v>1</v>
      </c>
      <c r="L506" s="720"/>
      <c r="M506" s="24">
        <f t="shared" si="82"/>
        <v>1</v>
      </c>
      <c r="N506" s="720"/>
      <c r="O506" s="24">
        <f t="shared" si="83"/>
        <v>1</v>
      </c>
      <c r="P506" s="720"/>
      <c r="Q506" s="24">
        <f t="shared" si="84"/>
        <v>1</v>
      </c>
      <c r="R506" s="716">
        <f t="shared" si="85"/>
        <v>0</v>
      </c>
      <c r="S506" s="361">
        <f t="shared" si="76"/>
        <v>0</v>
      </c>
    </row>
    <row r="507" spans="1:19">
      <c r="A507" s="159"/>
      <c r="B507" s="59"/>
      <c r="C507" s="24">
        <f t="shared" si="77"/>
        <v>1</v>
      </c>
      <c r="D507" s="720"/>
      <c r="E507" s="24">
        <f t="shared" si="78"/>
        <v>1</v>
      </c>
      <c r="F507" s="720"/>
      <c r="G507" s="24">
        <f t="shared" si="79"/>
        <v>0.03</v>
      </c>
      <c r="H507" s="720"/>
      <c r="I507" s="24">
        <f t="shared" si="80"/>
        <v>1</v>
      </c>
      <c r="J507" s="720"/>
      <c r="K507" s="24">
        <f t="shared" si="81"/>
        <v>1</v>
      </c>
      <c r="L507" s="720"/>
      <c r="M507" s="24">
        <f t="shared" si="82"/>
        <v>1</v>
      </c>
      <c r="N507" s="720"/>
      <c r="O507" s="24">
        <f t="shared" si="83"/>
        <v>1</v>
      </c>
      <c r="P507" s="720"/>
      <c r="Q507" s="24">
        <f t="shared" si="84"/>
        <v>1</v>
      </c>
      <c r="R507" s="716">
        <f t="shared" si="85"/>
        <v>0</v>
      </c>
      <c r="S507" s="361">
        <f t="shared" si="76"/>
        <v>0</v>
      </c>
    </row>
    <row r="508" spans="1:19">
      <c r="A508" s="159"/>
      <c r="B508" s="59"/>
      <c r="C508" s="24">
        <f t="shared" si="77"/>
        <v>1</v>
      </c>
      <c r="D508" s="720"/>
      <c r="E508" s="24">
        <f t="shared" si="78"/>
        <v>1</v>
      </c>
      <c r="F508" s="720"/>
      <c r="G508" s="24">
        <f t="shared" si="79"/>
        <v>0.03</v>
      </c>
      <c r="H508" s="720"/>
      <c r="I508" s="24">
        <f t="shared" si="80"/>
        <v>1</v>
      </c>
      <c r="J508" s="720"/>
      <c r="K508" s="24">
        <f t="shared" si="81"/>
        <v>1</v>
      </c>
      <c r="L508" s="720"/>
      <c r="M508" s="24">
        <f t="shared" si="82"/>
        <v>1</v>
      </c>
      <c r="N508" s="720"/>
      <c r="O508" s="24">
        <f t="shared" si="83"/>
        <v>1</v>
      </c>
      <c r="P508" s="720"/>
      <c r="Q508" s="24">
        <f t="shared" si="84"/>
        <v>1</v>
      </c>
      <c r="R508" s="716">
        <f t="shared" si="85"/>
        <v>0</v>
      </c>
      <c r="S508" s="361">
        <f t="shared" si="76"/>
        <v>0</v>
      </c>
    </row>
    <row r="509" spans="1:19">
      <c r="A509" s="159"/>
      <c r="B509" s="59"/>
      <c r="C509" s="24">
        <f t="shared" si="77"/>
        <v>1</v>
      </c>
      <c r="D509" s="720"/>
      <c r="E509" s="24">
        <f t="shared" si="78"/>
        <v>1</v>
      </c>
      <c r="F509" s="720"/>
      <c r="G509" s="24">
        <f t="shared" si="79"/>
        <v>0.03</v>
      </c>
      <c r="H509" s="720"/>
      <c r="I509" s="24">
        <f t="shared" si="80"/>
        <v>1</v>
      </c>
      <c r="J509" s="720"/>
      <c r="K509" s="24">
        <f t="shared" si="81"/>
        <v>1</v>
      </c>
      <c r="L509" s="720"/>
      <c r="M509" s="24">
        <f t="shared" si="82"/>
        <v>1</v>
      </c>
      <c r="N509" s="720"/>
      <c r="O509" s="24">
        <f t="shared" si="83"/>
        <v>1</v>
      </c>
      <c r="P509" s="720"/>
      <c r="Q509" s="24">
        <f t="shared" si="84"/>
        <v>1</v>
      </c>
      <c r="R509" s="716">
        <f t="shared" si="85"/>
        <v>0</v>
      </c>
      <c r="S509" s="361">
        <f t="shared" si="76"/>
        <v>0</v>
      </c>
    </row>
    <row r="510" spans="1:19">
      <c r="A510" s="159"/>
      <c r="B510" s="59"/>
      <c r="C510" s="24">
        <f t="shared" si="77"/>
        <v>1</v>
      </c>
      <c r="D510" s="720"/>
      <c r="E510" s="24">
        <f t="shared" si="78"/>
        <v>1</v>
      </c>
      <c r="F510" s="720"/>
      <c r="G510" s="24">
        <f t="shared" si="79"/>
        <v>0.03</v>
      </c>
      <c r="H510" s="720"/>
      <c r="I510" s="24">
        <f t="shared" si="80"/>
        <v>1</v>
      </c>
      <c r="J510" s="720"/>
      <c r="K510" s="24">
        <f t="shared" si="81"/>
        <v>1</v>
      </c>
      <c r="L510" s="720"/>
      <c r="M510" s="24">
        <f t="shared" si="82"/>
        <v>1</v>
      </c>
      <c r="N510" s="720"/>
      <c r="O510" s="24">
        <f t="shared" si="83"/>
        <v>1</v>
      </c>
      <c r="P510" s="720"/>
      <c r="Q510" s="24">
        <f t="shared" si="84"/>
        <v>1</v>
      </c>
      <c r="R510" s="716">
        <f t="shared" si="85"/>
        <v>0</v>
      </c>
      <c r="S510" s="361">
        <f t="shared" si="76"/>
        <v>0</v>
      </c>
    </row>
    <row r="511" spans="1:19">
      <c r="A511" s="159"/>
      <c r="B511" s="59"/>
      <c r="C511" s="24">
        <f t="shared" si="77"/>
        <v>1</v>
      </c>
      <c r="D511" s="720"/>
      <c r="E511" s="24">
        <f t="shared" si="78"/>
        <v>1</v>
      </c>
      <c r="F511" s="720"/>
      <c r="G511" s="24">
        <f t="shared" si="79"/>
        <v>0.03</v>
      </c>
      <c r="H511" s="720"/>
      <c r="I511" s="24">
        <f t="shared" si="80"/>
        <v>1</v>
      </c>
      <c r="J511" s="720"/>
      <c r="K511" s="24">
        <f t="shared" si="81"/>
        <v>1</v>
      </c>
      <c r="L511" s="720"/>
      <c r="M511" s="24">
        <f t="shared" si="82"/>
        <v>1</v>
      </c>
      <c r="N511" s="720"/>
      <c r="O511" s="24">
        <f t="shared" si="83"/>
        <v>1</v>
      </c>
      <c r="P511" s="720"/>
      <c r="Q511" s="24">
        <f t="shared" si="84"/>
        <v>1</v>
      </c>
      <c r="R511" s="716">
        <f t="shared" si="85"/>
        <v>0</v>
      </c>
      <c r="S511" s="361">
        <f t="shared" si="76"/>
        <v>0</v>
      </c>
    </row>
    <row r="512" spans="1:19">
      <c r="A512" s="159"/>
      <c r="B512" s="59"/>
      <c r="C512" s="24">
        <f t="shared" si="77"/>
        <v>1</v>
      </c>
      <c r="D512" s="720"/>
      <c r="E512" s="24">
        <f t="shared" si="78"/>
        <v>1</v>
      </c>
      <c r="F512" s="720"/>
      <c r="G512" s="24">
        <f t="shared" si="79"/>
        <v>0.03</v>
      </c>
      <c r="H512" s="720"/>
      <c r="I512" s="24">
        <f t="shared" si="80"/>
        <v>1</v>
      </c>
      <c r="J512" s="720"/>
      <c r="K512" s="24">
        <f t="shared" si="81"/>
        <v>1</v>
      </c>
      <c r="L512" s="720"/>
      <c r="M512" s="24">
        <f t="shared" si="82"/>
        <v>1</v>
      </c>
      <c r="N512" s="720"/>
      <c r="O512" s="24">
        <f t="shared" si="83"/>
        <v>1</v>
      </c>
      <c r="P512" s="720"/>
      <c r="Q512" s="24">
        <f t="shared" si="84"/>
        <v>1</v>
      </c>
      <c r="R512" s="716">
        <f t="shared" si="85"/>
        <v>0</v>
      </c>
      <c r="S512" s="361">
        <f t="shared" si="76"/>
        <v>0</v>
      </c>
    </row>
    <row r="513" spans="1:19">
      <c r="A513" s="159"/>
      <c r="B513" s="59"/>
      <c r="C513" s="24">
        <f t="shared" si="77"/>
        <v>1</v>
      </c>
      <c r="D513" s="720"/>
      <c r="E513" s="24">
        <f t="shared" si="78"/>
        <v>1</v>
      </c>
      <c r="F513" s="720"/>
      <c r="G513" s="24">
        <f t="shared" si="79"/>
        <v>0.03</v>
      </c>
      <c r="H513" s="720"/>
      <c r="I513" s="24">
        <f t="shared" si="80"/>
        <v>1</v>
      </c>
      <c r="J513" s="720"/>
      <c r="K513" s="24">
        <f t="shared" si="81"/>
        <v>1</v>
      </c>
      <c r="L513" s="720"/>
      <c r="M513" s="24">
        <f t="shared" si="82"/>
        <v>1</v>
      </c>
      <c r="N513" s="720"/>
      <c r="O513" s="24">
        <f t="shared" si="83"/>
        <v>1</v>
      </c>
      <c r="P513" s="720"/>
      <c r="Q513" s="24">
        <f t="shared" si="84"/>
        <v>1</v>
      </c>
      <c r="R513" s="716">
        <f t="shared" si="85"/>
        <v>0</v>
      </c>
      <c r="S513" s="361">
        <f t="shared" si="76"/>
        <v>0</v>
      </c>
    </row>
    <row r="514" spans="1:19">
      <c r="A514" s="159"/>
      <c r="B514" s="59"/>
      <c r="C514" s="24">
        <f t="shared" si="77"/>
        <v>1</v>
      </c>
      <c r="D514" s="720"/>
      <c r="E514" s="24">
        <f t="shared" si="78"/>
        <v>1</v>
      </c>
      <c r="F514" s="720"/>
      <c r="G514" s="24">
        <f t="shared" si="79"/>
        <v>0.03</v>
      </c>
      <c r="H514" s="720"/>
      <c r="I514" s="24">
        <f t="shared" si="80"/>
        <v>1</v>
      </c>
      <c r="J514" s="720"/>
      <c r="K514" s="24">
        <f t="shared" si="81"/>
        <v>1</v>
      </c>
      <c r="L514" s="720"/>
      <c r="M514" s="24">
        <f t="shared" si="82"/>
        <v>1</v>
      </c>
      <c r="N514" s="720"/>
      <c r="O514" s="24">
        <f t="shared" si="83"/>
        <v>1</v>
      </c>
      <c r="P514" s="720"/>
      <c r="Q514" s="24">
        <f t="shared" si="84"/>
        <v>1</v>
      </c>
      <c r="R514" s="716">
        <f t="shared" si="85"/>
        <v>0</v>
      </c>
      <c r="S514" s="361">
        <f t="shared" si="76"/>
        <v>0</v>
      </c>
    </row>
    <row r="515" spans="1:19">
      <c r="A515" s="159"/>
      <c r="B515" s="59"/>
      <c r="C515" s="24">
        <f t="shared" si="77"/>
        <v>1</v>
      </c>
      <c r="D515" s="720"/>
      <c r="E515" s="24">
        <f t="shared" si="78"/>
        <v>1</v>
      </c>
      <c r="F515" s="720"/>
      <c r="G515" s="24">
        <f t="shared" si="79"/>
        <v>0.03</v>
      </c>
      <c r="H515" s="720"/>
      <c r="I515" s="24">
        <f t="shared" si="80"/>
        <v>1</v>
      </c>
      <c r="J515" s="720"/>
      <c r="K515" s="24">
        <f t="shared" si="81"/>
        <v>1</v>
      </c>
      <c r="L515" s="720"/>
      <c r="M515" s="24">
        <f t="shared" si="82"/>
        <v>1</v>
      </c>
      <c r="N515" s="720"/>
      <c r="O515" s="24">
        <f t="shared" si="83"/>
        <v>1</v>
      </c>
      <c r="P515" s="720"/>
      <c r="Q515" s="24">
        <f t="shared" si="84"/>
        <v>1</v>
      </c>
      <c r="R515" s="716">
        <f t="shared" si="85"/>
        <v>0</v>
      </c>
      <c r="S515" s="361">
        <f t="shared" si="76"/>
        <v>0</v>
      </c>
    </row>
    <row r="516" spans="1:19">
      <c r="A516" s="159"/>
      <c r="B516" s="59"/>
      <c r="C516" s="24">
        <f t="shared" si="77"/>
        <v>1</v>
      </c>
      <c r="D516" s="720"/>
      <c r="E516" s="24">
        <f t="shared" si="78"/>
        <v>1</v>
      </c>
      <c r="F516" s="720"/>
      <c r="G516" s="24">
        <f t="shared" si="79"/>
        <v>0.03</v>
      </c>
      <c r="H516" s="720"/>
      <c r="I516" s="24">
        <f t="shared" si="80"/>
        <v>1</v>
      </c>
      <c r="J516" s="720"/>
      <c r="K516" s="24">
        <f t="shared" si="81"/>
        <v>1</v>
      </c>
      <c r="L516" s="720"/>
      <c r="M516" s="24">
        <f t="shared" si="82"/>
        <v>1</v>
      </c>
      <c r="N516" s="720"/>
      <c r="O516" s="24">
        <f t="shared" si="83"/>
        <v>1</v>
      </c>
      <c r="P516" s="720"/>
      <c r="Q516" s="24">
        <f t="shared" si="84"/>
        <v>1</v>
      </c>
      <c r="R516" s="716">
        <f t="shared" si="85"/>
        <v>0</v>
      </c>
      <c r="S516" s="361">
        <f t="shared" si="76"/>
        <v>0</v>
      </c>
    </row>
    <row r="517" spans="1:19">
      <c r="A517" s="159"/>
      <c r="B517" s="59"/>
      <c r="C517" s="24">
        <f t="shared" si="77"/>
        <v>1</v>
      </c>
      <c r="D517" s="720"/>
      <c r="E517" s="24">
        <f t="shared" si="78"/>
        <v>1</v>
      </c>
      <c r="F517" s="720"/>
      <c r="G517" s="24">
        <f t="shared" si="79"/>
        <v>0.03</v>
      </c>
      <c r="H517" s="720"/>
      <c r="I517" s="24">
        <f t="shared" si="80"/>
        <v>1</v>
      </c>
      <c r="J517" s="720"/>
      <c r="K517" s="24">
        <f t="shared" si="81"/>
        <v>1</v>
      </c>
      <c r="L517" s="720"/>
      <c r="M517" s="24">
        <f t="shared" si="82"/>
        <v>1</v>
      </c>
      <c r="N517" s="720"/>
      <c r="O517" s="24">
        <f t="shared" si="83"/>
        <v>1</v>
      </c>
      <c r="P517" s="720"/>
      <c r="Q517" s="24">
        <f t="shared" si="84"/>
        <v>1</v>
      </c>
      <c r="R517" s="716">
        <f t="shared" si="85"/>
        <v>0</v>
      </c>
      <c r="S517" s="361">
        <f t="shared" si="76"/>
        <v>0</v>
      </c>
    </row>
    <row r="518" spans="1:19">
      <c r="A518" s="159"/>
      <c r="B518" s="59"/>
      <c r="C518" s="24">
        <f t="shared" si="77"/>
        <v>1</v>
      </c>
      <c r="D518" s="720"/>
      <c r="E518" s="24">
        <f t="shared" si="78"/>
        <v>1</v>
      </c>
      <c r="F518" s="720"/>
      <c r="G518" s="24">
        <f t="shared" si="79"/>
        <v>0.03</v>
      </c>
      <c r="H518" s="720"/>
      <c r="I518" s="24">
        <f t="shared" si="80"/>
        <v>1</v>
      </c>
      <c r="J518" s="720"/>
      <c r="K518" s="24">
        <f t="shared" si="81"/>
        <v>1</v>
      </c>
      <c r="L518" s="720"/>
      <c r="M518" s="24">
        <f t="shared" si="82"/>
        <v>1</v>
      </c>
      <c r="N518" s="720"/>
      <c r="O518" s="24">
        <f t="shared" si="83"/>
        <v>1</v>
      </c>
      <c r="P518" s="720"/>
      <c r="Q518" s="24">
        <f t="shared" si="84"/>
        <v>1</v>
      </c>
      <c r="R518" s="716">
        <f t="shared" si="85"/>
        <v>0</v>
      </c>
      <c r="S518" s="361">
        <f t="shared" si="76"/>
        <v>0</v>
      </c>
    </row>
    <row r="519" spans="1:19">
      <c r="A519" s="159"/>
      <c r="B519" s="59"/>
      <c r="C519" s="24">
        <f t="shared" si="77"/>
        <v>1</v>
      </c>
      <c r="D519" s="720"/>
      <c r="E519" s="24">
        <f t="shared" si="78"/>
        <v>1</v>
      </c>
      <c r="F519" s="720"/>
      <c r="G519" s="24">
        <f t="shared" si="79"/>
        <v>0.03</v>
      </c>
      <c r="H519" s="720"/>
      <c r="I519" s="24">
        <f t="shared" si="80"/>
        <v>1</v>
      </c>
      <c r="J519" s="720"/>
      <c r="K519" s="24">
        <f t="shared" si="81"/>
        <v>1</v>
      </c>
      <c r="L519" s="720"/>
      <c r="M519" s="24">
        <f t="shared" si="82"/>
        <v>1</v>
      </c>
      <c r="N519" s="720"/>
      <c r="O519" s="24">
        <f t="shared" si="83"/>
        <v>1</v>
      </c>
      <c r="P519" s="720"/>
      <c r="Q519" s="24">
        <f t="shared" si="84"/>
        <v>1</v>
      </c>
      <c r="R519" s="716">
        <f t="shared" si="85"/>
        <v>0</v>
      </c>
      <c r="S519" s="361">
        <f t="shared" si="76"/>
        <v>0</v>
      </c>
    </row>
    <row r="520" spans="1:19">
      <c r="A520" s="159"/>
      <c r="B520" s="59"/>
      <c r="C520" s="24">
        <f t="shared" si="77"/>
        <v>1</v>
      </c>
      <c r="D520" s="720"/>
      <c r="E520" s="24">
        <f t="shared" si="78"/>
        <v>1</v>
      </c>
      <c r="F520" s="720"/>
      <c r="G520" s="24">
        <f t="shared" si="79"/>
        <v>0.03</v>
      </c>
      <c r="H520" s="720"/>
      <c r="I520" s="24">
        <f t="shared" si="80"/>
        <v>1</v>
      </c>
      <c r="J520" s="720"/>
      <c r="K520" s="24">
        <f t="shared" si="81"/>
        <v>1</v>
      </c>
      <c r="L520" s="720"/>
      <c r="M520" s="24">
        <f t="shared" si="82"/>
        <v>1</v>
      </c>
      <c r="N520" s="720"/>
      <c r="O520" s="24">
        <f t="shared" si="83"/>
        <v>1</v>
      </c>
      <c r="P520" s="720"/>
      <c r="Q520" s="24">
        <f t="shared" si="84"/>
        <v>1</v>
      </c>
      <c r="R520" s="716">
        <f t="shared" si="85"/>
        <v>0</v>
      </c>
      <c r="S520" s="361">
        <f t="shared" si="76"/>
        <v>0</v>
      </c>
    </row>
    <row r="521" spans="1:19">
      <c r="A521" s="159"/>
      <c r="B521" s="59"/>
      <c r="C521" s="24">
        <f t="shared" si="77"/>
        <v>1</v>
      </c>
      <c r="D521" s="720"/>
      <c r="E521" s="24">
        <f t="shared" si="78"/>
        <v>1</v>
      </c>
      <c r="F521" s="720"/>
      <c r="G521" s="24">
        <f t="shared" si="79"/>
        <v>0.03</v>
      </c>
      <c r="H521" s="720"/>
      <c r="I521" s="24">
        <f t="shared" si="80"/>
        <v>1</v>
      </c>
      <c r="J521" s="720"/>
      <c r="K521" s="24">
        <f t="shared" si="81"/>
        <v>1</v>
      </c>
      <c r="L521" s="720"/>
      <c r="M521" s="24">
        <f t="shared" si="82"/>
        <v>1</v>
      </c>
      <c r="N521" s="720"/>
      <c r="O521" s="24">
        <f t="shared" si="83"/>
        <v>1</v>
      </c>
      <c r="P521" s="720"/>
      <c r="Q521" s="24">
        <f t="shared" si="84"/>
        <v>1</v>
      </c>
      <c r="R521" s="716">
        <f t="shared" si="85"/>
        <v>0</v>
      </c>
      <c r="S521" s="361">
        <f t="shared" si="76"/>
        <v>0</v>
      </c>
    </row>
    <row r="522" spans="1:19">
      <c r="A522" s="159"/>
      <c r="B522" s="59"/>
      <c r="C522" s="24">
        <f t="shared" si="77"/>
        <v>1</v>
      </c>
      <c r="D522" s="720"/>
      <c r="E522" s="24">
        <f t="shared" si="78"/>
        <v>1</v>
      </c>
      <c r="F522" s="720"/>
      <c r="G522" s="24">
        <f t="shared" si="79"/>
        <v>0.03</v>
      </c>
      <c r="H522" s="720"/>
      <c r="I522" s="24">
        <f t="shared" si="80"/>
        <v>1</v>
      </c>
      <c r="J522" s="720"/>
      <c r="K522" s="24">
        <f t="shared" si="81"/>
        <v>1</v>
      </c>
      <c r="L522" s="720"/>
      <c r="M522" s="24">
        <f t="shared" si="82"/>
        <v>1</v>
      </c>
      <c r="N522" s="720"/>
      <c r="O522" s="24">
        <f t="shared" si="83"/>
        <v>1</v>
      </c>
      <c r="P522" s="720"/>
      <c r="Q522" s="24">
        <f t="shared" si="84"/>
        <v>1</v>
      </c>
      <c r="R522" s="716">
        <f t="shared" si="85"/>
        <v>0</v>
      </c>
      <c r="S522" s="361">
        <f t="shared" si="76"/>
        <v>0</v>
      </c>
    </row>
    <row r="523" spans="1:19">
      <c r="A523" s="159"/>
      <c r="B523" s="59"/>
      <c r="C523" s="24">
        <f t="shared" si="77"/>
        <v>1</v>
      </c>
      <c r="D523" s="720"/>
      <c r="E523" s="24">
        <f t="shared" si="78"/>
        <v>1</v>
      </c>
      <c r="F523" s="720"/>
      <c r="G523" s="24">
        <f t="shared" si="79"/>
        <v>0.03</v>
      </c>
      <c r="H523" s="720"/>
      <c r="I523" s="24">
        <f t="shared" si="80"/>
        <v>1</v>
      </c>
      <c r="J523" s="720"/>
      <c r="K523" s="24">
        <f t="shared" si="81"/>
        <v>1</v>
      </c>
      <c r="L523" s="720"/>
      <c r="M523" s="24">
        <f t="shared" si="82"/>
        <v>1</v>
      </c>
      <c r="N523" s="720"/>
      <c r="O523" s="24">
        <f t="shared" si="83"/>
        <v>1</v>
      </c>
      <c r="P523" s="720"/>
      <c r="Q523" s="24">
        <f t="shared" si="84"/>
        <v>1</v>
      </c>
      <c r="R523" s="716">
        <f t="shared" si="85"/>
        <v>0</v>
      </c>
      <c r="S523" s="361">
        <f t="shared" si="76"/>
        <v>0</v>
      </c>
    </row>
    <row r="524" spans="1:19">
      <c r="A524" s="159"/>
      <c r="B524" s="59"/>
      <c r="C524" s="24">
        <f t="shared" si="77"/>
        <v>1</v>
      </c>
      <c r="D524" s="720"/>
      <c r="E524" s="24">
        <f t="shared" si="78"/>
        <v>1</v>
      </c>
      <c r="F524" s="720"/>
      <c r="G524" s="24">
        <f t="shared" si="79"/>
        <v>0.03</v>
      </c>
      <c r="H524" s="720"/>
      <c r="I524" s="24">
        <f t="shared" si="80"/>
        <v>1</v>
      </c>
      <c r="J524" s="720"/>
      <c r="K524" s="24">
        <f t="shared" si="81"/>
        <v>1</v>
      </c>
      <c r="L524" s="720"/>
      <c r="M524" s="24">
        <f t="shared" si="82"/>
        <v>1</v>
      </c>
      <c r="N524" s="720"/>
      <c r="O524" s="24">
        <f t="shared" si="83"/>
        <v>1</v>
      </c>
      <c r="P524" s="720"/>
      <c r="Q524" s="24">
        <f t="shared" si="84"/>
        <v>1</v>
      </c>
      <c r="R524" s="716">
        <f t="shared" si="85"/>
        <v>0</v>
      </c>
      <c r="S524" s="361">
        <f t="shared" si="76"/>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2" sqref="J2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2110</v>
      </c>
      <c r="B1" s="2414"/>
      <c r="C1" s="2415" t="s">
        <v>48</v>
      </c>
      <c r="D1" s="2414"/>
      <c r="E1" s="2414"/>
      <c r="F1" s="2416" t="s">
        <v>2111</v>
      </c>
      <c r="G1" s="2066" t="s">
        <v>2112</v>
      </c>
      <c r="H1" s="2417" t="str">
        <f>IF(G1="现房","——","估价对象范围")</f>
        <v>估价对象范围</v>
      </c>
      <c r="I1" s="2418"/>
    </row>
    <row r="2" spans="1:12" ht="21.75" customHeight="1" thickBot="1">
      <c r="A2" s="3176" t="str">
        <f>项目基本情况!S2</f>
        <v>北京市北京市房山区拱辰街道16-03-04、16-01-05地块出让国有建设用地使用权及在建建筑物房地产</v>
      </c>
      <c r="B2" s="3177"/>
      <c r="C2" s="3177"/>
      <c r="D2" s="3177"/>
      <c r="E2" s="3177"/>
      <c r="F2" s="3177"/>
      <c r="G2" s="3177"/>
      <c r="H2" s="3177"/>
      <c r="I2" s="3178"/>
    </row>
    <row r="3" spans="1:12" ht="12.75">
      <c r="A3" s="3179" t="s">
        <v>2113</v>
      </c>
      <c r="B3" s="3180"/>
      <c r="C3" s="3180"/>
      <c r="D3" s="3180"/>
      <c r="E3" s="3180"/>
      <c r="F3" s="3180"/>
      <c r="G3" s="3180"/>
      <c r="H3" s="3180"/>
      <c r="I3" s="3180"/>
    </row>
    <row r="4" spans="1:12" ht="14.25">
      <c r="A4" s="2421" t="s">
        <v>2114</v>
      </c>
      <c r="B4" s="2422" t="s">
        <v>2115</v>
      </c>
      <c r="C4" s="2423" t="s">
        <v>4614</v>
      </c>
      <c r="D4" s="2423" t="s">
        <v>4608</v>
      </c>
      <c r="E4" s="3181" t="s">
        <v>2116</v>
      </c>
      <c r="F4" s="3182"/>
      <c r="G4" s="3182"/>
      <c r="H4" s="3182"/>
      <c r="I4" s="3183"/>
      <c r="K4" s="2424" t="str">
        <f>IF(ISNUMBER(FIND("比较法",'结果表-车库'!C4)),"比较法",IF(ISNUMBER(FIND("成本法",'结果表-车库'!C4)),"成本法",IF(ISNUMBER(FIND("假设开发法",'结果表-车库'!C4)),"假设开发法",IF(ISNUMBER(FIND("收益法",'结果表-车库'!C4)),"收益法","基准地价系数修正法"))))</f>
        <v>比较法</v>
      </c>
      <c r="L4" s="242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72" t="s">
        <v>2117</v>
      </c>
      <c r="B5" s="3047">
        <v>25</v>
      </c>
      <c r="C5" s="3173"/>
      <c r="D5" s="3175"/>
      <c r="E5" s="140" t="s">
        <v>2118</v>
      </c>
      <c r="F5" s="2425"/>
      <c r="G5" s="2425"/>
      <c r="H5" s="2425"/>
      <c r="I5" s="1828"/>
    </row>
    <row r="6" spans="1:12" ht="12.75">
      <c r="A6" s="3172"/>
      <c r="B6" s="3047"/>
      <c r="C6" s="3184"/>
      <c r="D6" s="3175"/>
      <c r="E6" s="140" t="s">
        <v>2119</v>
      </c>
      <c r="F6" s="2425"/>
      <c r="G6" s="2425"/>
      <c r="H6" s="2425"/>
      <c r="I6" s="1828"/>
    </row>
    <row r="7" spans="1:12" ht="12.75">
      <c r="A7" s="3172"/>
      <c r="B7" s="3047"/>
      <c r="C7" s="3174"/>
      <c r="D7" s="3175"/>
      <c r="E7" s="140" t="s">
        <v>2120</v>
      </c>
      <c r="F7" s="2425"/>
      <c r="G7" s="2425"/>
      <c r="H7" s="2425"/>
      <c r="I7" s="1828"/>
    </row>
    <row r="8" spans="1:12" ht="12.75">
      <c r="A8" s="3172" t="s">
        <v>2121</v>
      </c>
      <c r="B8" s="3047">
        <v>15</v>
      </c>
      <c r="C8" s="3173"/>
      <c r="D8" s="3175"/>
      <c r="E8" s="140" t="s">
        <v>2122</v>
      </c>
      <c r="F8" s="2425"/>
      <c r="G8" s="2425"/>
      <c r="H8" s="2425"/>
      <c r="I8" s="1828"/>
    </row>
    <row r="9" spans="1:12" ht="12.75">
      <c r="A9" s="3172"/>
      <c r="B9" s="3047"/>
      <c r="C9" s="3174"/>
      <c r="D9" s="3175"/>
      <c r="E9" s="140" t="s">
        <v>2123</v>
      </c>
      <c r="F9" s="2425"/>
      <c r="G9" s="2425"/>
      <c r="H9" s="2425"/>
      <c r="I9" s="1828"/>
    </row>
    <row r="10" spans="1:12" ht="12.75">
      <c r="A10" s="3172" t="s">
        <v>2124</v>
      </c>
      <c r="B10" s="3047">
        <v>15</v>
      </c>
      <c r="C10" s="3173"/>
      <c r="D10" s="3175"/>
      <c r="E10" s="140" t="s">
        <v>2125</v>
      </c>
      <c r="F10" s="2425"/>
      <c r="G10" s="2425"/>
      <c r="H10" s="2425"/>
      <c r="I10" s="1828"/>
    </row>
    <row r="11" spans="1:12" ht="12.75">
      <c r="A11" s="3172"/>
      <c r="B11" s="3047"/>
      <c r="C11" s="3174"/>
      <c r="D11" s="3175"/>
      <c r="E11" s="140" t="s">
        <v>2126</v>
      </c>
      <c r="F11" s="2425"/>
      <c r="G11" s="2425"/>
      <c r="H11" s="2425"/>
      <c r="I11" s="1828"/>
    </row>
    <row r="12" spans="1:12" ht="12.75">
      <c r="A12" s="3172" t="s">
        <v>2127</v>
      </c>
      <c r="B12" s="3047">
        <v>15</v>
      </c>
      <c r="C12" s="3173"/>
      <c r="D12" s="3175"/>
      <c r="E12" s="140" t="s">
        <v>2128</v>
      </c>
      <c r="F12" s="2425"/>
      <c r="G12" s="2425"/>
      <c r="H12" s="2425"/>
      <c r="I12" s="1828"/>
    </row>
    <row r="13" spans="1:12" ht="12.75">
      <c r="A13" s="3172"/>
      <c r="B13" s="3047"/>
      <c r="C13" s="3174"/>
      <c r="D13" s="3175"/>
      <c r="E13" s="140" t="s">
        <v>2129</v>
      </c>
      <c r="F13" s="2425"/>
      <c r="G13" s="2425"/>
      <c r="H13" s="2425"/>
      <c r="I13" s="1828"/>
    </row>
    <row r="14" spans="1:12" ht="12.75">
      <c r="A14" s="3172" t="s">
        <v>2130</v>
      </c>
      <c r="B14" s="3047">
        <v>30</v>
      </c>
      <c r="C14" s="3173">
        <v>7</v>
      </c>
      <c r="D14" s="3175">
        <v>3</v>
      </c>
      <c r="E14" s="140" t="s">
        <v>2131</v>
      </c>
      <c r="F14" s="2425"/>
      <c r="G14" s="2425"/>
      <c r="H14" s="2425"/>
      <c r="I14" s="1828"/>
    </row>
    <row r="15" spans="1:12" ht="12.75">
      <c r="A15" s="3172"/>
      <c r="B15" s="3047"/>
      <c r="C15" s="3184"/>
      <c r="D15" s="3175"/>
      <c r="E15" s="140" t="s">
        <v>2132</v>
      </c>
      <c r="F15" s="2425"/>
      <c r="G15" s="2425"/>
      <c r="H15" s="2425"/>
      <c r="I15" s="1828"/>
    </row>
    <row r="16" spans="1:12" ht="12.75">
      <c r="A16" s="3172"/>
      <c r="B16" s="3047"/>
      <c r="C16" s="3174"/>
      <c r="D16" s="3175"/>
      <c r="E16" s="140" t="s">
        <v>2133</v>
      </c>
      <c r="F16" s="2425"/>
      <c r="G16" s="2425"/>
      <c r="H16" s="2425"/>
      <c r="I16" s="1828"/>
    </row>
    <row r="17" spans="1:35" ht="15">
      <c r="A17" s="2426" t="s">
        <v>2134</v>
      </c>
      <c r="B17" s="64"/>
      <c r="C17" s="141">
        <f>SUM(C5:C16)</f>
        <v>7</v>
      </c>
      <c r="D17" s="141">
        <f>SUM(D5:D16)</f>
        <v>3</v>
      </c>
      <c r="E17" s="138"/>
      <c r="F17" s="138"/>
      <c r="G17" s="138"/>
      <c r="H17" s="138"/>
      <c r="I17" s="138"/>
      <c r="K17" s="2424"/>
      <c r="L17" s="2427" t="s">
        <v>2135</v>
      </c>
      <c r="M17" s="2427" t="s">
        <v>2136</v>
      </c>
    </row>
    <row r="18" spans="1:35" ht="15.75" thickBot="1">
      <c r="A18" s="2428" t="s">
        <v>2137</v>
      </c>
      <c r="B18" s="2429"/>
      <c r="C18" s="142">
        <f>ROUND(C17/SUM(C17:D17),2)</f>
        <v>0.7</v>
      </c>
      <c r="D18" s="142">
        <f>1-C18</f>
        <v>0.30000000000000004</v>
      </c>
      <c r="E18" s="138"/>
      <c r="F18" s="138"/>
      <c r="G18" s="138"/>
      <c r="H18" s="138"/>
      <c r="I18" s="138"/>
      <c r="K18" s="2424" t="s">
        <v>2138</v>
      </c>
      <c r="L18" s="2424">
        <f>IF(C1="",'数据-汇总表'!E3,SUMIF(项目类型,C1,'数据-汇总表'!E17:E26)+SUMIF(项目类型,C1,'数据-汇总表'!I17:I26))</f>
        <v>50189.399999998794</v>
      </c>
      <c r="M18" s="2424">
        <f>IF(C1="",'数据-汇总表'!E3,SUMIF(项目类型,C1,'数据-汇总表'!E17:E26))</f>
        <v>50189.399999998794</v>
      </c>
    </row>
    <row r="19" spans="1:35" ht="15">
      <c r="A19" s="2430" t="s">
        <v>2139</v>
      </c>
      <c r="B19" s="2431" t="s">
        <v>2140</v>
      </c>
      <c r="C19" s="143">
        <f ca="1">SUMIF(INDIRECT("'"&amp;C4&amp;"'"&amp;"!A:A"),'结果表-车库'!B19,INDIRECT("'"&amp;C4&amp;"'"&amp;"!B:B"))</f>
        <v>24352</v>
      </c>
      <c r="D19" s="144">
        <f ca="1">SUMIF(INDIRECT("'"&amp;D4&amp;"'"&amp;"!A:A"),'结果表-车库'!B19,INDIRECT("'"&amp;D4&amp;"'"&amp;"!B:B"))</f>
        <v>5945</v>
      </c>
      <c r="E19" s="2430" t="s">
        <v>2141</v>
      </c>
      <c r="F19" s="2431" t="s">
        <v>2140</v>
      </c>
      <c r="G19" s="145">
        <f ca="1">ROUND(C19*$C$18+D19*$D$18,0)</f>
        <v>18830</v>
      </c>
      <c r="H19" s="2432" t="s">
        <v>2142</v>
      </c>
      <c r="I19" s="138">
        <f ca="1">G19/'数据-取费表'!AH10</f>
        <v>15.148833467417537</v>
      </c>
      <c r="K19" s="2424" t="s">
        <v>2143</v>
      </c>
      <c r="L19" s="2424">
        <f>IF(C1="",'数据-汇总表'!D3,SUMIF(项目类型,C1,'数据-汇总表'!D17:D26)+SUMIF(项目类型,C1,'数据-汇总表'!H17:H27))</f>
        <v>0</v>
      </c>
      <c r="M19" s="2424">
        <f>IF(C1="",'数据-汇总表'!D3,SUMIF(项目类型,C1,'数据-汇总表'!D17:D26))</f>
        <v>0</v>
      </c>
    </row>
    <row r="20" spans="1:35" ht="15">
      <c r="A20" s="2433"/>
      <c r="B20" s="1245" t="s">
        <v>2144</v>
      </c>
      <c r="C20" s="146">
        <f ca="1">SUMIF(INDIRECT("'"&amp;C4&amp;"'"&amp;"!A:A"),'结果表-车库'!B20,INDIRECT("'"&amp;C4&amp;"'"&amp;"!B:B"))</f>
        <v>4852</v>
      </c>
      <c r="D20" s="147">
        <f ca="1">SUMIF(INDIRECT("'"&amp;D4&amp;"'"&amp;"!A:A"),'结果表-车库'!B20,INDIRECT("'"&amp;D4&amp;"'"&amp;"!B:B"))</f>
        <v>1185</v>
      </c>
      <c r="E20" s="2433"/>
      <c r="F20" s="1245" t="s">
        <v>2144</v>
      </c>
      <c r="G20" s="148">
        <f ca="1">ROUND(C20*$C$18+D20*$D$18,0)</f>
        <v>3752</v>
      </c>
      <c r="H20" s="978" t="s">
        <v>2145</v>
      </c>
      <c r="I20" s="138"/>
    </row>
    <row r="21" spans="1:35" ht="15" customHeight="1" thickBot="1">
      <c r="A21" s="998"/>
      <c r="B21" s="2434" t="s">
        <v>2146</v>
      </c>
      <c r="C21" s="789" t="e">
        <f ca="1">ROUND(C19*10000/L19,0)</f>
        <v>#DIV/0!</v>
      </c>
      <c r="D21" s="790" t="e">
        <f ca="1">ROUND(D19*10000/L19,0)</f>
        <v>#DIV/0!</v>
      </c>
      <c r="E21" s="998"/>
      <c r="F21" s="2434" t="s">
        <v>2146</v>
      </c>
      <c r="G21" s="149" t="e">
        <f ca="1">ROUND(G19*10000/L19,0)</f>
        <v>#DIV/0!</v>
      </c>
      <c r="H21" s="2435" t="s">
        <v>2145</v>
      </c>
      <c r="I21" s="138"/>
    </row>
    <row r="22" spans="1:35" ht="15" thickBot="1">
      <c r="A22" s="2277" t="s">
        <v>2147</v>
      </c>
      <c r="B22" s="2436"/>
      <c r="C22" s="2437"/>
      <c r="D22" s="791">
        <f ca="1">IF(C19&lt;D19,D19/C19-1,C19/D19-1)</f>
        <v>3.0962153069806559</v>
      </c>
      <c r="E22" s="138"/>
      <c r="F22" s="138"/>
      <c r="G22" s="138"/>
      <c r="H22" s="138"/>
      <c r="I22" s="138"/>
    </row>
    <row r="23" spans="1:35" ht="13.5" thickBot="1">
      <c r="A23" s="2414"/>
      <c r="B23" s="2414"/>
      <c r="C23" s="2414"/>
      <c r="D23" s="2414"/>
      <c r="E23" s="138"/>
      <c r="F23" s="138"/>
      <c r="G23" s="138"/>
      <c r="H23" s="138"/>
      <c r="I23" s="138"/>
    </row>
    <row r="24" spans="1:35" ht="14.25">
      <c r="A24" s="3185" t="s">
        <v>2148</v>
      </c>
      <c r="B24" s="2431" t="s">
        <v>2140</v>
      </c>
      <c r="C24" s="145">
        <f>IF(B30=0,0,D30)</f>
        <v>0</v>
      </c>
      <c r="D24" s="2438"/>
      <c r="E24" s="138"/>
      <c r="F24" s="138"/>
      <c r="G24" s="138"/>
      <c r="H24" s="138"/>
      <c r="I24" s="138"/>
    </row>
    <row r="25" spans="1:35" ht="14.25">
      <c r="A25" s="3186"/>
      <c r="B25" s="1245"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18830</v>
      </c>
      <c r="D32" s="2445" t="s">
        <v>2155</v>
      </c>
      <c r="E32" s="138"/>
      <c r="F32" s="138"/>
      <c r="G32" s="138"/>
      <c r="H32" s="138"/>
      <c r="I32" s="138"/>
    </row>
    <row r="33" spans="1:15" ht="15">
      <c r="A33" s="955" t="s">
        <v>2156</v>
      </c>
      <c r="B33" s="2446"/>
      <c r="C33" s="2447"/>
      <c r="D33" s="2448"/>
      <c r="E33" s="2449" t="s">
        <v>2157</v>
      </c>
      <c r="F33" s="2450" t="str">
        <f>IF(D32="楼面单价","取值（单价）","取值（总价）")</f>
        <v>取值（总价）</v>
      </c>
      <c r="G33" s="138"/>
      <c r="H33" s="138"/>
      <c r="I33" s="138"/>
    </row>
    <row r="34" spans="1:15" ht="15">
      <c r="A34" s="2451"/>
      <c r="B34" s="2452" t="s">
        <v>2158</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2159</v>
      </c>
      <c r="F34" s="1734"/>
      <c r="G34" s="138"/>
      <c r="H34" s="138"/>
      <c r="I34" s="138"/>
    </row>
    <row r="35" spans="1:15" ht="15.75" thickBot="1">
      <c r="A35" s="2454"/>
      <c r="B35" s="2455"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187" t="s">
        <v>2162</v>
      </c>
      <c r="B36" s="2457" t="s">
        <v>2163</v>
      </c>
      <c r="C36" s="154"/>
      <c r="D36" s="2458"/>
      <c r="E36" s="2459"/>
      <c r="F36" s="2460"/>
      <c r="G36" s="138"/>
      <c r="H36" s="138"/>
      <c r="I36" s="138"/>
    </row>
    <row r="37" spans="1:15" ht="15.75" thickBot="1">
      <c r="A37" s="3188"/>
      <c r="B37" s="2263" t="s">
        <v>2164</v>
      </c>
      <c r="C37" s="156"/>
      <c r="D37" s="1390"/>
      <c r="E37" s="1390"/>
      <c r="F37" s="2460"/>
      <c r="G37" s="138"/>
      <c r="H37" s="138"/>
      <c r="I37" s="138"/>
    </row>
    <row r="38" spans="1:15" ht="15.75" thickBot="1">
      <c r="A38" s="3189"/>
      <c r="B38" s="2461" t="s">
        <v>2165</v>
      </c>
      <c r="C38" s="727"/>
      <c r="D38" s="2462" t="s">
        <v>2166</v>
      </c>
      <c r="E38" s="1390"/>
      <c r="F38" s="2460"/>
      <c r="G38" s="138"/>
      <c r="H38" s="138"/>
      <c r="I38" s="138"/>
    </row>
    <row r="39" spans="1:15" ht="15">
      <c r="A39" s="2433" t="s">
        <v>2167</v>
      </c>
      <c r="B39" s="2463" t="s">
        <v>2168</v>
      </c>
      <c r="C39" s="2464" t="s">
        <v>2169</v>
      </c>
      <c r="D39" s="2464" t="s">
        <v>2170</v>
      </c>
      <c r="E39" s="2465" t="s">
        <v>2171</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90" t="s">
        <v>2176</v>
      </c>
      <c r="B45" s="3191"/>
      <c r="C45" s="3192"/>
      <c r="D45" s="164">
        <f ca="1">ROUND(H101*F45,0)</f>
        <v>18830</v>
      </c>
      <c r="E45" s="165" t="s">
        <v>2177</v>
      </c>
      <c r="F45" s="166">
        <v>1</v>
      </c>
      <c r="G45" s="167" t="s">
        <v>2178</v>
      </c>
      <c r="H45" s="138"/>
      <c r="I45" s="138"/>
      <c r="J45" s="3193" t="s">
        <v>2179</v>
      </c>
      <c r="K45" s="3193"/>
      <c r="L45" s="3193"/>
      <c r="M45" s="3193"/>
      <c r="N45" s="3193"/>
      <c r="O45" s="3193"/>
    </row>
    <row r="46" spans="1:15" ht="14.25" customHeight="1">
      <c r="A46" s="3194" t="s">
        <v>2180</v>
      </c>
      <c r="B46" s="3195"/>
      <c r="C46" s="3195"/>
      <c r="D46" s="3195"/>
      <c r="E46" s="3195"/>
      <c r="F46" s="3195"/>
      <c r="G46" s="3196"/>
      <c r="H46" s="2476"/>
      <c r="I46" s="168"/>
      <c r="J46" s="1806">
        <v>1</v>
      </c>
      <c r="K46" s="3193" t="s">
        <v>2181</v>
      </c>
      <c r="L46" s="3193"/>
      <c r="M46" s="3197"/>
      <c r="N46" s="3197"/>
      <c r="O46" s="3197"/>
    </row>
    <row r="47" spans="1:15" ht="12" customHeight="1">
      <c r="A47" s="169" t="s">
        <v>2182</v>
      </c>
      <c r="B47" s="170"/>
      <c r="C47" s="171"/>
      <c r="D47" s="172" t="s">
        <v>2183</v>
      </c>
      <c r="E47" s="24" t="s">
        <v>2184</v>
      </c>
      <c r="F47" s="173" t="s">
        <v>2185</v>
      </c>
      <c r="G47" s="174" t="s">
        <v>2186</v>
      </c>
      <c r="H47" s="2476"/>
      <c r="I47" s="168"/>
      <c r="J47" s="1806">
        <v>2</v>
      </c>
      <c r="K47" s="3193" t="s">
        <v>2187</v>
      </c>
      <c r="L47" s="3193"/>
      <c r="M47" s="3198">
        <f>'数据-取费表'!B2</f>
        <v>43494</v>
      </c>
      <c r="N47" s="3198"/>
      <c r="O47" s="3198"/>
    </row>
    <row r="48" spans="1:15" ht="25.5">
      <c r="A48" s="3199" t="s">
        <v>2188</v>
      </c>
      <c r="B48" s="3200"/>
      <c r="C48" s="3200"/>
      <c r="D48" s="140">
        <f>IF(H48="情况1",0,IF(H48="情况2",D52,IF(H48="情况3",D53,IF(H48="情况4",D54))))</f>
        <v>0</v>
      </c>
      <c r="E48" s="1795" t="str">
        <f>IF(H48="情况4","(销售额-原购置价)×税（费）率","销售额×税（费）率")</f>
        <v>销售额×税（费）率</v>
      </c>
      <c r="F48" s="175" t="str">
        <f>IF(H48="情况1","免征",'数据-取费表'!B41)</f>
        <v>免征</v>
      </c>
      <c r="G48" s="2477" t="s">
        <v>2189</v>
      </c>
      <c r="H48" s="2478" t="s">
        <v>2190</v>
      </c>
      <c r="I48" s="2476"/>
      <c r="J48" s="1806">
        <v>3</v>
      </c>
      <c r="K48" s="3193" t="s">
        <v>2191</v>
      </c>
      <c r="L48" s="3193"/>
      <c r="M48" s="3201">
        <f ca="1">H101</f>
        <v>18830</v>
      </c>
      <c r="N48" s="3201"/>
      <c r="O48" s="3201"/>
    </row>
    <row r="49" spans="1:35" ht="25.5" customHeight="1">
      <c r="A49" s="176" t="s">
        <v>2192</v>
      </c>
      <c r="B49" s="3202" t="s">
        <v>2193</v>
      </c>
      <c r="C49" s="3202"/>
      <c r="D49" s="177">
        <v>0</v>
      </c>
      <c r="E49" s="23" t="s">
        <v>2194</v>
      </c>
      <c r="F49" s="28" t="s">
        <v>34</v>
      </c>
      <c r="G49" s="3203"/>
      <c r="H49" s="138"/>
      <c r="I49" s="2479"/>
      <c r="J49" s="1806">
        <v>4</v>
      </c>
      <c r="K49" s="3193" t="str">
        <f>IF(项目基本情况!E8="房地产抵押价值","房地产抵押价值","抵押担保权已注销时的房地产抵押价值")</f>
        <v>房地产抵押价值</v>
      </c>
      <c r="L49" s="3193"/>
      <c r="M49" s="3201">
        <f ca="1">IF(项目基本情况!E8="房地产抵押价值",H107,H109)</f>
        <v>18830</v>
      </c>
      <c r="N49" s="3201"/>
      <c r="O49" s="3201"/>
    </row>
    <row r="50" spans="1:35" ht="25.5" customHeight="1">
      <c r="A50" s="178"/>
      <c r="B50" s="3202" t="s">
        <v>2195</v>
      </c>
      <c r="C50" s="3202"/>
      <c r="D50" s="179"/>
      <c r="E50" s="31"/>
      <c r="F50" s="180"/>
      <c r="G50" s="3204"/>
      <c r="H50" s="138"/>
      <c r="I50" s="2479"/>
      <c r="J50" s="3193" t="s">
        <v>2196</v>
      </c>
      <c r="K50" s="3193"/>
      <c r="L50" s="3193"/>
      <c r="M50" s="3193"/>
      <c r="N50" s="3193"/>
      <c r="O50" s="3193"/>
    </row>
    <row r="51" spans="1:35" ht="12" customHeight="1">
      <c r="A51" s="181"/>
      <c r="B51" s="3202" t="s">
        <v>2197</v>
      </c>
      <c r="C51" s="3202"/>
      <c r="D51" s="182"/>
      <c r="E51" s="30"/>
      <c r="F51" s="180"/>
      <c r="G51" s="3205"/>
      <c r="H51" s="138"/>
      <c r="I51" s="2479"/>
      <c r="J51" s="2480" t="s">
        <v>2198</v>
      </c>
      <c r="K51" s="3193" t="s">
        <v>2199</v>
      </c>
      <c r="L51" s="3193"/>
      <c r="M51" s="2480" t="s">
        <v>2200</v>
      </c>
      <c r="N51" s="2480" t="s">
        <v>2201</v>
      </c>
      <c r="O51" s="2480" t="s">
        <v>2202</v>
      </c>
    </row>
    <row r="52" spans="1:35" ht="24" customHeight="1">
      <c r="A52" s="183" t="s">
        <v>2203</v>
      </c>
      <c r="B52" s="3202" t="s">
        <v>2204</v>
      </c>
      <c r="C52" s="3202"/>
      <c r="D52" s="182">
        <f ca="1">ROUND(D45*'数据-取费表'!B41/(1+'数据-取费表'!C42),0)</f>
        <v>986</v>
      </c>
      <c r="E52" s="11" t="s">
        <v>2205</v>
      </c>
      <c r="F52" s="184">
        <f>'数据-取费表'!B41</f>
        <v>5.5000000000000007E-2</v>
      </c>
      <c r="G52" s="2481"/>
      <c r="H52" s="138"/>
      <c r="I52" s="2479"/>
      <c r="J52" s="1806">
        <v>1</v>
      </c>
      <c r="K52" s="3208" t="s">
        <v>2206</v>
      </c>
      <c r="L52" s="3208"/>
      <c r="M52" s="1749">
        <f>D48</f>
        <v>0</v>
      </c>
      <c r="N52" s="1806" t="str">
        <f>E48</f>
        <v>销售额×税（费）率</v>
      </c>
      <c r="O52" s="1750" t="str">
        <f>F48</f>
        <v>免征</v>
      </c>
    </row>
    <row r="53" spans="1:35" ht="12" customHeight="1">
      <c r="A53" s="183" t="s">
        <v>2207</v>
      </c>
      <c r="B53" s="3206" t="s">
        <v>2208</v>
      </c>
      <c r="C53" s="3207"/>
      <c r="D53" s="182">
        <f ca="1">ROUND(D45*'数据-取费表'!B41/(1+'数据-取费表'!C42),0)</f>
        <v>986</v>
      </c>
      <c r="E53" s="11" t="s">
        <v>2205</v>
      </c>
      <c r="F53" s="184">
        <f>'数据-取费表'!B41</f>
        <v>5.5000000000000007E-2</v>
      </c>
      <c r="G53" s="2481"/>
      <c r="H53" s="138"/>
      <c r="I53" s="2479"/>
      <c r="J53" s="1806">
        <v>2</v>
      </c>
      <c r="K53" s="3208" t="s">
        <v>2209</v>
      </c>
      <c r="L53" s="3208"/>
      <c r="M53" s="1749">
        <f t="shared" ref="M53:O54" ca="1" si="0">D55</f>
        <v>9</v>
      </c>
      <c r="N53" s="1806" t="str">
        <f t="shared" si="0"/>
        <v>销售额×税（费）率</v>
      </c>
      <c r="O53" s="1750">
        <f t="shared" si="0"/>
        <v>5.0000000000000001E-4</v>
      </c>
    </row>
    <row r="54" spans="1:35" ht="12" customHeight="1">
      <c r="A54" s="183" t="s">
        <v>2210</v>
      </c>
      <c r="B54" s="3206" t="s">
        <v>2211</v>
      </c>
      <c r="C54" s="3207"/>
      <c r="D54" s="182">
        <f ca="1">C68</f>
        <v>986</v>
      </c>
      <c r="E54" s="30" t="s">
        <v>2212</v>
      </c>
      <c r="F54" s="184">
        <f>'数据-取费表'!B41</f>
        <v>5.5000000000000007E-2</v>
      </c>
      <c r="G54" s="2481"/>
      <c r="H54" s="2482"/>
      <c r="I54" s="2479"/>
      <c r="J54" s="1806">
        <v>3</v>
      </c>
      <c r="K54" s="3208" t="s">
        <v>2213</v>
      </c>
      <c r="L54" s="3208"/>
      <c r="M54" s="1749">
        <f t="shared" ca="1" si="0"/>
        <v>10674</v>
      </c>
      <c r="N54" s="1806" t="str">
        <f t="shared" si="0"/>
        <v>增值额×税（费）率</v>
      </c>
      <c r="O54" s="1751" t="str">
        <f t="shared" si="0"/>
        <v>——</v>
      </c>
    </row>
    <row r="55" spans="1:35" ht="24" customHeight="1">
      <c r="A55" s="3209" t="s">
        <v>2214</v>
      </c>
      <c r="B55" s="3200"/>
      <c r="C55" s="3200"/>
      <c r="D55" s="185">
        <f ca="1">IF(H55="个人住宅",0,ROUND(D45*I55,0))</f>
        <v>9</v>
      </c>
      <c r="E55" s="11" t="s">
        <v>2215</v>
      </c>
      <c r="F55" s="184">
        <f>IF(H55="正常",I55,"免征")</f>
        <v>5.0000000000000001E-4</v>
      </c>
      <c r="G55" s="2481"/>
      <c r="H55" s="2478" t="s">
        <v>2216</v>
      </c>
      <c r="I55" s="186">
        <f>'数据-取费表'!B49</f>
        <v>5.0000000000000001E-4</v>
      </c>
      <c r="J55" s="1806" t="str">
        <f>IF(H59="非个人房产","",4)</f>
        <v/>
      </c>
      <c r="K55" s="3208" t="str">
        <f>IF(H59="非个人房产","——","个人所得税")</f>
        <v>——</v>
      </c>
      <c r="L55" s="3208"/>
      <c r="M55" s="1752" t="str">
        <f>D59</f>
        <v>——</v>
      </c>
      <c r="N55" s="1804" t="str">
        <f>E59</f>
        <v>——</v>
      </c>
      <c r="O55" s="1753" t="str">
        <f>F59</f>
        <v>——</v>
      </c>
    </row>
    <row r="56" spans="1:35" ht="24.75">
      <c r="A56" s="3209" t="s">
        <v>2217</v>
      </c>
      <c r="B56" s="3200"/>
      <c r="C56" s="3200"/>
      <c r="D56" s="185">
        <f ca="1">IF(H56="个人住宅",D57,D58)</f>
        <v>10674</v>
      </c>
      <c r="E56" s="11" t="s">
        <v>2218</v>
      </c>
      <c r="F56" s="184" t="str">
        <f>IF(H56="正常",F58,"免征")</f>
        <v>——</v>
      </c>
      <c r="G56" s="2483" t="s">
        <v>2219</v>
      </c>
      <c r="H56" s="2484" t="s">
        <v>2216</v>
      </c>
      <c r="I56" s="2485"/>
      <c r="J56" s="1806" t="str">
        <f>IF(项目基本情况!K6="上海银行",IF(J55="",4,J55+1),"")</f>
        <v/>
      </c>
      <c r="K56" s="3210" t="str">
        <f>IF(项目基本情况!K6="上海银行","其他处置费用","")</f>
        <v/>
      </c>
      <c r="L56" s="3211"/>
      <c r="M56" s="1749" t="str">
        <f>IF(项目基本情况!K6="上海银行",M69,"")</f>
        <v/>
      </c>
      <c r="N56" s="3218" t="str">
        <f>IF(项目基本情况!K6="上海银行","包含处置中涉及的律师、诉讼、拍卖、评估等费用","")</f>
        <v/>
      </c>
      <c r="O56" s="3219"/>
    </row>
    <row r="57" spans="1:35" ht="12.75">
      <c r="A57" s="183" t="s">
        <v>2192</v>
      </c>
      <c r="B57" s="3181" t="s">
        <v>2220</v>
      </c>
      <c r="C57" s="3183"/>
      <c r="D57" s="187">
        <v>0</v>
      </c>
      <c r="E57" s="23" t="s">
        <v>2194</v>
      </c>
      <c r="F57" s="155"/>
      <c r="G57" s="2481"/>
      <c r="H57" s="2485"/>
      <c r="I57" s="2485"/>
      <c r="J57" s="3208">
        <f>IF(AND(J55="",J56=""),4,IF(项目基本情况!K6="上海银行",'结果表-车库'!J56+1,'结果表-车库'!J55+1))</f>
        <v>4</v>
      </c>
      <c r="K57" s="3208" t="s">
        <v>2221</v>
      </c>
      <c r="L57" s="2486" t="s">
        <v>2222</v>
      </c>
      <c r="M57" s="1754"/>
      <c r="N57" s="1755">
        <f ca="1">SUMIF(M52:M56,"&lt;9e307")</f>
        <v>10683</v>
      </c>
      <c r="O57" s="2487"/>
      <c r="P57" s="1748">
        <f ca="1">N57/M49</f>
        <v>0.56733935209771647</v>
      </c>
    </row>
    <row r="58" spans="1:35" ht="24.75">
      <c r="A58" s="183" t="s">
        <v>2203</v>
      </c>
      <c r="B58" s="3181" t="s">
        <v>2223</v>
      </c>
      <c r="C58" s="3182"/>
      <c r="D58" s="185">
        <f ca="1">IF(H58="转让取得",C81,C97)</f>
        <v>10674</v>
      </c>
      <c r="E58" s="11" t="s">
        <v>2218</v>
      </c>
      <c r="F58" s="24" t="s">
        <v>34</v>
      </c>
      <c r="G58" s="2481"/>
      <c r="H58" s="2484" t="s">
        <v>2224</v>
      </c>
      <c r="I58" s="2485"/>
      <c r="J58" s="3208"/>
      <c r="K58" s="3208"/>
      <c r="L58" s="2486" t="s">
        <v>2225</v>
      </c>
      <c r="M58" s="1756"/>
      <c r="N58" s="2488" t="str">
        <f ca="1">NUMBERSTRING(INT(N57*10000),2)&amp;"元整"</f>
        <v>壹亿零陆佰捌拾叁万元整</v>
      </c>
      <c r="O58" s="2489"/>
    </row>
    <row r="59" spans="1:35" ht="24.75" thickBot="1">
      <c r="A59" s="3220" t="s">
        <v>2226</v>
      </c>
      <c r="B59" s="3221"/>
      <c r="C59" s="3221"/>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222">
        <f>J57+1</f>
        <v>5</v>
      </c>
      <c r="K59" s="3208" t="s">
        <v>2228</v>
      </c>
      <c r="L59" s="1806" t="s">
        <v>2222</v>
      </c>
      <c r="M59" s="1757"/>
      <c r="N59" s="1758">
        <f ca="1">M49-N57</f>
        <v>8147</v>
      </c>
      <c r="O59" s="2491"/>
    </row>
    <row r="60" spans="1:35" ht="12" customHeight="1">
      <c r="A60" s="2492"/>
      <c r="B60" s="2414"/>
      <c r="C60" s="2414"/>
      <c r="D60" s="2414"/>
      <c r="E60" s="2162"/>
      <c r="F60" s="2485"/>
      <c r="G60" s="2485"/>
      <c r="H60" s="2493"/>
      <c r="I60" s="138"/>
      <c r="J60" s="3223"/>
      <c r="K60" s="3208"/>
      <c r="L60" s="2486" t="s">
        <v>2225</v>
      </c>
      <c r="M60" s="1756"/>
      <c r="N60" s="2488" t="str">
        <f ca="1">NUMBERSTRING(INT(N59*10000),2)&amp;"元整"</f>
        <v>捌仟壹佰肆拾柒万元整</v>
      </c>
      <c r="O60" s="2489"/>
    </row>
    <row r="61" spans="1:35" ht="13.5" thickBot="1">
      <c r="A61" s="3212" t="s">
        <v>2229</v>
      </c>
      <c r="B61" s="3212"/>
      <c r="C61" s="3212"/>
      <c r="D61" s="3212"/>
      <c r="E61" s="3212"/>
      <c r="F61" s="2485"/>
      <c r="G61" s="2485"/>
      <c r="H61" s="2493"/>
      <c r="I61" s="138"/>
      <c r="J61" s="1806">
        <f>J59+1</f>
        <v>6</v>
      </c>
      <c r="K61" s="3208" t="s">
        <v>2230</v>
      </c>
      <c r="L61" s="3208"/>
      <c r="M61" s="1759"/>
      <c r="N61" s="1760">
        <f ca="1">ROUND(N59*10000/'数据-汇总表'!E3,0)</f>
        <v>1328</v>
      </c>
      <c r="O61" s="2494"/>
    </row>
    <row r="62" spans="1:35" ht="12.75">
      <c r="A62" s="3213" t="s">
        <v>2231</v>
      </c>
      <c r="B62" s="3214"/>
      <c r="C62" s="1798"/>
      <c r="D62" s="1798" t="s">
        <v>2232</v>
      </c>
      <c r="E62" s="192" t="s">
        <v>2233</v>
      </c>
      <c r="F62" s="2485"/>
      <c r="G62" s="2485"/>
      <c r="H62" s="2493"/>
      <c r="I62" s="138"/>
    </row>
    <row r="63" spans="1:35" ht="12.75">
      <c r="A63" s="203" t="s">
        <v>775</v>
      </c>
      <c r="B63" s="193" t="s">
        <v>2234</v>
      </c>
      <c r="C63" s="194">
        <f ca="1">ROUND((C64+C65)/(1+'数据-取费表'!C42),0)</f>
        <v>17933</v>
      </c>
      <c r="D63" s="195"/>
      <c r="E63" s="196"/>
      <c r="F63" s="2485"/>
      <c r="G63" s="2485"/>
      <c r="H63" s="2493"/>
      <c r="I63" s="138"/>
      <c r="J63" s="3215" t="s">
        <v>2235</v>
      </c>
      <c r="K63" s="2495" t="s">
        <v>2236</v>
      </c>
      <c r="L63" s="1747">
        <f ca="1">IF(M49&gt;10000,M49*0.5%,IF(AND(M49&gt;1000,M49&lt;=10000),M49*1%,IF(AND(M49&gt;100,M49&lt;=1000),M49*3%,IF(AND(M49&gt;10,M49&lt;=100),M49*5%,M49*8%))))</f>
        <v>94.15</v>
      </c>
      <c r="M63" s="24">
        <f ca="1">ROUND(L63,1)</f>
        <v>94.2</v>
      </c>
      <c r="Z63" s="2419"/>
      <c r="AI63" s="2420"/>
    </row>
    <row r="64" spans="1:35" ht="14.25" customHeight="1">
      <c r="A64" s="197" t="s">
        <v>770</v>
      </c>
      <c r="B64" s="198" t="s">
        <v>2237</v>
      </c>
      <c r="C64" s="199">
        <f ca="1">D45</f>
        <v>18830</v>
      </c>
      <c r="D64" s="200" t="s">
        <v>32</v>
      </c>
      <c r="E64" s="201"/>
      <c r="F64" s="2485"/>
      <c r="G64" s="2485"/>
      <c r="H64" s="2493"/>
      <c r="I64" s="138"/>
      <c r="J64" s="3215"/>
      <c r="K64" s="2495" t="s">
        <v>2238</v>
      </c>
      <c r="L64" s="1747">
        <f ca="1">IF(M49&gt;2000,M49*0.5%,IF(AND(M49&gt;1000,M49&lt;=2000),M49*0.6%,IF(AND(M49&gt;500,M49&lt;=1000),M49*0.7%,IF(AND(M49&gt;200,M49&lt;=500),M49*0.8%,IF(AND(M49&gt;100,M49&lt;=200),M49*0.9%,IF(AND(M49&gt;50,M49&lt;=100),M49*1%,IF(AND(M49&gt;20,M49&lt;=50),M49*1.5%,IF(AND(M49&gt;10,M49&lt;=20),M49*2%,IF(AND(M49&gt;1,M49&lt;=10),M49*2.5%)))))))))</f>
        <v>94.15</v>
      </c>
      <c r="M64" s="24">
        <f t="shared" ref="M64:M65" ca="1" si="1">ROUND(L64,1)</f>
        <v>94.2</v>
      </c>
      <c r="N64" s="138" t="s">
        <v>2239</v>
      </c>
      <c r="Z64" s="2419"/>
      <c r="AI64" s="2420"/>
    </row>
    <row r="65" spans="1:35" ht="14.25" customHeight="1">
      <c r="A65" s="197" t="s">
        <v>771</v>
      </c>
      <c r="B65" s="198" t="s">
        <v>2240</v>
      </c>
      <c r="C65" s="202"/>
      <c r="D65" s="200"/>
      <c r="E65" s="201"/>
      <c r="F65" s="2485"/>
      <c r="G65" s="2485"/>
      <c r="H65" s="2493"/>
      <c r="I65" s="138"/>
      <c r="J65" s="3215"/>
      <c r="K65" s="2495" t="s">
        <v>2241</v>
      </c>
      <c r="L65" s="1747">
        <f ca="1">IF(M49&gt;1000,M49*0.1%,IF(AND(M49&gt;500,M49&lt;=1000),M49*0.5%,IF(AND(M49&gt;50,M49&lt;=500),M49*1%,IF(AND(M49&gt;1,M49&lt;=50),M49*1.5%))))</f>
        <v>18.830000000000002</v>
      </c>
      <c r="M65" s="24">
        <f t="shared" ca="1" si="1"/>
        <v>18.8</v>
      </c>
      <c r="N65" s="138" t="s">
        <v>2239</v>
      </c>
      <c r="Z65" s="2419"/>
      <c r="AI65" s="2420"/>
    </row>
    <row r="66" spans="1:35" ht="14.25" customHeight="1">
      <c r="A66" s="203" t="s">
        <v>772</v>
      </c>
      <c r="B66" s="204" t="s">
        <v>2242</v>
      </c>
      <c r="C66" s="205"/>
      <c r="D66" s="206" t="s">
        <v>32</v>
      </c>
      <c r="E66" s="1770" t="s">
        <v>1367</v>
      </c>
      <c r="F66" s="2485"/>
      <c r="G66" s="2485"/>
      <c r="H66" s="2493"/>
      <c r="I66" s="138"/>
      <c r="J66" s="3215"/>
      <c r="K66" s="2495" t="s">
        <v>2243</v>
      </c>
      <c r="L66" s="1747">
        <f ca="1">M49*0.5%</f>
        <v>94.15</v>
      </c>
      <c r="M66" s="24">
        <f ca="1">IF(L66&gt;0.5,0.5,ROUND(L66,0))</f>
        <v>0.5</v>
      </c>
      <c r="N66" s="138" t="s">
        <v>2244</v>
      </c>
      <c r="Z66" s="2419"/>
      <c r="AI66" s="2420"/>
    </row>
    <row r="67" spans="1:35" ht="14.25" customHeight="1">
      <c r="A67" s="203" t="s">
        <v>773</v>
      </c>
      <c r="B67" s="204" t="s">
        <v>2245</v>
      </c>
      <c r="C67" s="207">
        <f ca="1">C63-C66</f>
        <v>17933</v>
      </c>
      <c r="D67" s="200" t="s">
        <v>32</v>
      </c>
      <c r="E67" s="201"/>
      <c r="F67" s="2485"/>
      <c r="G67" s="2485"/>
      <c r="H67" s="2493"/>
      <c r="I67" s="138"/>
      <c r="J67" s="3215"/>
      <c r="K67" s="2495" t="s">
        <v>2246</v>
      </c>
      <c r="L67" s="1747">
        <f ca="1">IF(M49&gt;=10000,(8.25+(M49-10000)*0.01%),IF(AND(M49&gt;=8000,M49&lt;10000),(7.85+(M49-8000)*0.02%),IF(AND(M49&gt;=5000,M49&lt;8000),(6.65+(M49-5000)*0.04%),IF(AND(M49&gt;=2000,M49&lt;5000),(4.25+(PM49-2000)*0.08%),IF(AND(M49&gt;=1000,M49&lt;2000),(2.75+(M49-1000)*0.15%),IF(AND(M49&gt;=100,M49&lt;1000),(0.5+(M49-100)*0.25%),IF(AND(M49&gt;0,M49&lt;100),M49*0.5%)))))))</f>
        <v>9.1329999999999991</v>
      </c>
      <c r="M67" s="24">
        <f ca="1">ROUND(L67*0.9,1)</f>
        <v>8.1999999999999993</v>
      </c>
      <c r="Z67" s="2419"/>
      <c r="AI67" s="2420"/>
    </row>
    <row r="68" spans="1:35" ht="14.25" customHeight="1" thickBot="1">
      <c r="A68" s="208" t="s">
        <v>774</v>
      </c>
      <c r="B68" s="209" t="s">
        <v>2247</v>
      </c>
      <c r="C68" s="210">
        <f ca="1">IF(C67&lt;=0,0,ROUND(C67*D68,0))</f>
        <v>986</v>
      </c>
      <c r="D68" s="211">
        <f>'数据-取费表'!B41</f>
        <v>5.5000000000000007E-2</v>
      </c>
      <c r="E68" s="212"/>
      <c r="F68" s="2485"/>
      <c r="G68" s="2485"/>
      <c r="H68" s="2493"/>
      <c r="I68" s="138"/>
      <c r="J68" s="3215"/>
      <c r="K68" s="2495" t="s">
        <v>2248</v>
      </c>
      <c r="L68" s="1747">
        <f ca="1">IF(M49&gt;10000,M49*0.5%,IF(AND(M49&gt;5000,M49&lt;=10000),M49*1%,IF(AND(M49&gt;1000,M49&lt;=5000),M49*2%,IF(AND(M49&gt;200,M49&lt;=1000),M49*3%,M49*5%))))</f>
        <v>94.15</v>
      </c>
      <c r="M68" s="24">
        <f ca="1">ROUND(L68,1)</f>
        <v>94.2</v>
      </c>
      <c r="Z68" s="2419"/>
      <c r="AI68" s="2420"/>
    </row>
    <row r="69" spans="1:35" s="2442" customFormat="1" ht="16.5" customHeight="1">
      <c r="A69" s="2496"/>
      <c r="B69" s="2497"/>
      <c r="C69" s="2498"/>
      <c r="D69" s="2499"/>
      <c r="E69" s="2500"/>
      <c r="F69" s="2162"/>
      <c r="G69" s="2162"/>
      <c r="H69" s="2161"/>
      <c r="I69" s="2414"/>
      <c r="J69" s="3215"/>
      <c r="K69" s="2495" t="s">
        <v>2249</v>
      </c>
      <c r="L69" s="2501"/>
      <c r="M69" s="24">
        <f ca="1">ROUND(SUM(M63:M68),0)</f>
        <v>310</v>
      </c>
      <c r="N69" s="1748">
        <f ca="1">M69/M49</f>
        <v>1.6463090812533193E-2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16" t="s">
        <v>2250</v>
      </c>
      <c r="B70" s="3217"/>
      <c r="C70" s="3217"/>
      <c r="D70" s="3217"/>
      <c r="E70" s="3217"/>
      <c r="F70" s="3217"/>
      <c r="G70" s="3217"/>
      <c r="H70" s="321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213" t="s">
        <v>2231</v>
      </c>
      <c r="B71" s="3214"/>
      <c r="C71" s="1798"/>
      <c r="D71" s="1798"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17933</v>
      </c>
      <c r="D72" s="200" t="s">
        <v>32</v>
      </c>
      <c r="E72" s="1797"/>
      <c r="F72" s="1791"/>
      <c r="G72" s="179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90</v>
      </c>
      <c r="D73" s="200" t="s">
        <v>32</v>
      </c>
      <c r="E73" s="1797"/>
      <c r="F73" s="1791"/>
      <c r="G73" s="179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1797"/>
      <c r="F74" s="1791"/>
      <c r="G74" s="179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206" t="s">
        <v>2259</v>
      </c>
      <c r="F76" s="3202"/>
      <c r="G76" s="3202"/>
      <c r="H76" s="323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9" t="s">
        <v>2262</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90</v>
      </c>
      <c r="D78" s="226">
        <f>'数据-取费表'!B43</f>
        <v>5.000000000000001E-3</v>
      </c>
      <c r="E78" s="3224" t="s">
        <v>2264</v>
      </c>
      <c r="F78" s="3225"/>
      <c r="G78" s="3225"/>
      <c r="H78" s="322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2265</v>
      </c>
      <c r="C79" s="207">
        <f ca="1">C72-C73</f>
        <v>17843</v>
      </c>
      <c r="D79" s="200" t="s">
        <v>32</v>
      </c>
      <c r="E79" s="1797"/>
      <c r="F79" s="1791"/>
      <c r="G79" s="179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198.25555555555556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10674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16" t="s">
        <v>2268</v>
      </c>
      <c r="B83" s="3217"/>
      <c r="C83" s="3217"/>
      <c r="D83" s="3217"/>
      <c r="E83" s="3217"/>
      <c r="F83" s="3217"/>
      <c r="G83" s="3217"/>
      <c r="H83" s="321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213" t="s">
        <v>2231</v>
      </c>
      <c r="B84" s="3214"/>
      <c r="C84" s="1798"/>
      <c r="D84" s="1798"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17933</v>
      </c>
      <c r="D85" s="200" t="s">
        <v>32</v>
      </c>
      <c r="E85" s="1797"/>
      <c r="F85" s="1791"/>
      <c r="G85" s="179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90</v>
      </c>
      <c r="D86" s="235"/>
      <c r="E86" s="1797"/>
      <c r="F86" s="1791"/>
      <c r="G86" s="179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1794"/>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224" t="s">
        <v>2277</v>
      </c>
      <c r="F91" s="3225"/>
      <c r="G91" s="3225"/>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224" t="s">
        <v>2281</v>
      </c>
      <c r="F92" s="3225"/>
      <c r="G92" s="3225"/>
      <c r="H92" s="322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90</v>
      </c>
      <c r="D93" s="226">
        <f>'数据-取费表'!B43</f>
        <v>5.000000000000001E-3</v>
      </c>
      <c r="E93" s="3224" t="s">
        <v>2264</v>
      </c>
      <c r="F93" s="3225"/>
      <c r="G93" s="3225"/>
      <c r="H93" s="322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227" t="s">
        <v>2285</v>
      </c>
      <c r="F94" s="3228"/>
      <c r="G94" s="3228"/>
      <c r="H94" s="322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2265</v>
      </c>
      <c r="C95" s="207">
        <f ca="1">ROUND(C85-C86,0)</f>
        <v>17843</v>
      </c>
      <c r="D95" s="200" t="s">
        <v>32</v>
      </c>
      <c r="E95" s="1797"/>
      <c r="F95" s="1791"/>
      <c r="G95" s="179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198.25555555555556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10674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2286</v>
      </c>
      <c r="B99" s="2414"/>
      <c r="C99" s="2414"/>
      <c r="D99" s="2414"/>
      <c r="E99" s="2162"/>
      <c r="F99" s="2162"/>
      <c r="G99" s="2162"/>
      <c r="H99" s="2161"/>
      <c r="I99" s="138"/>
    </row>
    <row r="100" spans="1:35" ht="18.75" customHeight="1">
      <c r="A100" s="3090" t="s">
        <v>2287</v>
      </c>
      <c r="B100" s="3091"/>
      <c r="C100" s="3091"/>
      <c r="D100" s="3230"/>
      <c r="E100" s="3091" t="s">
        <v>2288</v>
      </c>
      <c r="F100" s="3091"/>
      <c r="G100" s="3091"/>
      <c r="H100" s="3230"/>
      <c r="I100" s="138"/>
    </row>
    <row r="101" spans="1:35" ht="18.75" customHeight="1">
      <c r="A101" s="3231" t="s">
        <v>2289</v>
      </c>
      <c r="B101" s="3232"/>
      <c r="C101" s="736" t="str">
        <f>C4</f>
        <v>比较法-车位</v>
      </c>
      <c r="D101" s="737" t="str">
        <f>D4</f>
        <v>收益法-车库</v>
      </c>
      <c r="E101" s="3233" t="s">
        <v>2290</v>
      </c>
      <c r="F101" s="3234"/>
      <c r="G101" s="2516" t="s">
        <v>2291</v>
      </c>
      <c r="H101" s="1043">
        <f ca="1">H118</f>
        <v>18830</v>
      </c>
      <c r="I101" s="138"/>
    </row>
    <row r="102" spans="1:35" ht="18.75" customHeight="1">
      <c r="A102" s="3235" t="s">
        <v>2292</v>
      </c>
      <c r="B102" s="2516" t="s">
        <v>2291</v>
      </c>
      <c r="C102" s="736">
        <f ca="1">C19</f>
        <v>24352</v>
      </c>
      <c r="D102" s="737">
        <f ca="1">D19</f>
        <v>5945</v>
      </c>
      <c r="E102" s="3233"/>
      <c r="F102" s="3234"/>
      <c r="G102" s="2516" t="s">
        <v>2293</v>
      </c>
      <c r="H102" s="371">
        <f ca="1">I118</f>
        <v>3752</v>
      </c>
      <c r="I102" s="138"/>
    </row>
    <row r="103" spans="1:35" ht="42.75" customHeight="1">
      <c r="A103" s="3235"/>
      <c r="B103" s="2516" t="s">
        <v>2293</v>
      </c>
      <c r="C103" s="738">
        <f ca="1">C20</f>
        <v>4852</v>
      </c>
      <c r="D103" s="739">
        <f ca="1">D20</f>
        <v>1185</v>
      </c>
      <c r="E103" s="3236" t="s">
        <v>2294</v>
      </c>
      <c r="F103" s="3237"/>
      <c r="G103" s="2517" t="s">
        <v>2295</v>
      </c>
      <c r="H103" s="1043">
        <f>IF(D36="正常操作",H104+H105+H106,H105+H106)</f>
        <v>0</v>
      </c>
      <c r="I103" s="138"/>
    </row>
    <row r="104" spans="1:35" ht="18.75" customHeight="1">
      <c r="A104" s="3235" t="s">
        <v>2296</v>
      </c>
      <c r="B104" s="2518" t="s">
        <v>2291</v>
      </c>
      <c r="C104" s="740">
        <f ca="1">H118</f>
        <v>18830</v>
      </c>
      <c r="D104" s="741"/>
      <c r="E104" s="2263" t="s">
        <v>2297</v>
      </c>
      <c r="F104" s="2254"/>
      <c r="G104" s="2517" t="s">
        <v>2295</v>
      </c>
      <c r="H104" s="1044">
        <f>IF(D36="同一抵押权人同一抵押物续贷",C36&amp;"（未扣减，详见特别提示）",C36)</f>
        <v>0</v>
      </c>
      <c r="I104" s="138"/>
    </row>
    <row r="105" spans="1:35" ht="18.75" customHeight="1" thickBot="1">
      <c r="A105" s="3244"/>
      <c r="B105" s="2519" t="s">
        <v>2293</v>
      </c>
      <c r="C105" s="742">
        <f ca="1">I118</f>
        <v>3752</v>
      </c>
      <c r="D105" s="743"/>
      <c r="E105" s="2263" t="s">
        <v>2298</v>
      </c>
      <c r="F105" s="2254"/>
      <c r="G105" s="2517" t="s">
        <v>2295</v>
      </c>
      <c r="H105" s="1044">
        <f>C37</f>
        <v>0</v>
      </c>
      <c r="I105" s="138"/>
    </row>
    <row r="106" spans="1:35" ht="18.75" customHeight="1">
      <c r="A106" s="2414" t="s">
        <v>2299</v>
      </c>
      <c r="B106" s="2414"/>
      <c r="C106" s="2414"/>
      <c r="D106" s="2414"/>
      <c r="E106" s="2520" t="s">
        <v>2300</v>
      </c>
      <c r="F106" s="2254"/>
      <c r="G106" s="2517" t="s">
        <v>2295</v>
      </c>
      <c r="H106" s="1044">
        <f>C38</f>
        <v>0</v>
      </c>
      <c r="I106" s="138"/>
    </row>
    <row r="107" spans="1:35" ht="18.75" customHeight="1">
      <c r="A107" s="138"/>
      <c r="B107" s="138"/>
      <c r="C107" s="138"/>
      <c r="D107" s="138"/>
      <c r="E107" s="3245" t="str">
        <f>IF(项目基本情况!E8="已注销","——","3.房地产抵押价值")</f>
        <v>3.房地产抵押价值</v>
      </c>
      <c r="F107" s="3234"/>
      <c r="G107" s="2516" t="s">
        <v>2291</v>
      </c>
      <c r="H107" s="1043">
        <f ca="1">IF(E107="——","——",H101-H103)</f>
        <v>18830</v>
      </c>
      <c r="I107" s="138"/>
    </row>
    <row r="108" spans="1:35" ht="18.75" customHeight="1">
      <c r="A108" s="138"/>
      <c r="B108" s="138"/>
      <c r="C108" s="138"/>
      <c r="D108" s="138"/>
      <c r="E108" s="3245"/>
      <c r="F108" s="3234"/>
      <c r="G108" s="2516" t="s">
        <v>2293</v>
      </c>
      <c r="H108" s="371">
        <f ca="1">ROUND(H107*10000/'数据-汇总表'!E3,0)</f>
        <v>3068</v>
      </c>
      <c r="I108" s="138"/>
    </row>
    <row r="109" spans="1:35" ht="18.75" customHeight="1">
      <c r="A109" s="138"/>
      <c r="B109" s="138"/>
      <c r="C109" s="138"/>
      <c r="D109" s="138"/>
      <c r="E109" s="3245" t="str">
        <f>IF(项目基本情况!E8="已注销及未注销","4.抵押担保权已注销时的房地产抵押价值",IF(项目基本情况!E8="已注销","3.抵押担保权已注销时的房地产抵押价值","——"))</f>
        <v>——</v>
      </c>
      <c r="F109" s="3234"/>
      <c r="G109" s="2516" t="s">
        <v>2291</v>
      </c>
      <c r="H109" s="348" t="str">
        <f>IF(E109="——","——",H101-H105-H106)</f>
        <v>——</v>
      </c>
      <c r="I109" s="138"/>
    </row>
    <row r="110" spans="1:35" ht="18.75" customHeight="1">
      <c r="A110" s="138"/>
      <c r="B110" s="138"/>
      <c r="C110" s="138"/>
      <c r="D110" s="138"/>
      <c r="E110" s="3245"/>
      <c r="F110" s="3234"/>
      <c r="G110" s="2516" t="s">
        <v>2293</v>
      </c>
      <c r="H110" s="371" t="str">
        <f>IF(H109="——","——",ROUND(H109*10000/'数据-汇总表'!E3,0))</f>
        <v>——</v>
      </c>
      <c r="I110" s="138"/>
    </row>
    <row r="111" spans="1:35" ht="18.75" customHeight="1">
      <c r="A111" s="138"/>
      <c r="B111" s="138"/>
      <c r="C111" s="138"/>
      <c r="D111" s="138"/>
      <c r="E111" s="3246" t="str">
        <f>IF(项目基本情况!E9="抵押净值",IF(OR(项目基本情况!E8="已注销",项目基本情况!E8="房地产抵押价值"),"4.抵押净值","5.抵押净值"),"——")</f>
        <v>——</v>
      </c>
      <c r="F111" s="3247"/>
      <c r="G111" s="2516" t="s">
        <v>2291</v>
      </c>
      <c r="H111" s="1043" t="str">
        <f>IF(E111="——","——",N59)</f>
        <v>——</v>
      </c>
      <c r="I111" s="138"/>
    </row>
    <row r="112" spans="1:35" ht="18.75" customHeight="1" thickBot="1">
      <c r="A112" s="138"/>
      <c r="B112" s="138"/>
      <c r="C112" s="138"/>
      <c r="D112" s="138"/>
      <c r="E112" s="3248"/>
      <c r="F112" s="3249"/>
      <c r="G112" s="2521" t="s">
        <v>2293</v>
      </c>
      <c r="H112" s="790" t="str">
        <f>IF(E111="——","——",N61)</f>
        <v>——</v>
      </c>
      <c r="I112" s="138"/>
    </row>
    <row r="113" spans="1:11" ht="18.75" customHeight="1">
      <c r="A113" s="138"/>
      <c r="B113" s="138"/>
      <c r="C113" s="138"/>
      <c r="D113" s="138"/>
      <c r="E113" s="3250" t="s">
        <v>2299</v>
      </c>
      <c r="F113" s="3250"/>
      <c r="G113" s="3250"/>
      <c r="H113" s="3250"/>
      <c r="I113" s="138"/>
    </row>
    <row r="114" spans="1:11" ht="3.75" customHeight="1">
      <c r="A114" s="2414"/>
      <c r="B114" s="2414"/>
      <c r="C114" s="2414"/>
      <c r="D114" s="2414"/>
      <c r="E114" s="2492"/>
      <c r="F114" s="2492"/>
      <c r="G114" s="2492"/>
      <c r="H114" s="2492"/>
      <c r="I114" s="2414"/>
    </row>
    <row r="115" spans="1:11" ht="18.75" customHeight="1">
      <c r="A115" s="3251" t="s">
        <v>2301</v>
      </c>
      <c r="B115" s="3252"/>
      <c r="C115" s="3252"/>
      <c r="D115" s="3252"/>
      <c r="E115" s="3252"/>
      <c r="F115" s="3252"/>
      <c r="G115" s="3252"/>
      <c r="H115" s="3252"/>
      <c r="I115" s="3253"/>
    </row>
    <row r="116" spans="1:11" ht="27" customHeight="1">
      <c r="A116" s="3047" t="s">
        <v>2302</v>
      </c>
      <c r="B116" s="3239" t="s">
        <v>2303</v>
      </c>
      <c r="C116" s="3239" t="s">
        <v>2304</v>
      </c>
      <c r="D116" s="3241" t="s">
        <v>2305</v>
      </c>
      <c r="E116" s="3242"/>
      <c r="F116" s="3243" t="s">
        <v>2306</v>
      </c>
      <c r="G116" s="3243"/>
      <c r="H116" s="3047" t="s">
        <v>2307</v>
      </c>
      <c r="I116" s="3047"/>
    </row>
    <row r="117" spans="1:11" ht="18.75" customHeight="1">
      <c r="A117" s="3047"/>
      <c r="B117" s="3240"/>
      <c r="C117" s="3240"/>
      <c r="D117" s="1792" t="s">
        <v>2308</v>
      </c>
      <c r="E117" s="1792" t="s">
        <v>2309</v>
      </c>
      <c r="F117" s="1792" t="s">
        <v>2308</v>
      </c>
      <c r="G117" s="1792" t="s">
        <v>2310</v>
      </c>
      <c r="H117" s="1792" t="s">
        <v>2308</v>
      </c>
      <c r="I117" s="1792" t="s">
        <v>2310</v>
      </c>
    </row>
    <row r="118" spans="1:11" ht="24.75" customHeight="1">
      <c r="A118" s="2522" t="str">
        <f>项目基本情况!S2</f>
        <v>北京市北京市房山区拱辰街道16-03-04、16-01-05地块出让国有建设用地使用权及在建建筑物房地产</v>
      </c>
      <c r="B118" s="1792">
        <f>M18</f>
        <v>50189.399999998794</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18830</v>
      </c>
      <c r="I118" s="1792">
        <f ca="1">ROUND(IF(D32="楼面单价",C32,H118*10000/B118),0)</f>
        <v>3752</v>
      </c>
    </row>
    <row r="119" spans="1:11" ht="18.75" customHeight="1">
      <c r="A119" s="3047" t="s">
        <v>2311</v>
      </c>
      <c r="B119" s="3047"/>
      <c r="C119" s="3047"/>
      <c r="D119" s="3257" t="e">
        <f ca="1">NUMBERSTRING(INT(D118*10000),2)&amp;"元整"</f>
        <v>#REF!</v>
      </c>
      <c r="E119" s="3259"/>
      <c r="F119" s="3257" t="e">
        <f ca="1">NUMBERSTRING(INT(F118*10000),2)&amp;"元整"</f>
        <v>#REF!</v>
      </c>
      <c r="G119" s="3259"/>
      <c r="H119" s="3257" t="str">
        <f ca="1">NUMBERSTRING(INT(H118*10000),2)&amp;"元整"</f>
        <v>壹亿捌仟捌佰叁拾万元整</v>
      </c>
      <c r="I119" s="3259"/>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419" t="str">
        <f>IF(D120=0,"故，本次评估不存在"&amp;A120,"故，本次评估"&amp;A120&amp;"为人民币"&amp;D120&amp;"万元整。")</f>
        <v>故，本次评估不存在估价师知悉的法定优先受偿款</v>
      </c>
    </row>
    <row r="121" spans="1:11" ht="18.75" customHeight="1">
      <c r="A121" s="3254" t="s">
        <v>2311</v>
      </c>
      <c r="B121" s="3255"/>
      <c r="C121" s="3256"/>
      <c r="D121" s="3257" t="str">
        <f>IF(D120=0,"零元整",NUMBERSTRING(INT(D120*10000),2)&amp;"元整")</f>
        <v>零元整</v>
      </c>
      <c r="E121" s="3258"/>
      <c r="F121" s="3258"/>
      <c r="G121" s="3258"/>
      <c r="H121" s="3258"/>
      <c r="I121" s="3259"/>
    </row>
    <row r="122" spans="1:11" ht="18.75" customHeight="1">
      <c r="A122" s="3260" t="str">
        <f>IF(项目基本情况!B9="房地产市场价值","",MID(E107,3,LEN(E107)-2))</f>
        <v>房地产抵押价值</v>
      </c>
      <c r="B122" s="3260"/>
      <c r="C122" s="3260"/>
      <c r="D122" s="3261">
        <f ca="1">H107</f>
        <v>18830</v>
      </c>
      <c r="E122" s="3262"/>
      <c r="F122" s="3262"/>
      <c r="G122" s="3262"/>
      <c r="H122" s="3262"/>
      <c r="I122" s="3263"/>
    </row>
    <row r="123" spans="1:11" ht="18.75" customHeight="1">
      <c r="A123" s="3047" t="s">
        <v>2311</v>
      </c>
      <c r="B123" s="3047"/>
      <c r="C123" s="3047"/>
      <c r="D123" s="3257" t="str">
        <f ca="1">NUMBERSTRING(INT(D122*10000),2)&amp;"元整"</f>
        <v>壹亿捌仟捌佰叁拾万元整</v>
      </c>
      <c r="E123" s="3258"/>
      <c r="F123" s="3258"/>
      <c r="G123" s="3258"/>
      <c r="H123" s="3258"/>
      <c r="I123" s="3259"/>
    </row>
    <row r="124" spans="1:11" ht="18.75" customHeight="1">
      <c r="A124" s="3260" t="str">
        <f>IF(项目基本情况!B9="房地产市场价值","",MID(E109,3,LEN(E109)-2))</f>
        <v/>
      </c>
      <c r="B124" s="3260"/>
      <c r="C124" s="3260"/>
      <c r="D124" s="3261" t="str">
        <f>H109</f>
        <v>——</v>
      </c>
      <c r="E124" s="3262"/>
      <c r="F124" s="3262"/>
      <c r="G124" s="3262"/>
      <c r="H124" s="3262"/>
      <c r="I124" s="3263"/>
    </row>
    <row r="125" spans="1:11" ht="18.75" customHeight="1">
      <c r="A125" s="3047" t="s">
        <v>2311</v>
      </c>
      <c r="B125" s="3047"/>
      <c r="C125" s="3047"/>
      <c r="D125" s="3257" t="e">
        <f>NUMBERSTRING(INT(D124*10000),2)&amp;"元整"</f>
        <v>#VALUE!</v>
      </c>
      <c r="E125" s="3258"/>
      <c r="F125" s="3258"/>
      <c r="G125" s="3258"/>
      <c r="H125" s="3258"/>
      <c r="I125" s="3259"/>
    </row>
    <row r="126" spans="1:11" ht="18.75" customHeight="1">
      <c r="A126" s="3260" t="str">
        <f>IF(项目基本情况!B9="房地产市场价值","",MID(E111,3,LEN(E111)-2))</f>
        <v/>
      </c>
      <c r="B126" s="3260"/>
      <c r="C126" s="3260"/>
      <c r="D126" s="3261" t="str">
        <f>H111</f>
        <v>——</v>
      </c>
      <c r="E126" s="3262"/>
      <c r="F126" s="3262"/>
      <c r="G126" s="3262"/>
      <c r="H126" s="3262"/>
      <c r="I126" s="3263"/>
    </row>
    <row r="127" spans="1:11" ht="18.75" customHeight="1">
      <c r="A127" s="3047" t="s">
        <v>2311</v>
      </c>
      <c r="B127" s="3047"/>
      <c r="C127" s="3047"/>
      <c r="D127" s="3257" t="e">
        <f>NUMBERSTRING(INT(D126*10000),2)&amp;"元整"</f>
        <v>#VALUE!</v>
      </c>
      <c r="E127" s="3258"/>
      <c r="F127" s="3258"/>
      <c r="G127" s="3258"/>
      <c r="H127" s="3258"/>
      <c r="I127" s="3259"/>
    </row>
    <row r="128" spans="1:11" ht="21.75" customHeight="1">
      <c r="A128" s="3264" t="s">
        <v>2312</v>
      </c>
      <c r="B128" s="3264"/>
      <c r="C128" s="3264"/>
      <c r="D128" s="3264"/>
      <c r="E128" s="3264"/>
      <c r="F128" s="3264"/>
      <c r="G128" s="3264"/>
      <c r="H128" s="3264"/>
      <c r="I128" s="3264"/>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75" priority="21" stopIfTrue="1" operator="equal">
      <formula>25</formula>
    </cfRule>
  </conditionalFormatting>
  <conditionalFormatting sqref="C8:C9">
    <cfRule type="cellIs" dxfId="74" priority="19" stopIfTrue="1" operator="equal">
      <formula>15</formula>
    </cfRule>
  </conditionalFormatting>
  <conditionalFormatting sqref="C14:C16">
    <cfRule type="cellIs" dxfId="73" priority="13" stopIfTrue="1" operator="equal">
      <formula>30</formula>
    </cfRule>
  </conditionalFormatting>
  <conditionalFormatting sqref="D5:D7">
    <cfRule type="cellIs" dxfId="72" priority="10" stopIfTrue="1" operator="equal">
      <formula>25</formula>
    </cfRule>
  </conditionalFormatting>
  <conditionalFormatting sqref="D8:D9">
    <cfRule type="cellIs" dxfId="71" priority="9" stopIfTrue="1" operator="equal">
      <formula>15</formula>
    </cfRule>
  </conditionalFormatting>
  <conditionalFormatting sqref="C10:D13">
    <cfRule type="cellIs" dxfId="70" priority="8" stopIfTrue="1" operator="equal">
      <formula>15</formula>
    </cfRule>
  </conditionalFormatting>
  <conditionalFormatting sqref="D14:D16">
    <cfRule type="cellIs" dxfId="69" priority="6"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ColWidth="9" defaultRowHeight="14.25"/>
  <cols>
    <col min="1" max="1" width="10.5" style="403" customWidth="1"/>
    <col min="2" max="2" width="15.75" style="403" customWidth="1"/>
    <col min="3" max="3" width="16"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t="s">
        <v>1373</v>
      </c>
      <c r="C1" s="1618" t="s">
        <v>2524</v>
      </c>
      <c r="D1" s="1619" t="s">
        <v>48</v>
      </c>
      <c r="E1" s="1620"/>
      <c r="F1" s="2582" t="s">
        <v>4576</v>
      </c>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2321</v>
      </c>
      <c r="B2" s="1416">
        <f>IF(C2="——",IF(B37="元/平方米",ROUND(C39*D3/10000,0),ROUND(F3*C39/10000,0)),IF(B37="元/平方米",ROUND(C39*D3/10000,0),ROUND(F3*C39/10000,0))-D2)</f>
        <v>24352</v>
      </c>
      <c r="C2" s="2584" t="s">
        <v>70</v>
      </c>
      <c r="D2" s="1122" t="e">
        <f ca="1">SUMIF(INDIRECT("'"&amp;F2&amp;"'"&amp;"!A:A"),"承租人权益价值",INDIRECT("'"&amp;F2&amp;"'"&amp;"!c:c"))</f>
        <v>#REF!</v>
      </c>
      <c r="E2" s="2585" t="s">
        <v>2322</v>
      </c>
      <c r="F2" s="2586"/>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2323</v>
      </c>
      <c r="B3" s="609">
        <f>IF(AND(C2="——",B37="元/平方米"),C39,ROUND(B2*10000/D3,0))</f>
        <v>4852</v>
      </c>
      <c r="C3" s="400" t="s">
        <v>2638</v>
      </c>
      <c r="D3" s="399">
        <f>SUMIF('数据-汇总表'!$C19:$C33,D1,'数据-汇总表'!$E19:$E33)</f>
        <v>50189.399999998794</v>
      </c>
      <c r="E3" s="400" t="s">
        <v>2702</v>
      </c>
      <c r="F3" s="399">
        <f>SUMIF('数据-取费表'!A5:A15,D1,'数据-取费表'!AH5:AH15)</f>
        <v>1243</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54" t="s">
        <v>2641</v>
      </c>
      <c r="S4" s="3155"/>
      <c r="T4" s="3154" t="s">
        <v>2642</v>
      </c>
      <c r="U4" s="3155"/>
      <c r="V4" s="3160" t="s">
        <v>2643</v>
      </c>
      <c r="W4" s="3160"/>
      <c r="X4" s="1810"/>
      <c r="Y4" s="3154" t="s">
        <v>2645</v>
      </c>
      <c r="Z4" s="3155"/>
      <c r="AA4" s="3141" t="s">
        <v>2641</v>
      </c>
      <c r="AB4" s="3142" t="s">
        <v>2642</v>
      </c>
      <c r="AC4" s="3141" t="s">
        <v>2643</v>
      </c>
    </row>
    <row r="5" spans="1:29" ht="15">
      <c r="A5" s="404"/>
      <c r="B5" s="405"/>
      <c r="C5" s="3265" t="s">
        <v>4578</v>
      </c>
      <c r="D5" s="3164"/>
      <c r="E5" s="3266" t="s">
        <v>4577</v>
      </c>
      <c r="F5" s="3171"/>
      <c r="G5" s="3265" t="s">
        <v>4598</v>
      </c>
      <c r="H5" s="3164"/>
      <c r="I5" s="3265" t="s">
        <v>4599</v>
      </c>
      <c r="J5" s="3164"/>
      <c r="K5" s="610"/>
      <c r="L5" s="1128"/>
      <c r="M5" s="1129"/>
      <c r="N5" s="1129"/>
      <c r="O5" s="1129"/>
      <c r="P5" s="3150"/>
      <c r="Q5" s="3151"/>
      <c r="R5" s="3156"/>
      <c r="S5" s="3157"/>
      <c r="T5" s="3156"/>
      <c r="U5" s="3157"/>
      <c r="V5" s="3160"/>
      <c r="W5" s="3160"/>
      <c r="X5" s="1810"/>
      <c r="Y5" s="3156"/>
      <c r="Z5" s="3157"/>
      <c r="AA5" s="3142"/>
      <c r="AB5" s="3142"/>
      <c r="AC5" s="3142"/>
    </row>
    <row r="6" spans="1:29" ht="15.75" thickBot="1">
      <c r="A6" s="406"/>
      <c r="B6" s="407"/>
      <c r="C6" s="3161" t="s">
        <v>2540</v>
      </c>
      <c r="D6" s="3162"/>
      <c r="E6" s="3168" t="s">
        <v>2540</v>
      </c>
      <c r="F6" s="3169"/>
      <c r="G6" s="3161" t="s">
        <v>2540</v>
      </c>
      <c r="H6" s="3162"/>
      <c r="I6" s="3161" t="s">
        <v>2540</v>
      </c>
      <c r="J6" s="3162"/>
      <c r="K6" s="610" t="s">
        <v>2541</v>
      </c>
      <c r="L6" s="1128"/>
      <c r="M6" s="1129"/>
      <c r="N6" s="1129"/>
      <c r="O6" s="1129"/>
      <c r="P6" s="3152"/>
      <c r="Q6" s="3153"/>
      <c r="R6" s="3156"/>
      <c r="S6" s="3157"/>
      <c r="T6" s="3158"/>
      <c r="U6" s="3159"/>
      <c r="V6" s="3160"/>
      <c r="W6" s="3160"/>
      <c r="X6" s="1810"/>
      <c r="Y6" s="3158"/>
      <c r="Z6" s="3159"/>
      <c r="AA6" s="3143"/>
      <c r="AB6" s="3143"/>
      <c r="AC6" s="3143"/>
    </row>
    <row r="7" spans="1:29" s="117" customFormat="1" ht="15.75" thickBot="1">
      <c r="A7" s="408" t="s">
        <v>2542</v>
      </c>
      <c r="B7" s="409"/>
      <c r="C7" s="410">
        <f>'数据-取费表'!B2</f>
        <v>43494</v>
      </c>
      <c r="D7" s="411">
        <v>100</v>
      </c>
      <c r="E7" s="412">
        <v>43466</v>
      </c>
      <c r="F7" s="413">
        <f>SUMIF(48:48,YEAR(E7)&amp;"-"&amp;MONTH(E7),49:49)</f>
        <v>100</v>
      </c>
      <c r="G7" s="412">
        <v>43435</v>
      </c>
      <c r="H7" s="411">
        <f>SUMIF(48:48,YEAR(G7)&amp;"-"&amp;MONTH(G7),49:49)</f>
        <v>100</v>
      </c>
      <c r="I7" s="412">
        <v>43282</v>
      </c>
      <c r="J7" s="411">
        <f>SUMIF(48:48,YEAR(I7)&amp;"-"&amp;MONTH(I7),49:49)</f>
        <v>99</v>
      </c>
      <c r="K7" s="611"/>
      <c r="L7" s="1130"/>
      <c r="M7" s="1131"/>
      <c r="N7" s="1131"/>
      <c r="O7" s="1131"/>
      <c r="P7" s="3165" t="s">
        <v>2543</v>
      </c>
      <c r="Q7" s="3167"/>
      <c r="R7" s="770" t="s">
        <v>17</v>
      </c>
      <c r="S7" s="771">
        <f t="shared" ref="S7:S14" si="0">F7</f>
        <v>100</v>
      </c>
      <c r="T7" s="770" t="s">
        <v>17</v>
      </c>
      <c r="U7" s="771">
        <f t="shared" ref="U7:U14" si="1">H7</f>
        <v>100</v>
      </c>
      <c r="V7" s="770" t="s">
        <v>17</v>
      </c>
      <c r="W7" s="771">
        <f t="shared" ref="W7:W14" si="2">J7</f>
        <v>99</v>
      </c>
      <c r="X7" s="772"/>
      <c r="Y7" s="3165" t="s">
        <v>2543</v>
      </c>
      <c r="Z7" s="3166"/>
      <c r="AA7" s="773">
        <f>D7/F7</f>
        <v>1</v>
      </c>
      <c r="AB7" s="773">
        <f>D7/H7</f>
        <v>1</v>
      </c>
      <c r="AC7" s="773">
        <f>D7/J7</f>
        <v>1.0101010101010102</v>
      </c>
    </row>
    <row r="8" spans="1:29" s="117" customFormat="1" ht="15.75" thickBot="1">
      <c r="A8" s="408" t="s">
        <v>2544</v>
      </c>
      <c r="B8" s="409"/>
      <c r="C8" s="414" t="s">
        <v>2646</v>
      </c>
      <c r="D8" s="411">
        <v>100</v>
      </c>
      <c r="E8" s="414" t="s">
        <v>2581</v>
      </c>
      <c r="F8" s="413">
        <f>SUMIF(51:51,E8,52:52)-SUMIF(51:51,C8,52:52)+100</f>
        <v>100</v>
      </c>
      <c r="G8" s="414" t="s">
        <v>2581</v>
      </c>
      <c r="H8" s="411">
        <f>SUMIF(51:51,G8,52:52)-SUMIF(51:51,C8,52:52)+100</f>
        <v>100</v>
      </c>
      <c r="I8" s="414" t="s">
        <v>2581</v>
      </c>
      <c r="J8" s="411">
        <f>SUMIF(51:51,I8,52:52)-SUMIF(51:51,C8,52:52)+100</f>
        <v>100</v>
      </c>
      <c r="K8" s="611"/>
      <c r="L8" s="1130"/>
      <c r="M8" s="1131"/>
      <c r="N8" s="1131"/>
      <c r="O8" s="1131"/>
      <c r="P8" s="3165" t="s">
        <v>2546</v>
      </c>
      <c r="Q8" s="3166"/>
      <c r="R8" s="770" t="s">
        <v>17</v>
      </c>
      <c r="S8" s="771">
        <f t="shared" si="0"/>
        <v>100</v>
      </c>
      <c r="T8" s="770" t="s">
        <v>17</v>
      </c>
      <c r="U8" s="771">
        <f t="shared" si="1"/>
        <v>100</v>
      </c>
      <c r="V8" s="770" t="s">
        <v>17</v>
      </c>
      <c r="W8" s="771">
        <f t="shared" si="2"/>
        <v>100</v>
      </c>
      <c r="X8" s="772"/>
      <c r="Y8" s="3165" t="s">
        <v>2546</v>
      </c>
      <c r="Z8" s="3166"/>
      <c r="AA8" s="773">
        <f t="shared" ref="AA8:AA36" si="3">D8/F8</f>
        <v>1</v>
      </c>
      <c r="AB8" s="773">
        <f t="shared" ref="AB8:AB36" si="4">D8/H8</f>
        <v>1</v>
      </c>
      <c r="AC8" s="773">
        <f t="shared" ref="AC8:AC36" si="5">D8/J8</f>
        <v>1</v>
      </c>
    </row>
    <row r="9" spans="1:29" s="117" customFormat="1">
      <c r="A9" s="68" t="s">
        <v>2547</v>
      </c>
      <c r="B9" s="640" t="s">
        <v>2548</v>
      </c>
      <c r="C9" s="2973" t="s">
        <v>4579</v>
      </c>
      <c r="D9" s="135">
        <v>100</v>
      </c>
      <c r="E9" s="419" t="s">
        <v>3060</v>
      </c>
      <c r="F9" s="135">
        <f>SUMIF(53:53,E9,54:54)-SUMIF(53:53,C9,54:54)+100</f>
        <v>100</v>
      </c>
      <c r="G9" s="419" t="s">
        <v>3060</v>
      </c>
      <c r="H9" s="135">
        <f>SUMIF(53:53,G9,54:54)-SUMIF(53:53,C9,54:54)+100</f>
        <v>100</v>
      </c>
      <c r="I9" s="419" t="s">
        <v>3060</v>
      </c>
      <c r="J9" s="135">
        <f>SUMIF(53:53,I9,54:54)-SUMIF(53:53,C9,54:54)+100</f>
        <v>100</v>
      </c>
      <c r="K9" s="611"/>
      <c r="L9" s="1130"/>
      <c r="M9" s="1131"/>
      <c r="N9" s="1131"/>
      <c r="O9" s="1131"/>
      <c r="P9" s="3129" t="s">
        <v>2549</v>
      </c>
      <c r="Q9" s="1792" t="str">
        <f t="shared" ref="Q9:Q14" si="6">B9</f>
        <v>用途</v>
      </c>
      <c r="R9" s="770" t="s">
        <v>17</v>
      </c>
      <c r="S9" s="771">
        <f t="shared" si="0"/>
        <v>100</v>
      </c>
      <c r="T9" s="770" t="s">
        <v>17</v>
      </c>
      <c r="U9" s="771">
        <f t="shared" si="1"/>
        <v>100</v>
      </c>
      <c r="V9" s="770" t="s">
        <v>17</v>
      </c>
      <c r="W9" s="771">
        <f t="shared" si="2"/>
        <v>100</v>
      </c>
      <c r="X9" s="772"/>
      <c r="Y9" s="3047" t="s">
        <v>2550</v>
      </c>
      <c r="Z9" s="55" t="str">
        <f t="shared" ref="Z9:Z14" si="7">Q9</f>
        <v>用途</v>
      </c>
      <c r="AA9" s="773">
        <f t="shared" si="3"/>
        <v>1</v>
      </c>
      <c r="AB9" s="773">
        <f t="shared" si="4"/>
        <v>1</v>
      </c>
      <c r="AC9" s="773">
        <f t="shared" si="5"/>
        <v>1</v>
      </c>
    </row>
    <row r="10" spans="1:29" s="427" customFormat="1" ht="27.75" thickBot="1">
      <c r="A10" s="641"/>
      <c r="B10" s="642" t="s">
        <v>2551</v>
      </c>
      <c r="C10" s="423" t="s">
        <v>4581</v>
      </c>
      <c r="D10" s="136">
        <v>100</v>
      </c>
      <c r="E10" s="423" t="s">
        <v>4581</v>
      </c>
      <c r="F10" s="136">
        <f>SUMIF(55:55,E10,56:56)-SUMIF(55:55,C10,56:56)+100</f>
        <v>100</v>
      </c>
      <c r="G10" s="423" t="s">
        <v>4581</v>
      </c>
      <c r="H10" s="136">
        <f>SUMIF(55:55,G10,56:56)-SUMIF(55:55,C10,56:56)+100</f>
        <v>100</v>
      </c>
      <c r="I10" s="423" t="s">
        <v>4581</v>
      </c>
      <c r="J10" s="136">
        <f>SUMIF(55:55,I10,56:56)-SUMIF(55:55,C10,56:56)+100</f>
        <v>100</v>
      </c>
      <c r="K10" s="612">
        <v>1</v>
      </c>
      <c r="L10" s="1133"/>
      <c r="M10" s="1134"/>
      <c r="N10" s="1134"/>
      <c r="O10" s="1134"/>
      <c r="P10" s="3129"/>
      <c r="Q10" s="1792"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29"/>
      <c r="Q11" s="1792">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29"/>
      <c r="Q12" s="1792">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29"/>
      <c r="Q13" s="1792">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71.25">
      <c r="A14" s="401" t="s">
        <v>2553</v>
      </c>
      <c r="B14" s="629" t="s">
        <v>2703</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38"/>
      <c r="M14" s="1129"/>
      <c r="N14" s="1129"/>
      <c r="O14" s="1129"/>
      <c r="P14" s="3131" t="s">
        <v>2554</v>
      </c>
      <c r="Q14" s="1807" t="str">
        <f t="shared" si="6"/>
        <v>交通便捷度</v>
      </c>
      <c r="R14" s="774" t="s">
        <v>17</v>
      </c>
      <c r="S14" s="775">
        <f t="shared" si="0"/>
        <v>100</v>
      </c>
      <c r="T14" s="774" t="s">
        <v>17</v>
      </c>
      <c r="U14" s="775">
        <f t="shared" si="1"/>
        <v>100</v>
      </c>
      <c r="V14" s="774" t="s">
        <v>17</v>
      </c>
      <c r="W14" s="775">
        <f t="shared" si="2"/>
        <v>100</v>
      </c>
      <c r="X14" s="1810"/>
      <c r="Y14" s="3131" t="s">
        <v>2554</v>
      </c>
      <c r="Z14" s="1811" t="str">
        <f t="shared" si="7"/>
        <v>交通便捷度</v>
      </c>
      <c r="AA14" s="1808">
        <f t="shared" si="3"/>
        <v>1</v>
      </c>
      <c r="AB14" s="1808">
        <f t="shared" si="4"/>
        <v>1</v>
      </c>
      <c r="AC14" s="1808">
        <f t="shared" si="5"/>
        <v>1</v>
      </c>
    </row>
    <row r="15" spans="1:29" ht="15">
      <c r="A15" s="404"/>
      <c r="B15" s="647"/>
      <c r="C15" s="447" t="s">
        <v>4589</v>
      </c>
      <c r="D15" s="448"/>
      <c r="E15" s="447" t="s">
        <v>4589</v>
      </c>
      <c r="F15" s="449"/>
      <c r="G15" s="447" t="s">
        <v>4589</v>
      </c>
      <c r="H15" s="450"/>
      <c r="I15" s="447" t="s">
        <v>4589</v>
      </c>
      <c r="J15" s="448"/>
      <c r="K15" s="615"/>
      <c r="L15" s="1138"/>
      <c r="M15" s="1129"/>
      <c r="N15" s="1129"/>
      <c r="O15" s="1129"/>
      <c r="P15" s="3132"/>
      <c r="Q15" s="1807"/>
      <c r="R15" s="774"/>
      <c r="S15" s="775"/>
      <c r="T15" s="774"/>
      <c r="U15" s="775"/>
      <c r="V15" s="774"/>
      <c r="W15" s="775"/>
      <c r="X15" s="1810"/>
      <c r="Y15" s="3132"/>
      <c r="Z15" s="1811"/>
      <c r="AA15" s="1808">
        <v>1</v>
      </c>
      <c r="AB15" s="1808">
        <v>1</v>
      </c>
      <c r="AC15" s="1808">
        <v>1</v>
      </c>
    </row>
    <row r="16" spans="1:29" ht="42.75">
      <c r="A16" s="404"/>
      <c r="B16" s="631" t="s">
        <v>2682</v>
      </c>
      <c r="C16" s="2605" t="str">
        <f>IF(B1="工业",估价对象房地状况!G5,估价对象房地状况!C7)</f>
        <v>估价对象所在区域公共配套设施齐备情况一般</v>
      </c>
      <c r="D16" s="455">
        <v>100</v>
      </c>
      <c r="E16" s="457"/>
      <c r="F16" s="458">
        <f>SUMIF(65:65,E17,66:66)-SUMIF(65:65,C17,66:66)+100</f>
        <v>101</v>
      </c>
      <c r="G16" s="459"/>
      <c r="H16" s="455">
        <f>SUMIF(65:65,G17,66:66)-SUMIF(65:65,C17,66:66)+100</f>
        <v>100</v>
      </c>
      <c r="I16" s="457"/>
      <c r="J16" s="455">
        <f>SUMIF(65:65,I17,66:66)-SUMIF(65:65,C17,66:66)+100</f>
        <v>100</v>
      </c>
      <c r="K16" s="614">
        <v>1</v>
      </c>
      <c r="L16" s="1138"/>
      <c r="M16" s="1129"/>
      <c r="N16" s="1129"/>
      <c r="O16" s="1129"/>
      <c r="P16" s="3132"/>
      <c r="Q16" s="1807" t="str">
        <f>B16</f>
        <v>公共配套设施</v>
      </c>
      <c r="R16" s="774" t="s">
        <v>17</v>
      </c>
      <c r="S16" s="775">
        <f>F16</f>
        <v>101</v>
      </c>
      <c r="T16" s="774" t="s">
        <v>17</v>
      </c>
      <c r="U16" s="775">
        <f>H16</f>
        <v>100</v>
      </c>
      <c r="V16" s="774" t="s">
        <v>17</v>
      </c>
      <c r="W16" s="775">
        <f>J16</f>
        <v>100</v>
      </c>
      <c r="X16" s="1810"/>
      <c r="Y16" s="3132"/>
      <c r="Z16" s="1811" t="str">
        <f>Q16</f>
        <v>公共配套设施</v>
      </c>
      <c r="AA16" s="1808">
        <f t="shared" si="3"/>
        <v>0.99009900990099009</v>
      </c>
      <c r="AB16" s="1808">
        <f t="shared" si="4"/>
        <v>1</v>
      </c>
      <c r="AC16" s="1808">
        <f t="shared" si="5"/>
        <v>1</v>
      </c>
    </row>
    <row r="17" spans="1:29" ht="15">
      <c r="A17" s="404"/>
      <c r="B17" s="632"/>
      <c r="C17" s="2606" t="s">
        <v>4584</v>
      </c>
      <c r="D17" s="448"/>
      <c r="E17" s="447" t="s">
        <v>4589</v>
      </c>
      <c r="F17" s="449"/>
      <c r="G17" s="447" t="s">
        <v>4584</v>
      </c>
      <c r="H17" s="448"/>
      <c r="I17" s="447" t="s">
        <v>4584</v>
      </c>
      <c r="J17" s="448"/>
      <c r="K17" s="615"/>
      <c r="L17" s="1138"/>
      <c r="M17" s="1129"/>
      <c r="N17" s="1129"/>
      <c r="O17" s="1129"/>
      <c r="P17" s="3132"/>
      <c r="Q17" s="1807"/>
      <c r="R17" s="774"/>
      <c r="S17" s="775"/>
      <c r="T17" s="774"/>
      <c r="U17" s="775"/>
      <c r="V17" s="774"/>
      <c r="W17" s="775"/>
      <c r="X17" s="1810"/>
      <c r="Y17" s="3132"/>
      <c r="Z17" s="1811"/>
      <c r="AA17" s="1808">
        <v>1</v>
      </c>
      <c r="AB17" s="1808">
        <v>1</v>
      </c>
      <c r="AC17" s="1808">
        <v>1</v>
      </c>
    </row>
    <row r="18" spans="1:29" ht="42.75">
      <c r="A18" s="404"/>
      <c r="B18" s="633" t="s">
        <v>2683</v>
      </c>
      <c r="C18" s="2605"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v>1</v>
      </c>
      <c r="L18" s="1138"/>
      <c r="M18" s="1129"/>
      <c r="N18" s="1129"/>
      <c r="O18" s="1129"/>
      <c r="P18" s="3132"/>
      <c r="Q18" s="1807" t="str">
        <f>B18</f>
        <v>基础设施水平</v>
      </c>
      <c r="R18" s="774" t="s">
        <v>17</v>
      </c>
      <c r="S18" s="775">
        <f>F18</f>
        <v>100</v>
      </c>
      <c r="T18" s="774" t="s">
        <v>17</v>
      </c>
      <c r="U18" s="775">
        <f>H18</f>
        <v>100</v>
      </c>
      <c r="V18" s="774" t="s">
        <v>17</v>
      </c>
      <c r="W18" s="775">
        <f>J18</f>
        <v>100</v>
      </c>
      <c r="X18" s="1810"/>
      <c r="Y18" s="3132"/>
      <c r="Z18" s="1811" t="str">
        <f>Q18</f>
        <v>基础设施水平</v>
      </c>
      <c r="AA18" s="1808">
        <f t="shared" ref="AA18" si="8">D18/F18</f>
        <v>1</v>
      </c>
      <c r="AB18" s="1808">
        <f t="shared" ref="AB18" si="9">D18/H18</f>
        <v>1</v>
      </c>
      <c r="AC18" s="1808">
        <f t="shared" ref="AC18" si="10">D18/J18</f>
        <v>1</v>
      </c>
    </row>
    <row r="19" spans="1:29" ht="15">
      <c r="A19" s="404"/>
      <c r="B19" s="633"/>
      <c r="C19" s="2606" t="s">
        <v>4588</v>
      </c>
      <c r="D19" s="450"/>
      <c r="E19" s="2606" t="s">
        <v>4588</v>
      </c>
      <c r="F19" s="453"/>
      <c r="G19" s="2606" t="s">
        <v>4588</v>
      </c>
      <c r="H19" s="448"/>
      <c r="I19" s="2606" t="s">
        <v>4588</v>
      </c>
      <c r="J19" s="448"/>
      <c r="K19" s="1381"/>
      <c r="L19" s="1138"/>
      <c r="M19" s="1129"/>
      <c r="N19" s="1129"/>
      <c r="O19" s="1129"/>
      <c r="P19" s="3132"/>
      <c r="Q19" s="1807"/>
      <c r="R19" s="774"/>
      <c r="S19" s="775"/>
      <c r="T19" s="774"/>
      <c r="U19" s="775"/>
      <c r="V19" s="774"/>
      <c r="W19" s="775"/>
      <c r="X19" s="1810"/>
      <c r="Y19" s="3132"/>
      <c r="Z19" s="1811"/>
      <c r="AA19" s="1808">
        <v>1</v>
      </c>
      <c r="AB19" s="1808">
        <v>1</v>
      </c>
      <c r="AC19" s="1808">
        <v>1</v>
      </c>
    </row>
    <row r="20" spans="1:29" ht="42.75">
      <c r="A20" s="404"/>
      <c r="B20" s="631" t="s">
        <v>2704</v>
      </c>
      <c r="C20" s="2605" t="str">
        <f>IF(B1="工业",估价对象房地状况!G7,估价对象房地状况!C9)</f>
        <v>区域自然环境：；人文环境；综合评价环境状况较好</v>
      </c>
      <c r="D20" s="455">
        <v>100</v>
      </c>
      <c r="E20" s="457"/>
      <c r="F20" s="458">
        <f>SUMIF(69:69,E21,70:70)-SUMIF(69:69,C21,70:70)+100</f>
        <v>99</v>
      </c>
      <c r="G20" s="459"/>
      <c r="H20" s="450">
        <f>SUMIF(69:69,G21,70:70)-SUMIF(69:69,C21,70:70)+100</f>
        <v>100</v>
      </c>
      <c r="I20" s="452"/>
      <c r="J20" s="450">
        <f>SUMIF(69:69,I21,70:70)-SUMIF(69:69,C21,70:70)+100</f>
        <v>100</v>
      </c>
      <c r="K20" s="614">
        <v>1</v>
      </c>
      <c r="L20" s="1138"/>
      <c r="M20" s="1129"/>
      <c r="N20" s="1129"/>
      <c r="O20" s="1129"/>
      <c r="P20" s="3132"/>
      <c r="Q20" s="1807" t="str">
        <f>B20</f>
        <v>自然及人文环境</v>
      </c>
      <c r="R20" s="774" t="s">
        <v>17</v>
      </c>
      <c r="S20" s="775">
        <f>F20</f>
        <v>99</v>
      </c>
      <c r="T20" s="774" t="s">
        <v>17</v>
      </c>
      <c r="U20" s="775">
        <f>H20</f>
        <v>100</v>
      </c>
      <c r="V20" s="774" t="s">
        <v>17</v>
      </c>
      <c r="W20" s="775">
        <f>J20</f>
        <v>100</v>
      </c>
      <c r="X20" s="1810"/>
      <c r="Y20" s="3132"/>
      <c r="Z20" s="1811" t="str">
        <f>Q20</f>
        <v>自然及人文环境</v>
      </c>
      <c r="AA20" s="1808">
        <f t="shared" si="3"/>
        <v>1.0101010101010102</v>
      </c>
      <c r="AB20" s="1808">
        <f t="shared" si="4"/>
        <v>1</v>
      </c>
      <c r="AC20" s="1808">
        <f t="shared" si="5"/>
        <v>1</v>
      </c>
    </row>
    <row r="21" spans="1:29" ht="15">
      <c r="A21" s="404"/>
      <c r="B21" s="632"/>
      <c r="C21" s="447" t="s">
        <v>4589</v>
      </c>
      <c r="D21" s="448"/>
      <c r="E21" s="447" t="s">
        <v>4584</v>
      </c>
      <c r="F21" s="449"/>
      <c r="G21" s="447" t="s">
        <v>4589</v>
      </c>
      <c r="H21" s="448"/>
      <c r="I21" s="447" t="s">
        <v>4589</v>
      </c>
      <c r="J21" s="448"/>
      <c r="K21" s="615"/>
      <c r="L21" s="1138"/>
      <c r="M21" s="1129"/>
      <c r="N21" s="1129"/>
      <c r="O21" s="1129"/>
      <c r="P21" s="3132"/>
      <c r="Q21" s="1807"/>
      <c r="R21" s="774"/>
      <c r="S21" s="775"/>
      <c r="T21" s="774"/>
      <c r="U21" s="775"/>
      <c r="V21" s="774"/>
      <c r="W21" s="775"/>
      <c r="X21" s="1810"/>
      <c r="Y21" s="3132"/>
      <c r="Z21" s="1811"/>
      <c r="AA21" s="1808">
        <v>1</v>
      </c>
      <c r="AB21" s="1808">
        <v>1</v>
      </c>
      <c r="AC21" s="1808">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32"/>
      <c r="Q22" s="1807" t="str">
        <f>B22</f>
        <v>楼层</v>
      </c>
      <c r="R22" s="774" t="s">
        <v>17</v>
      </c>
      <c r="S22" s="775">
        <f>F22</f>
        <v>100</v>
      </c>
      <c r="T22" s="774" t="s">
        <v>17</v>
      </c>
      <c r="U22" s="775">
        <f>H22</f>
        <v>100</v>
      </c>
      <c r="V22" s="774" t="s">
        <v>17</v>
      </c>
      <c r="W22" s="775">
        <f>J22</f>
        <v>100</v>
      </c>
      <c r="X22" s="1810"/>
      <c r="Y22" s="3132"/>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32"/>
      <c r="Q23" s="1807">
        <f>B23</f>
        <v>111</v>
      </c>
      <c r="R23" s="774" t="s">
        <v>17</v>
      </c>
      <c r="S23" s="775">
        <f>F23</f>
        <v>100</v>
      </c>
      <c r="T23" s="774" t="s">
        <v>17</v>
      </c>
      <c r="U23" s="775">
        <f>H23</f>
        <v>100</v>
      </c>
      <c r="V23" s="774" t="s">
        <v>17</v>
      </c>
      <c r="W23" s="775">
        <f>J23</f>
        <v>100</v>
      </c>
      <c r="X23" s="1810"/>
      <c r="Y23" s="3132"/>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32"/>
      <c r="Q24" s="1807">
        <f t="shared" ref="Q24:Q36" si="11">B24</f>
        <v>111</v>
      </c>
      <c r="R24" s="774" t="s">
        <v>17</v>
      </c>
      <c r="S24" s="775">
        <f>F24</f>
        <v>100</v>
      </c>
      <c r="T24" s="774" t="s">
        <v>17</v>
      </c>
      <c r="U24" s="775">
        <f>H24</f>
        <v>100</v>
      </c>
      <c r="V24" s="774" t="s">
        <v>17</v>
      </c>
      <c r="W24" s="775">
        <f>J24</f>
        <v>100</v>
      </c>
      <c r="X24" s="1810"/>
      <c r="Y24" s="3132"/>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32"/>
      <c r="Q25" s="1792">
        <f t="shared" si="11"/>
        <v>111</v>
      </c>
      <c r="R25" s="770" t="s">
        <v>17</v>
      </c>
      <c r="S25" s="771">
        <f>F25</f>
        <v>100</v>
      </c>
      <c r="T25" s="770" t="s">
        <v>17</v>
      </c>
      <c r="U25" s="771">
        <f>H25</f>
        <v>100</v>
      </c>
      <c r="V25" s="770" t="s">
        <v>17</v>
      </c>
      <c r="W25" s="771">
        <f>J25</f>
        <v>100</v>
      </c>
      <c r="X25" s="772"/>
      <c r="Y25" s="3132"/>
      <c r="Z25" s="55">
        <f>Q25</f>
        <v>111</v>
      </c>
      <c r="AA25" s="1808">
        <f>D25/F25</f>
        <v>1</v>
      </c>
      <c r="AB25" s="1808">
        <f>D25/H25</f>
        <v>1</v>
      </c>
      <c r="AC25" s="1808">
        <f>D25/J25</f>
        <v>1</v>
      </c>
    </row>
    <row r="26" spans="1:29" ht="28.5">
      <c r="A26" s="652" t="s">
        <v>2557</v>
      </c>
      <c r="B26" s="70" t="s">
        <v>2706</v>
      </c>
      <c r="C26" s="2692" t="str">
        <f>B1</f>
        <v>商业</v>
      </c>
      <c r="D26" s="448">
        <v>100</v>
      </c>
      <c r="E26" s="447" t="s">
        <v>4600</v>
      </c>
      <c r="F26" s="449">
        <f>SUMIF(79:79,E26,80:80)-SUMIF(79:79,C26,80:80)+100</f>
        <v>98</v>
      </c>
      <c r="G26" s="447" t="s">
        <v>4600</v>
      </c>
      <c r="H26" s="448">
        <f>SUMIF(79:79,G26,80:80)-SUMIF(79:79,C26,80:80)+100</f>
        <v>98</v>
      </c>
      <c r="I26" s="447" t="s">
        <v>1373</v>
      </c>
      <c r="J26" s="448">
        <f>SUMIF(79:79,I26,80:80)-SUMIF(79:79,C26,80:80)+100</f>
        <v>100</v>
      </c>
      <c r="K26" s="612">
        <v>2</v>
      </c>
      <c r="L26" s="1138"/>
      <c r="M26" s="1129"/>
      <c r="N26" s="1129"/>
      <c r="O26" s="1129"/>
      <c r="P26" s="3288" t="s">
        <v>2559</v>
      </c>
      <c r="Q26" s="1807" t="str">
        <f t="shared" si="11"/>
        <v>配套类型</v>
      </c>
      <c r="R26" s="774" t="s">
        <v>17</v>
      </c>
      <c r="S26" s="775">
        <f t="shared" ref="S26:S36" si="12">F26</f>
        <v>98</v>
      </c>
      <c r="T26" s="774" t="s">
        <v>17</v>
      </c>
      <c r="U26" s="775">
        <f t="shared" ref="U26:U36" si="13">H26</f>
        <v>98</v>
      </c>
      <c r="V26" s="774" t="s">
        <v>17</v>
      </c>
      <c r="W26" s="775">
        <f t="shared" ref="W26:W36" si="14">J26</f>
        <v>100</v>
      </c>
      <c r="X26" s="1810"/>
      <c r="Y26" s="3136" t="s">
        <v>2559</v>
      </c>
      <c r="Z26" s="1811" t="str">
        <f t="shared" ref="Z26:Z36" si="15">Q26</f>
        <v>配套类型</v>
      </c>
      <c r="AA26" s="1808">
        <f t="shared" si="3"/>
        <v>1.0204081632653061</v>
      </c>
      <c r="AB26" s="1808">
        <f t="shared" si="4"/>
        <v>1.0204081632653061</v>
      </c>
      <c r="AC26" s="1808">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36"/>
      <c r="Q27" s="776" t="str">
        <f t="shared" si="11"/>
        <v>项目停车位配比</v>
      </c>
      <c r="R27" s="777" t="s">
        <v>17</v>
      </c>
      <c r="S27" s="778">
        <f t="shared" si="12"/>
        <v>100</v>
      </c>
      <c r="T27" s="777" t="s">
        <v>17</v>
      </c>
      <c r="U27" s="778">
        <f t="shared" si="13"/>
        <v>100</v>
      </c>
      <c r="V27" s="777" t="s">
        <v>17</v>
      </c>
      <c r="W27" s="778">
        <f t="shared" si="14"/>
        <v>100</v>
      </c>
      <c r="X27" s="779"/>
      <c r="Y27" s="3136"/>
      <c r="Z27" s="780" t="str">
        <f t="shared" si="15"/>
        <v>项目停车位配比</v>
      </c>
      <c r="AA27" s="1808">
        <f t="shared" si="3"/>
        <v>1</v>
      </c>
      <c r="AB27" s="1808">
        <f t="shared" si="4"/>
        <v>1</v>
      </c>
      <c r="AC27" s="1808">
        <f t="shared" si="5"/>
        <v>1</v>
      </c>
    </row>
    <row r="28" spans="1:29" ht="15">
      <c r="A28" s="656"/>
      <c r="B28" s="654" t="s">
        <v>2708</v>
      </c>
      <c r="C28" s="460" t="s">
        <v>4590</v>
      </c>
      <c r="D28" s="435">
        <v>100</v>
      </c>
      <c r="E28" s="460" t="s">
        <v>4590</v>
      </c>
      <c r="F28" s="461">
        <f>SUMIF(83:83,E28,84:84)-SUMIF(83:83,C28,84:84)+100</f>
        <v>100</v>
      </c>
      <c r="G28" s="460" t="s">
        <v>4590</v>
      </c>
      <c r="H28" s="435">
        <f>SUMIF(83:83,G28,84:84)-SUMIF(83:83,C28,84:84)+100</f>
        <v>100</v>
      </c>
      <c r="I28" s="460" t="s">
        <v>4590</v>
      </c>
      <c r="J28" s="435">
        <f>SUMIF(83:83,I28,84:84)-SUMIF(83:83,C28,84:84)+100</f>
        <v>100</v>
      </c>
      <c r="K28" s="612">
        <v>1</v>
      </c>
      <c r="L28" s="1138"/>
      <c r="M28" s="1129"/>
      <c r="N28" s="1129"/>
      <c r="O28" s="1129"/>
      <c r="P28" s="3136"/>
      <c r="Q28" s="1807" t="str">
        <f t="shared" si="11"/>
        <v>公共部分装修</v>
      </c>
      <c r="R28" s="774" t="s">
        <v>17</v>
      </c>
      <c r="S28" s="775">
        <f t="shared" si="12"/>
        <v>100</v>
      </c>
      <c r="T28" s="774" t="s">
        <v>17</v>
      </c>
      <c r="U28" s="775">
        <f t="shared" si="13"/>
        <v>100</v>
      </c>
      <c r="V28" s="774" t="s">
        <v>17</v>
      </c>
      <c r="W28" s="775">
        <f t="shared" si="14"/>
        <v>100</v>
      </c>
      <c r="X28" s="1810"/>
      <c r="Y28" s="3136"/>
      <c r="Z28" s="1811" t="str">
        <f t="shared" si="15"/>
        <v>公共部分装修</v>
      </c>
      <c r="AA28" s="1808">
        <f t="shared" si="3"/>
        <v>1</v>
      </c>
      <c r="AB28" s="1808">
        <f t="shared" si="4"/>
        <v>1</v>
      </c>
      <c r="AC28" s="1808">
        <f t="shared" si="5"/>
        <v>1</v>
      </c>
    </row>
    <row r="29" spans="1:29" ht="15">
      <c r="A29" s="656"/>
      <c r="B29" s="654" t="s">
        <v>2709</v>
      </c>
      <c r="C29" s="2978">
        <f>ROUND(1-(2019-2018)/60,2)</f>
        <v>0.98</v>
      </c>
      <c r="D29" s="435">
        <v>100</v>
      </c>
      <c r="E29" s="2978">
        <f>ROUND(1-(2019-2018)/60,2)</f>
        <v>0.98</v>
      </c>
      <c r="F29" s="461">
        <f>LOOKUP(E29,86:86,87:87)-LOOKUP(C29,86:86,87:87)+100</f>
        <v>100</v>
      </c>
      <c r="G29" s="2978">
        <f>ROUND(1-(2019-2018)/60,2)</f>
        <v>0.98</v>
      </c>
      <c r="H29" s="461">
        <f>LOOKUP(G29,86:86,87:87)-LOOKUP(C29,86:86,87:87)+100</f>
        <v>100</v>
      </c>
      <c r="I29" s="2978">
        <f>ROUND(1-(2019-2018)/60,2)</f>
        <v>0.98</v>
      </c>
      <c r="J29" s="435">
        <f>LOOKUP(I29,86:86,87:87)-LOOKUP(C29,86:86,87:87)+100</f>
        <v>100</v>
      </c>
      <c r="K29" s="612">
        <v>1</v>
      </c>
      <c r="L29" s="1138"/>
      <c r="M29" s="1129"/>
      <c r="N29" s="1129"/>
      <c r="O29" s="1129"/>
      <c r="P29" s="3136"/>
      <c r="Q29" s="1807" t="str">
        <f t="shared" si="11"/>
        <v>成新率</v>
      </c>
      <c r="R29" s="774" t="s">
        <v>17</v>
      </c>
      <c r="S29" s="775">
        <f t="shared" si="12"/>
        <v>100</v>
      </c>
      <c r="T29" s="774" t="s">
        <v>17</v>
      </c>
      <c r="U29" s="775">
        <f t="shared" si="13"/>
        <v>100</v>
      </c>
      <c r="V29" s="774" t="s">
        <v>17</v>
      </c>
      <c r="W29" s="775">
        <f t="shared" si="14"/>
        <v>100</v>
      </c>
      <c r="X29" s="1810"/>
      <c r="Y29" s="3136"/>
      <c r="Z29" s="1811" t="str">
        <f t="shared" si="15"/>
        <v>成新率</v>
      </c>
      <c r="AA29" s="1808">
        <f t="shared" si="3"/>
        <v>1</v>
      </c>
      <c r="AB29" s="1808">
        <f t="shared" si="4"/>
        <v>1</v>
      </c>
      <c r="AC29" s="1808">
        <f t="shared" si="5"/>
        <v>1</v>
      </c>
    </row>
    <row r="30" spans="1:29" ht="15">
      <c r="A30" s="656"/>
      <c r="B30" s="654" t="s">
        <v>2710</v>
      </c>
      <c r="C30" s="657" t="s">
        <v>4592</v>
      </c>
      <c r="D30" s="435">
        <v>100</v>
      </c>
      <c r="E30" s="657" t="s">
        <v>4592</v>
      </c>
      <c r="F30" s="461">
        <f>SUMIF(88:88,E30,89:89)-SUMIF(88:88,C30,89:89)+100</f>
        <v>100</v>
      </c>
      <c r="G30" s="657" t="s">
        <v>4592</v>
      </c>
      <c r="H30" s="435">
        <f>SUMIF(88:88,E30,89:89)-SUMIF(88:88,C30,89:89)+100</f>
        <v>100</v>
      </c>
      <c r="I30" s="657" t="s">
        <v>4592</v>
      </c>
      <c r="J30" s="435">
        <f>SUMIF(88:88,E30,89:89)-SUMIF(88:88,C30,89:89)+100</f>
        <v>100</v>
      </c>
      <c r="K30" s="612">
        <v>1</v>
      </c>
      <c r="L30" s="1138"/>
      <c r="M30" s="1129"/>
      <c r="N30" s="1129"/>
      <c r="O30" s="1129"/>
      <c r="P30" s="3136"/>
      <c r="Q30" s="1807" t="str">
        <f t="shared" si="11"/>
        <v>物业等级</v>
      </c>
      <c r="R30" s="774" t="s">
        <v>17</v>
      </c>
      <c r="S30" s="775">
        <f t="shared" si="12"/>
        <v>100</v>
      </c>
      <c r="T30" s="774" t="s">
        <v>17</v>
      </c>
      <c r="U30" s="775">
        <f t="shared" si="13"/>
        <v>100</v>
      </c>
      <c r="V30" s="774" t="s">
        <v>17</v>
      </c>
      <c r="W30" s="775">
        <f t="shared" si="14"/>
        <v>100</v>
      </c>
      <c r="X30" s="1810"/>
      <c r="Y30" s="3136"/>
      <c r="Z30" s="1811" t="str">
        <f t="shared" si="15"/>
        <v>物业等级</v>
      </c>
      <c r="AA30" s="1808">
        <f t="shared" si="3"/>
        <v>1</v>
      </c>
      <c r="AB30" s="1808">
        <f t="shared" si="4"/>
        <v>1</v>
      </c>
      <c r="AC30" s="1808">
        <f t="shared" si="5"/>
        <v>1</v>
      </c>
    </row>
    <row r="31" spans="1:29" s="117" customFormat="1" ht="15">
      <c r="A31" s="658"/>
      <c r="B31" s="654" t="s">
        <v>2711</v>
      </c>
      <c r="C31" s="469">
        <v>40</v>
      </c>
      <c r="D31" s="136">
        <v>100</v>
      </c>
      <c r="E31" s="469">
        <v>31</v>
      </c>
      <c r="F31" s="461">
        <f>LOOKUP(E31,91:91,92:92)-LOOKUP(C31,91:91,92:92)+100</f>
        <v>100</v>
      </c>
      <c r="G31" s="469">
        <v>32.9</v>
      </c>
      <c r="H31" s="435">
        <f>LOOKUP(G31,91:91,92:92)-LOOKUP(C31,91:91,92:92)+100</f>
        <v>100</v>
      </c>
      <c r="I31" s="469">
        <v>34.299999999999997</v>
      </c>
      <c r="J31" s="435">
        <f>LOOKUP(I31,91:91,92:92)-LOOKUP(C31,91:91,92:92)+100</f>
        <v>100</v>
      </c>
      <c r="K31" s="612">
        <v>1</v>
      </c>
      <c r="L31" s="1130"/>
      <c r="M31" s="1131"/>
      <c r="N31" s="1131"/>
      <c r="O31" s="1131"/>
      <c r="P31" s="3136"/>
      <c r="Q31" s="1792" t="str">
        <f t="shared" si="11"/>
        <v>停车位面积</v>
      </c>
      <c r="R31" s="770" t="s">
        <v>17</v>
      </c>
      <c r="S31" s="771">
        <f t="shared" si="12"/>
        <v>100</v>
      </c>
      <c r="T31" s="770" t="s">
        <v>17</v>
      </c>
      <c r="U31" s="771">
        <f t="shared" si="13"/>
        <v>100</v>
      </c>
      <c r="V31" s="770" t="s">
        <v>17</v>
      </c>
      <c r="W31" s="771">
        <f t="shared" si="14"/>
        <v>100</v>
      </c>
      <c r="X31" s="772"/>
      <c r="Y31" s="3136"/>
      <c r="Z31" s="55" t="str">
        <f t="shared" si="15"/>
        <v>停车位面积</v>
      </c>
      <c r="AA31" s="773">
        <f t="shared" si="3"/>
        <v>1</v>
      </c>
      <c r="AB31" s="773">
        <f t="shared" si="4"/>
        <v>1</v>
      </c>
      <c r="AC31" s="773">
        <f t="shared" si="5"/>
        <v>1</v>
      </c>
    </row>
    <row r="32" spans="1:29" ht="15">
      <c r="A32" s="656"/>
      <c r="B32" s="654" t="s">
        <v>2712</v>
      </c>
      <c r="C32" s="460" t="s">
        <v>4594</v>
      </c>
      <c r="D32" s="435">
        <v>100</v>
      </c>
      <c r="E32" s="460" t="s">
        <v>4594</v>
      </c>
      <c r="F32" s="461">
        <f>SUMIF(93:93,E32,94:94)-SUMIF(93:93,C32,94:94)+100</f>
        <v>100</v>
      </c>
      <c r="G32" s="460" t="s">
        <v>4594</v>
      </c>
      <c r="H32" s="435">
        <f>SUMIF(93:93,G32,94:94)-SUMIF(93:93,C32,94:94)+100</f>
        <v>100</v>
      </c>
      <c r="I32" s="460" t="s">
        <v>4594</v>
      </c>
      <c r="J32" s="435">
        <f>SUMIF(93:93,I32,94:94)-SUMIF(93:93,C32,94:94)+100</f>
        <v>100</v>
      </c>
      <c r="K32" s="612">
        <v>1</v>
      </c>
      <c r="L32" s="1138"/>
      <c r="M32" s="1129"/>
      <c r="N32" s="1129"/>
      <c r="O32" s="1129"/>
      <c r="P32" s="3136" t="s">
        <v>2559</v>
      </c>
      <c r="Q32" s="1807" t="str">
        <f t="shared" si="11"/>
        <v>车位类型</v>
      </c>
      <c r="R32" s="774" t="s">
        <v>17</v>
      </c>
      <c r="S32" s="775">
        <f t="shared" si="12"/>
        <v>100</v>
      </c>
      <c r="T32" s="774" t="s">
        <v>17</v>
      </c>
      <c r="U32" s="775">
        <f t="shared" si="13"/>
        <v>100</v>
      </c>
      <c r="V32" s="774" t="s">
        <v>17</v>
      </c>
      <c r="W32" s="775">
        <f t="shared" si="14"/>
        <v>100</v>
      </c>
      <c r="X32" s="1810"/>
      <c r="Y32" s="3136" t="s">
        <v>2559</v>
      </c>
      <c r="Z32" s="1811" t="str">
        <f t="shared" si="15"/>
        <v>车位类型</v>
      </c>
      <c r="AA32" s="1808">
        <f t="shared" si="3"/>
        <v>1</v>
      </c>
      <c r="AB32" s="1808">
        <f t="shared" si="4"/>
        <v>1</v>
      </c>
      <c r="AC32" s="1808">
        <f t="shared" si="5"/>
        <v>1</v>
      </c>
    </row>
    <row r="33" spans="1:29" ht="15">
      <c r="A33" s="656"/>
      <c r="B33" s="654" t="s">
        <v>2713</v>
      </c>
      <c r="C33" s="460" t="s">
        <v>4596</v>
      </c>
      <c r="D33" s="435">
        <v>100</v>
      </c>
      <c r="E33" s="460" t="s">
        <v>4596</v>
      </c>
      <c r="F33" s="461">
        <f>SUMIF(95:95,E33,96:96)-SUMIF(95:95,C33,96:96)+100</f>
        <v>100</v>
      </c>
      <c r="G33" s="460" t="s">
        <v>4596</v>
      </c>
      <c r="H33" s="435">
        <f>SUMIF(95:95,G33,96:96)-SUMIF(95:95,C33,96:96)+100</f>
        <v>100</v>
      </c>
      <c r="I33" s="460" t="s">
        <v>4596</v>
      </c>
      <c r="J33" s="435">
        <f>SUMIF(95:95,I33,96:96)-SUMIF(95:95,C33,96:96)+100</f>
        <v>100</v>
      </c>
      <c r="K33" s="612">
        <v>1</v>
      </c>
      <c r="L33" s="1138"/>
      <c r="M33" s="1129"/>
      <c r="N33" s="1129"/>
      <c r="O33" s="1129"/>
      <c r="P33" s="3136"/>
      <c r="Q33" s="1807" t="str">
        <f t="shared" si="11"/>
        <v>是否直接入户</v>
      </c>
      <c r="R33" s="774" t="s">
        <v>17</v>
      </c>
      <c r="S33" s="775">
        <f t="shared" si="12"/>
        <v>100</v>
      </c>
      <c r="T33" s="774" t="s">
        <v>17</v>
      </c>
      <c r="U33" s="775">
        <f t="shared" si="13"/>
        <v>100</v>
      </c>
      <c r="V33" s="774" t="s">
        <v>17</v>
      </c>
      <c r="W33" s="775">
        <f t="shared" si="14"/>
        <v>100</v>
      </c>
      <c r="X33" s="1810"/>
      <c r="Y33" s="3136"/>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36"/>
      <c r="Q34" s="1807">
        <f t="shared" si="11"/>
        <v>111</v>
      </c>
      <c r="R34" s="774" t="s">
        <v>17</v>
      </c>
      <c r="S34" s="775">
        <f t="shared" si="12"/>
        <v>100</v>
      </c>
      <c r="T34" s="774" t="s">
        <v>17</v>
      </c>
      <c r="U34" s="775">
        <f t="shared" si="13"/>
        <v>100</v>
      </c>
      <c r="V34" s="774" t="s">
        <v>17</v>
      </c>
      <c r="W34" s="775">
        <f t="shared" si="14"/>
        <v>100</v>
      </c>
      <c r="X34" s="1810"/>
      <c r="Y34" s="3136"/>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36"/>
      <c r="Q35" s="776">
        <f t="shared" si="11"/>
        <v>111</v>
      </c>
      <c r="R35" s="777" t="s">
        <v>17</v>
      </c>
      <c r="S35" s="778">
        <f t="shared" si="12"/>
        <v>100</v>
      </c>
      <c r="T35" s="777" t="s">
        <v>17</v>
      </c>
      <c r="U35" s="778">
        <f t="shared" si="13"/>
        <v>100</v>
      </c>
      <c r="V35" s="777" t="s">
        <v>17</v>
      </c>
      <c r="W35" s="778">
        <f t="shared" si="14"/>
        <v>100</v>
      </c>
      <c r="X35" s="779"/>
      <c r="Y35" s="3136"/>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36"/>
      <c r="Q36" s="1807">
        <f t="shared" si="11"/>
        <v>111</v>
      </c>
      <c r="R36" s="774" t="s">
        <v>17</v>
      </c>
      <c r="S36" s="775">
        <f t="shared" si="12"/>
        <v>100</v>
      </c>
      <c r="T36" s="774" t="s">
        <v>17</v>
      </c>
      <c r="U36" s="775">
        <f t="shared" si="13"/>
        <v>100</v>
      </c>
      <c r="V36" s="774" t="s">
        <v>17</v>
      </c>
      <c r="W36" s="775">
        <f t="shared" si="14"/>
        <v>100</v>
      </c>
      <c r="X36" s="1810"/>
      <c r="Y36" s="3136"/>
      <c r="Z36" s="1811">
        <f t="shared" si="15"/>
        <v>111</v>
      </c>
      <c r="AA36" s="1808">
        <f t="shared" si="3"/>
        <v>1</v>
      </c>
      <c r="AB36" s="1808">
        <f t="shared" si="4"/>
        <v>1</v>
      </c>
      <c r="AC36" s="1808">
        <f t="shared" si="5"/>
        <v>1</v>
      </c>
    </row>
    <row r="37" spans="1:29" ht="15">
      <c r="A37" s="479" t="s">
        <v>2714</v>
      </c>
      <c r="B37" s="2693" t="s">
        <v>4615</v>
      </c>
      <c r="C37" s="1405" t="s">
        <v>1</v>
      </c>
      <c r="D37" s="1406"/>
      <c r="E37" s="2979">
        <v>4847</v>
      </c>
      <c r="F37" s="2980"/>
      <c r="G37" s="2981">
        <v>5092</v>
      </c>
      <c r="H37" s="2982"/>
      <c r="I37" s="2979">
        <v>4371</v>
      </c>
      <c r="J37" s="1410"/>
      <c r="K37" s="619"/>
      <c r="L37" s="1141"/>
      <c r="M37" s="1142"/>
      <c r="N37" s="1129"/>
      <c r="O37" s="1142"/>
      <c r="P37" s="3129" t="str">
        <f>A37</f>
        <v>成交单价</v>
      </c>
      <c r="Q37" s="3129"/>
      <c r="R37" s="3130">
        <f>E37</f>
        <v>4847</v>
      </c>
      <c r="S37" s="3130"/>
      <c r="T37" s="3130">
        <f>G37</f>
        <v>5092</v>
      </c>
      <c r="U37" s="3130"/>
      <c r="V37" s="3130">
        <f>I37</f>
        <v>4371</v>
      </c>
      <c r="W37" s="3130"/>
      <c r="X37" s="759"/>
      <c r="Y37" s="781"/>
      <c r="Z37" s="759"/>
      <c r="AA37" s="759"/>
      <c r="AB37" s="759"/>
      <c r="AC37" s="759"/>
    </row>
    <row r="38" spans="1:29" ht="15.75" thickBot="1">
      <c r="A38" s="486" t="s">
        <v>2715</v>
      </c>
      <c r="B38" s="487" t="str">
        <f>B37</f>
        <v>元/平方米</v>
      </c>
      <c r="C38" s="1411">
        <f>R39</f>
        <v>4852</v>
      </c>
      <c r="D38" s="1412"/>
      <c r="E38" s="1413">
        <f>R38</f>
        <v>4946</v>
      </c>
      <c r="F38" s="1413"/>
      <c r="G38" s="1411">
        <f>T38</f>
        <v>5196</v>
      </c>
      <c r="H38" s="1412"/>
      <c r="I38" s="1413">
        <f>V38</f>
        <v>4415</v>
      </c>
      <c r="J38" s="1412"/>
      <c r="K38" s="620"/>
      <c r="L38" s="1141"/>
      <c r="M38" s="1142"/>
      <c r="N38" s="1142"/>
      <c r="O38" s="1142"/>
      <c r="P38" s="3129" t="str">
        <f>A38</f>
        <v>比较价值（元/平方米）</v>
      </c>
      <c r="Q38" s="3129"/>
      <c r="R38" s="3130">
        <f>IF(F1="售价",ROUND(PRODUCT(R37,AA7:AA36),0),ROUND(PRODUCT(R37,AA7:AA36),1))</f>
        <v>4946</v>
      </c>
      <c r="S38" s="3130"/>
      <c r="T38" s="3130">
        <f>IF(F1="售价",ROUND(PRODUCT(T37,AB7:AB36),0),ROUND(PRODUCT(T37,AB7:AB36),1))</f>
        <v>5196</v>
      </c>
      <c r="U38" s="3130"/>
      <c r="V38" s="3130">
        <f>IF(F1="售价",ROUND(PRODUCT(V37,AC7:AC36),0),ROUND(PRODUCT(V37,AC7:AC36),1))</f>
        <v>4415</v>
      </c>
      <c r="W38" s="3130"/>
      <c r="X38" s="759"/>
      <c r="Y38" s="759"/>
      <c r="Z38" s="759"/>
      <c r="AA38" s="759"/>
      <c r="AB38" s="759"/>
      <c r="AC38" s="759"/>
    </row>
    <row r="39" spans="1:29" ht="15.75" thickBot="1">
      <c r="A39" s="492" t="s">
        <v>2716</v>
      </c>
      <c r="B39" s="493"/>
      <c r="C39" s="1415">
        <f>R39</f>
        <v>4852</v>
      </c>
      <c r="D39" s="1415"/>
      <c r="E39" s="1415"/>
      <c r="F39" s="1415"/>
      <c r="G39" s="1415"/>
      <c r="H39" s="1415"/>
      <c r="I39" s="1415"/>
      <c r="J39" s="1415"/>
      <c r="K39" s="621"/>
      <c r="L39" s="1141"/>
      <c r="M39" s="1142"/>
      <c r="N39" s="1142"/>
      <c r="O39" s="1142"/>
      <c r="P39" s="3126" t="str">
        <f>A39</f>
        <v>估价对象XX用房的比较价值（楼面单价，元/平方米）</v>
      </c>
      <c r="Q39" s="3127"/>
      <c r="R39" s="3128">
        <f>IF(F1="售价",ROUND(AVERAGE(R38:V38),0),ROUND(AVERAGE(R38:V38),1))</f>
        <v>4852</v>
      </c>
      <c r="S39" s="3128"/>
      <c r="T39" s="3128"/>
      <c r="U39" s="3128"/>
      <c r="V39" s="3128"/>
      <c r="W39" s="3128"/>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2717</v>
      </c>
      <c r="D42" s="498"/>
      <c r="E42" s="499">
        <f>IF(E37&lt;E38,E38/E37-1,E37/E38-1)</f>
        <v>2.0425005157829634E-2</v>
      </c>
      <c r="F42" s="500" t="str">
        <f>IF(OR(E42&gt;=0.3,E42&lt;=-0.3),"超过30%","")</f>
        <v/>
      </c>
      <c r="G42" s="499">
        <f>IF(G37&lt;G38,G38/G37-1,G37/G38-1)</f>
        <v>2.0424194815396701E-2</v>
      </c>
      <c r="H42" s="500" t="str">
        <f>IF(OR(G42&gt;=0.3,G42&lt;=-0.3),"超过30%","")</f>
        <v/>
      </c>
      <c r="I42" s="499">
        <f>IF(I37&lt;I38,I38/I37-1,I37/I38-1)</f>
        <v>1.0066346373827528E-2</v>
      </c>
      <c r="J42" s="500"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2718</v>
      </c>
      <c r="D43" s="501"/>
      <c r="E43" s="499">
        <f>IF(E38&lt;G38,G38/E38-1,E38/G38-1)</f>
        <v>5.054589567327139E-2</v>
      </c>
      <c r="F43" s="500" t="str">
        <f>IF(OR(E43&gt;=0.2,E43&lt;=-0.2),"超过20%","")</f>
        <v/>
      </c>
      <c r="G43" s="499">
        <f>IF(G38&lt;I38,I38/G38-1,G38/I38-1)</f>
        <v>0.17689694224235564</v>
      </c>
      <c r="H43" s="500" t="str">
        <f>IF(OR(G43&gt;=0.2,G43&lt;=-0.2),"超过20%","")</f>
        <v/>
      </c>
      <c r="I43" s="499">
        <f>IF(I38&lt;E38,E38/I38-1,I38/E38-1)</f>
        <v>0.12027180067950161</v>
      </c>
      <c r="J43" s="500"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2719</v>
      </c>
      <c r="D44" s="501"/>
      <c r="E44" s="499">
        <f>IF(E37&lt;G37,G37/E37-1,E37/G37-1)</f>
        <v>5.0546729936042922E-2</v>
      </c>
      <c r="F44" s="500" t="str">
        <f>IF(OR(E44&gt;=0.3,E44&lt;=-0.3),"超过30%","")</f>
        <v/>
      </c>
      <c r="G44" s="499">
        <f>IF(G37&lt;I37,I37/G37-1,G37/I37-1)</f>
        <v>0.16495081217112784</v>
      </c>
      <c r="H44" s="500" t="str">
        <f>IF(OR(G44&gt;=0.3,G44&lt;=-0.3),"超过30%","")</f>
        <v/>
      </c>
      <c r="I44" s="499">
        <f>IF(I37&lt;E37,E37/I37-1,I37/E37-1)</f>
        <v>0.10889956531686118</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2721</v>
      </c>
      <c r="B48" s="506"/>
      <c r="C48" s="1572" t="str">
        <f>YEAR(C7)&amp;"-"&amp;MONTH(C7)</f>
        <v>2019-1</v>
      </c>
      <c r="D48" s="1573">
        <f>EDATE(C48,-1)</f>
        <v>43435</v>
      </c>
      <c r="E48" s="1573">
        <f t="shared" ref="E48:O48" si="16">EDATE(D48,-1)</f>
        <v>43405</v>
      </c>
      <c r="F48" s="1573">
        <f t="shared" si="16"/>
        <v>43374</v>
      </c>
      <c r="G48" s="1573">
        <f t="shared" si="16"/>
        <v>43344</v>
      </c>
      <c r="H48" s="1573">
        <f t="shared" si="16"/>
        <v>43313</v>
      </c>
      <c r="I48" s="1573">
        <f t="shared" si="16"/>
        <v>43282</v>
      </c>
      <c r="J48" s="1573">
        <f t="shared" si="16"/>
        <v>43252</v>
      </c>
      <c r="K48" s="1573">
        <f t="shared" si="16"/>
        <v>43221</v>
      </c>
      <c r="L48" s="1573">
        <f t="shared" si="16"/>
        <v>43191</v>
      </c>
      <c r="M48" s="1573">
        <f t="shared" si="16"/>
        <v>43160</v>
      </c>
      <c r="N48" s="1573">
        <f t="shared" si="16"/>
        <v>43132</v>
      </c>
      <c r="O48" s="1573">
        <f t="shared" si="16"/>
        <v>43101</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v>100</v>
      </c>
      <c r="E49" s="512">
        <v>100</v>
      </c>
      <c r="F49" s="512">
        <v>100</v>
      </c>
      <c r="G49" s="512">
        <v>99</v>
      </c>
      <c r="H49" s="512">
        <v>99</v>
      </c>
      <c r="I49" s="512">
        <v>99</v>
      </c>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2579</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2544</v>
      </c>
      <c r="B51" s="510"/>
      <c r="C51" s="522" t="s">
        <v>2646</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2582</v>
      </c>
      <c r="B53" s="528" t="s">
        <v>2548</v>
      </c>
      <c r="C53" s="529" t="str">
        <f>C9</f>
        <v>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98</v>
      </c>
      <c r="E64" s="544">
        <f>D64-$K14</f>
        <v>96</v>
      </c>
      <c r="F64" s="544">
        <f>E64-$K14</f>
        <v>94</v>
      </c>
      <c r="G64" s="544">
        <f>F64-$K14</f>
        <v>92</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2597</v>
      </c>
      <c r="C65" s="578" t="s">
        <v>2591</v>
      </c>
      <c r="D65" s="578" t="s">
        <v>2592</v>
      </c>
      <c r="E65" s="578" t="s">
        <v>2593</v>
      </c>
      <c r="F65" s="578" t="s">
        <v>2594</v>
      </c>
      <c r="G65" s="578" t="s">
        <v>2595</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99</v>
      </c>
      <c r="E66" s="544">
        <f>D66-$K16</f>
        <v>98</v>
      </c>
      <c r="F66" s="544">
        <f>E66-$K16</f>
        <v>97</v>
      </c>
      <c r="G66" s="544">
        <f>F66-$K16</f>
        <v>96</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2683</v>
      </c>
      <c r="C67" s="660" t="s">
        <v>2669</v>
      </c>
      <c r="D67" s="660" t="s">
        <v>2670</v>
      </c>
      <c r="E67" s="660" t="s">
        <v>2671</v>
      </c>
      <c r="F67" s="660" t="s">
        <v>2672</v>
      </c>
      <c r="G67" s="660" t="s">
        <v>2673</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99</v>
      </c>
      <c r="E68" s="544">
        <f>D68-$K18</f>
        <v>98</v>
      </c>
      <c r="F68" s="544">
        <f>E68-$K18</f>
        <v>97</v>
      </c>
      <c r="G68" s="544">
        <f>F68-$K18</f>
        <v>96</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2603</v>
      </c>
      <c r="C69" s="578" t="s">
        <v>2591</v>
      </c>
      <c r="D69" s="578" t="s">
        <v>2592</v>
      </c>
      <c r="E69" s="578" t="s">
        <v>2593</v>
      </c>
      <c r="F69" s="578" t="s">
        <v>2594</v>
      </c>
      <c r="G69" s="578" t="s">
        <v>2595</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99</v>
      </c>
      <c r="E70" s="544">
        <f>D70-$K20</f>
        <v>98</v>
      </c>
      <c r="F70" s="544">
        <f>E70-$K20</f>
        <v>97</v>
      </c>
      <c r="G70" s="544">
        <f>F70-$K20</f>
        <v>96</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2557</v>
      </c>
      <c r="B79" s="528" t="s">
        <v>2723</v>
      </c>
      <c r="C79" s="529" t="str">
        <f>C26</f>
        <v>商业</v>
      </c>
      <c r="D79" s="2977" t="s">
        <v>4601</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2610</v>
      </c>
      <c r="C83" s="2976" t="s">
        <v>4591</v>
      </c>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2726</v>
      </c>
      <c r="C88" s="2977" t="s">
        <v>4593</v>
      </c>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2727</v>
      </c>
      <c r="C90" s="578" t="str">
        <f>C91&amp;"(含)"&amp;"-"&amp;D91</f>
        <v>20(含)-50</v>
      </c>
      <c r="D90" s="578" t="str">
        <f t="shared" ref="D90:L90" si="21">D91&amp;"(含)"&amp;"-"&amp;E91</f>
        <v>50(含)-70</v>
      </c>
      <c r="E90" s="578" t="str">
        <f t="shared" si="21"/>
        <v>70(含)-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20</v>
      </c>
      <c r="D91" s="595">
        <v>50</v>
      </c>
      <c r="E91" s="595">
        <v>70</v>
      </c>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100</v>
      </c>
      <c r="D92" s="536">
        <v>99</v>
      </c>
      <c r="E92" s="536">
        <v>98</v>
      </c>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2728</v>
      </c>
      <c r="C93" s="2976" t="s">
        <v>4595</v>
      </c>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2729</v>
      </c>
      <c r="C95" s="2977" t="s">
        <v>4597</v>
      </c>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99</v>
      </c>
      <c r="E96" s="544">
        <f>D96-$K33</f>
        <v>98</v>
      </c>
      <c r="F96" s="544">
        <f>E96-$K33</f>
        <v>97</v>
      </c>
      <c r="G96" s="544">
        <f>F96-$K33</f>
        <v>96</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2524</v>
      </c>
      <c r="D1" s="1619"/>
      <c r="E1" s="1628"/>
      <c r="F1" s="2582"/>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IF(C2="——",ROUND(C37*D3/10000,0),ROUND(C37*D3/10000,0)-D2)</f>
        <v>#DIV/0!</v>
      </c>
      <c r="C2" s="2584"/>
      <c r="D2" s="1122" t="e">
        <f ca="1">SUMIF(INDIRECT("'"&amp;F2&amp;"'"&amp;"!A:A"),"承租人权益价值",INDIRECT("'"&amp;F2&amp;"'"&amp;"!c:c"))</f>
        <v>#REF!</v>
      </c>
      <c r="E2" s="2585" t="s">
        <v>2322</v>
      </c>
      <c r="F2" s="2586"/>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54" t="s">
        <v>2641</v>
      </c>
      <c r="S4" s="3155"/>
      <c r="T4" s="3154" t="s">
        <v>2642</v>
      </c>
      <c r="U4" s="3155"/>
      <c r="V4" s="3160" t="s">
        <v>2643</v>
      </c>
      <c r="W4" s="3160"/>
      <c r="X4" s="1810"/>
      <c r="Y4" s="3154" t="s">
        <v>2645</v>
      </c>
      <c r="Z4" s="3155"/>
      <c r="AA4" s="3141" t="s">
        <v>2641</v>
      </c>
      <c r="AB4" s="3142" t="s">
        <v>2642</v>
      </c>
      <c r="AC4" s="3141" t="s">
        <v>2643</v>
      </c>
    </row>
    <row r="5" spans="1:29" ht="15">
      <c r="A5" s="404"/>
      <c r="B5" s="405"/>
      <c r="C5" s="3163" t="s">
        <v>2536</v>
      </c>
      <c r="D5" s="3164"/>
      <c r="E5" s="3170" t="s">
        <v>2537</v>
      </c>
      <c r="F5" s="3171"/>
      <c r="G5" s="3163" t="s">
        <v>2538</v>
      </c>
      <c r="H5" s="3164"/>
      <c r="I5" s="3163" t="s">
        <v>2539</v>
      </c>
      <c r="J5" s="3164"/>
      <c r="K5" s="610"/>
      <c r="L5" s="1128"/>
      <c r="M5" s="1129"/>
      <c r="N5" s="1129"/>
      <c r="O5" s="1129"/>
      <c r="P5" s="3150"/>
      <c r="Q5" s="3151"/>
      <c r="R5" s="3156"/>
      <c r="S5" s="3157"/>
      <c r="T5" s="3156"/>
      <c r="U5" s="3157"/>
      <c r="V5" s="3160"/>
      <c r="W5" s="3160"/>
      <c r="X5" s="1810"/>
      <c r="Y5" s="3156"/>
      <c r="Z5" s="3157"/>
      <c r="AA5" s="3142"/>
      <c r="AB5" s="3142"/>
      <c r="AC5" s="3142"/>
    </row>
    <row r="6" spans="1:29" ht="15.75" thickBot="1">
      <c r="A6" s="406"/>
      <c r="B6" s="407"/>
      <c r="C6" s="3161" t="s">
        <v>2540</v>
      </c>
      <c r="D6" s="3162"/>
      <c r="E6" s="3168" t="s">
        <v>2540</v>
      </c>
      <c r="F6" s="3169"/>
      <c r="G6" s="3161" t="s">
        <v>2540</v>
      </c>
      <c r="H6" s="3162"/>
      <c r="I6" s="3161" t="s">
        <v>2540</v>
      </c>
      <c r="J6" s="3162"/>
      <c r="K6" s="610" t="s">
        <v>2541</v>
      </c>
      <c r="L6" s="1128"/>
      <c r="M6" s="1129"/>
      <c r="N6" s="1129"/>
      <c r="O6" s="1129"/>
      <c r="P6" s="3152"/>
      <c r="Q6" s="3153"/>
      <c r="R6" s="3156"/>
      <c r="S6" s="3157"/>
      <c r="T6" s="3158"/>
      <c r="U6" s="3159"/>
      <c r="V6" s="3160"/>
      <c r="W6" s="3160"/>
      <c r="X6" s="1810"/>
      <c r="Y6" s="3158"/>
      <c r="Z6" s="3159"/>
      <c r="AA6" s="3143"/>
      <c r="AB6" s="3143"/>
      <c r="AC6" s="3143"/>
    </row>
    <row r="7" spans="1:29" s="117" customFormat="1" ht="15.75" thickBot="1">
      <c r="A7" s="408" t="s">
        <v>2542</v>
      </c>
      <c r="B7" s="409"/>
      <c r="C7" s="410">
        <f>'数据-取费表'!B2</f>
        <v>43494</v>
      </c>
      <c r="D7" s="411">
        <v>100</v>
      </c>
      <c r="E7" s="412"/>
      <c r="F7" s="413">
        <f>SUMIF(46:46,YEAR(E7)&amp;"-"&amp;MONTH(E7),47:47)</f>
        <v>0</v>
      </c>
      <c r="G7" s="2694"/>
      <c r="H7" s="411">
        <f>SUMIF(46:46,YEAR(G7)&amp;"-"&amp;MONTH(G7),47:47)</f>
        <v>0</v>
      </c>
      <c r="I7" s="412"/>
      <c r="J7" s="411">
        <f>SUMIF(46:46,YEAR(I7)&amp;"-"&amp;MONTH(I7),47:47)</f>
        <v>0</v>
      </c>
      <c r="K7" s="611"/>
      <c r="L7" s="1130"/>
      <c r="M7" s="1131"/>
      <c r="N7" s="1131"/>
      <c r="O7" s="1131"/>
      <c r="P7" s="3165" t="s">
        <v>2543</v>
      </c>
      <c r="Q7" s="3167"/>
      <c r="R7" s="770" t="s">
        <v>17</v>
      </c>
      <c r="S7" s="771">
        <f t="shared" ref="S7:S14" si="0">F7</f>
        <v>0</v>
      </c>
      <c r="T7" s="770" t="s">
        <v>17</v>
      </c>
      <c r="U7" s="771">
        <f t="shared" ref="U7:U14" si="1">H7</f>
        <v>0</v>
      </c>
      <c r="V7" s="770" t="s">
        <v>17</v>
      </c>
      <c r="W7" s="771">
        <f t="shared" ref="W7:W14" si="2">J7</f>
        <v>0</v>
      </c>
      <c r="X7" s="772"/>
      <c r="Y7" s="3165" t="s">
        <v>2543</v>
      </c>
      <c r="Z7" s="3166"/>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65" t="s">
        <v>2546</v>
      </c>
      <c r="Q8" s="3166"/>
      <c r="R8" s="770" t="s">
        <v>17</v>
      </c>
      <c r="S8" s="771">
        <f t="shared" si="0"/>
        <v>0</v>
      </c>
      <c r="T8" s="770" t="s">
        <v>17</v>
      </c>
      <c r="U8" s="771">
        <f t="shared" si="1"/>
        <v>0</v>
      </c>
      <c r="V8" s="770" t="s">
        <v>17</v>
      </c>
      <c r="W8" s="771">
        <f t="shared" si="2"/>
        <v>0</v>
      </c>
      <c r="X8" s="772"/>
      <c r="Y8" s="3165" t="s">
        <v>2546</v>
      </c>
      <c r="Z8" s="3166"/>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29" t="s">
        <v>2549</v>
      </c>
      <c r="Q9" s="1792" t="str">
        <f t="shared" ref="Q9:Q14" si="6">B9</f>
        <v>用途</v>
      </c>
      <c r="R9" s="770" t="s">
        <v>17</v>
      </c>
      <c r="S9" s="771">
        <f t="shared" si="0"/>
        <v>100</v>
      </c>
      <c r="T9" s="770" t="s">
        <v>17</v>
      </c>
      <c r="U9" s="771">
        <f t="shared" si="1"/>
        <v>100</v>
      </c>
      <c r="V9" s="770" t="s">
        <v>17</v>
      </c>
      <c r="W9" s="771">
        <f t="shared" si="2"/>
        <v>100</v>
      </c>
      <c r="X9" s="772"/>
      <c r="Y9" s="3047"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29"/>
      <c r="Q10" s="1792"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29"/>
      <c r="Q11" s="1792">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29"/>
      <c r="Q12" s="1792">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8"/>
      <c r="M13" s="1129"/>
      <c r="N13" s="1129"/>
      <c r="O13" s="1137"/>
      <c r="P13" s="3129"/>
      <c r="Q13" s="1792">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85.5">
      <c r="A14" s="440" t="s">
        <v>2553</v>
      </c>
      <c r="B14" s="69" t="s">
        <v>2703</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31" t="s">
        <v>2554</v>
      </c>
      <c r="Q14" s="1807" t="str">
        <f t="shared" si="6"/>
        <v>交通便捷度</v>
      </c>
      <c r="R14" s="774" t="s">
        <v>17</v>
      </c>
      <c r="S14" s="775">
        <f t="shared" si="0"/>
        <v>100</v>
      </c>
      <c r="T14" s="774" t="s">
        <v>17</v>
      </c>
      <c r="U14" s="775">
        <f t="shared" si="1"/>
        <v>100</v>
      </c>
      <c r="V14" s="774" t="s">
        <v>17</v>
      </c>
      <c r="W14" s="775">
        <f t="shared" si="2"/>
        <v>100</v>
      </c>
      <c r="X14" s="1810"/>
      <c r="Y14" s="3131" t="s">
        <v>2554</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32"/>
      <c r="Q15" s="1807"/>
      <c r="R15" s="774"/>
      <c r="S15" s="775"/>
      <c r="T15" s="774"/>
      <c r="U15" s="775"/>
      <c r="V15" s="774"/>
      <c r="W15" s="775"/>
      <c r="X15" s="1810"/>
      <c r="Y15" s="3132"/>
      <c r="Z15" s="1811"/>
      <c r="AA15" s="1808">
        <v>1</v>
      </c>
      <c r="AB15" s="1808">
        <v>1</v>
      </c>
      <c r="AC15" s="1808">
        <v>1</v>
      </c>
    </row>
    <row r="16" spans="1:29" ht="42.75">
      <c r="A16" s="428"/>
      <c r="B16" s="451" t="s">
        <v>2682</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32"/>
      <c r="Q16" s="1807" t="str">
        <f>B16</f>
        <v>公共配套设施</v>
      </c>
      <c r="R16" s="774" t="s">
        <v>17</v>
      </c>
      <c r="S16" s="775">
        <f>F16</f>
        <v>100</v>
      </c>
      <c r="T16" s="774" t="s">
        <v>17</v>
      </c>
      <c r="U16" s="775">
        <f>H16</f>
        <v>100</v>
      </c>
      <c r="V16" s="774" t="s">
        <v>17</v>
      </c>
      <c r="W16" s="775">
        <f>J16</f>
        <v>100</v>
      </c>
      <c r="X16" s="1810"/>
      <c r="Y16" s="3132"/>
      <c r="Z16" s="1811" t="str">
        <f>Q16</f>
        <v>公共配套设施</v>
      </c>
      <c r="AA16" s="1808">
        <f t="shared" si="3"/>
        <v>1</v>
      </c>
      <c r="AB16" s="1808">
        <f t="shared" si="4"/>
        <v>1</v>
      </c>
      <c r="AC16" s="1808">
        <f t="shared" si="5"/>
        <v>1</v>
      </c>
    </row>
    <row r="17" spans="1:29" ht="15">
      <c r="A17" s="428"/>
      <c r="B17" s="456"/>
      <c r="C17" s="2606"/>
      <c r="D17" s="448"/>
      <c r="E17" s="447"/>
      <c r="F17" s="449"/>
      <c r="G17" s="447"/>
      <c r="H17" s="448"/>
      <c r="I17" s="447"/>
      <c r="J17" s="448"/>
      <c r="K17" s="615"/>
      <c r="L17" s="1138"/>
      <c r="M17" s="1129"/>
      <c r="N17" s="1129"/>
      <c r="O17" s="1137"/>
      <c r="P17" s="3132"/>
      <c r="Q17" s="1807"/>
      <c r="R17" s="774"/>
      <c r="S17" s="775"/>
      <c r="T17" s="774"/>
      <c r="U17" s="775"/>
      <c r="V17" s="774"/>
      <c r="W17" s="775"/>
      <c r="X17" s="1810"/>
      <c r="Y17" s="3132"/>
      <c r="Z17" s="1811"/>
      <c r="AA17" s="1808">
        <v>1</v>
      </c>
      <c r="AB17" s="1808">
        <v>1</v>
      </c>
      <c r="AC17" s="1808">
        <v>1</v>
      </c>
    </row>
    <row r="18" spans="1:29" ht="42.75">
      <c r="A18" s="428"/>
      <c r="B18" s="1382" t="s">
        <v>2683</v>
      </c>
      <c r="C18" s="2605"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32"/>
      <c r="Q18" s="1807" t="str">
        <f>B18</f>
        <v>基础设施水平</v>
      </c>
      <c r="R18" s="774" t="s">
        <v>17</v>
      </c>
      <c r="S18" s="775">
        <f>F18</f>
        <v>100</v>
      </c>
      <c r="T18" s="774" t="s">
        <v>17</v>
      </c>
      <c r="U18" s="775">
        <f>H18</f>
        <v>100</v>
      </c>
      <c r="V18" s="774" t="s">
        <v>17</v>
      </c>
      <c r="W18" s="775">
        <f>J18</f>
        <v>100</v>
      </c>
      <c r="X18" s="1810"/>
      <c r="Y18" s="3132"/>
      <c r="Z18" s="1811" t="str">
        <f>Q18</f>
        <v>基础设施水平</v>
      </c>
      <c r="AA18" s="1808">
        <f t="shared" ref="AA18" si="8">D18/F18</f>
        <v>1</v>
      </c>
      <c r="AB18" s="1808">
        <f t="shared" ref="AB18" si="9">D18/H18</f>
        <v>1</v>
      </c>
      <c r="AC18" s="1808">
        <f t="shared" ref="AC18" si="10">D18/J18</f>
        <v>1</v>
      </c>
    </row>
    <row r="19" spans="1:29" ht="15">
      <c r="A19" s="428"/>
      <c r="B19" s="1382"/>
      <c r="C19" s="2606"/>
      <c r="D19" s="450"/>
      <c r="E19" s="2606"/>
      <c r="F19" s="453"/>
      <c r="G19" s="2606"/>
      <c r="H19" s="448"/>
      <c r="I19" s="447"/>
      <c r="J19" s="448"/>
      <c r="K19" s="1381"/>
      <c r="L19" s="1138"/>
      <c r="M19" s="1129"/>
      <c r="N19" s="1129"/>
      <c r="O19" s="1137"/>
      <c r="P19" s="3132"/>
      <c r="Q19" s="1807"/>
      <c r="R19" s="774"/>
      <c r="S19" s="775"/>
      <c r="T19" s="774"/>
      <c r="U19" s="775"/>
      <c r="V19" s="774"/>
      <c r="W19" s="775"/>
      <c r="X19" s="1810"/>
      <c r="Y19" s="3132"/>
      <c r="Z19" s="1811"/>
      <c r="AA19" s="1808">
        <v>1</v>
      </c>
      <c r="AB19" s="1808">
        <v>1</v>
      </c>
      <c r="AC19" s="1808">
        <v>1</v>
      </c>
    </row>
    <row r="20" spans="1:29" ht="57">
      <c r="A20" s="428"/>
      <c r="B20" s="451" t="s">
        <v>2704</v>
      </c>
      <c r="C20" s="2605"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32"/>
      <c r="Q20" s="1807" t="str">
        <f>B20</f>
        <v>自然及人文环境</v>
      </c>
      <c r="R20" s="774" t="s">
        <v>17</v>
      </c>
      <c r="S20" s="775">
        <f>F20</f>
        <v>100</v>
      </c>
      <c r="T20" s="774" t="s">
        <v>17</v>
      </c>
      <c r="U20" s="775">
        <f>H20</f>
        <v>100</v>
      </c>
      <c r="V20" s="774" t="s">
        <v>17</v>
      </c>
      <c r="W20" s="775">
        <f>J20</f>
        <v>100</v>
      </c>
      <c r="X20" s="1810"/>
      <c r="Y20" s="3132"/>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32"/>
      <c r="Q21" s="1807"/>
      <c r="R21" s="774"/>
      <c r="S21" s="775"/>
      <c r="T21" s="774"/>
      <c r="U21" s="775"/>
      <c r="V21" s="774"/>
      <c r="W21" s="775"/>
      <c r="X21" s="1810"/>
      <c r="Y21" s="3132"/>
      <c r="Z21" s="1811"/>
      <c r="AA21" s="1808">
        <v>1</v>
      </c>
      <c r="AB21" s="1808">
        <v>1</v>
      </c>
      <c r="AC21" s="1808">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32"/>
      <c r="Q22" s="1807" t="str">
        <f>B22</f>
        <v>楼层</v>
      </c>
      <c r="R22" s="774" t="s">
        <v>17</v>
      </c>
      <c r="S22" s="775">
        <f>F22</f>
        <v>100</v>
      </c>
      <c r="T22" s="774" t="s">
        <v>17</v>
      </c>
      <c r="U22" s="775">
        <f>H22</f>
        <v>100</v>
      </c>
      <c r="V22" s="774" t="s">
        <v>17</v>
      </c>
      <c r="W22" s="775">
        <f>J22</f>
        <v>100</v>
      </c>
      <c r="X22" s="1810"/>
      <c r="Y22" s="3132"/>
      <c r="Z22" s="1811" t="str">
        <f>Q22</f>
        <v>楼层</v>
      </c>
      <c r="AA22" s="1808">
        <f t="shared" si="3"/>
        <v>1</v>
      </c>
      <c r="AB22" s="1808">
        <f t="shared" si="4"/>
        <v>1</v>
      </c>
      <c r="AC22" s="1808">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32"/>
      <c r="Q23" s="1807">
        <f>B23</f>
        <v>111</v>
      </c>
      <c r="R23" s="774" t="s">
        <v>17</v>
      </c>
      <c r="S23" s="775">
        <f>F23</f>
        <v>100</v>
      </c>
      <c r="T23" s="774" t="s">
        <v>17</v>
      </c>
      <c r="U23" s="775">
        <f>H23</f>
        <v>100</v>
      </c>
      <c r="V23" s="774" t="s">
        <v>17</v>
      </c>
      <c r="W23" s="775">
        <f>J23</f>
        <v>100</v>
      </c>
      <c r="X23" s="1810"/>
      <c r="Y23" s="3132"/>
      <c r="Z23" s="1811">
        <f>Q23</f>
        <v>111</v>
      </c>
      <c r="AA23" s="1808">
        <f t="shared" si="3"/>
        <v>1</v>
      </c>
      <c r="AB23" s="1808">
        <f t="shared" si="4"/>
        <v>1</v>
      </c>
      <c r="AC23" s="1808">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32"/>
      <c r="Q24" s="1807">
        <f t="shared" ref="Q24:Q34" si="11">B24</f>
        <v>111</v>
      </c>
      <c r="R24" s="774" t="s">
        <v>17</v>
      </c>
      <c r="S24" s="775">
        <f>F24</f>
        <v>100</v>
      </c>
      <c r="T24" s="774" t="s">
        <v>17</v>
      </c>
      <c r="U24" s="775">
        <f>H24</f>
        <v>100</v>
      </c>
      <c r="V24" s="774" t="s">
        <v>17</v>
      </c>
      <c r="W24" s="775">
        <f>J24</f>
        <v>100</v>
      </c>
      <c r="X24" s="1810"/>
      <c r="Y24" s="3132"/>
      <c r="Z24" s="1811">
        <f>Q24</f>
        <v>111</v>
      </c>
      <c r="AA24" s="1808">
        <f t="shared" si="3"/>
        <v>1</v>
      </c>
      <c r="AB24" s="1808">
        <f t="shared" si="4"/>
        <v>1</v>
      </c>
      <c r="AC24" s="1808">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0"/>
      <c r="M25" s="1131"/>
      <c r="N25" s="1131"/>
      <c r="O25" s="1132"/>
      <c r="P25" s="3132"/>
      <c r="Q25" s="1792">
        <f t="shared" si="11"/>
        <v>111</v>
      </c>
      <c r="R25" s="770" t="s">
        <v>17</v>
      </c>
      <c r="S25" s="771">
        <f>F25</f>
        <v>100</v>
      </c>
      <c r="T25" s="770" t="s">
        <v>17</v>
      </c>
      <c r="U25" s="771">
        <f>H25</f>
        <v>100</v>
      </c>
      <c r="V25" s="770" t="s">
        <v>17</v>
      </c>
      <c r="W25" s="771">
        <f>J25</f>
        <v>100</v>
      </c>
      <c r="X25" s="772"/>
      <c r="Y25" s="3132"/>
      <c r="Z25" s="55">
        <f>Q25</f>
        <v>111</v>
      </c>
      <c r="AA25" s="1808">
        <f>D25/F25</f>
        <v>1</v>
      </c>
      <c r="AB25" s="1808">
        <f>D25/H25</f>
        <v>1</v>
      </c>
      <c r="AC25" s="1808">
        <f>D25/J25</f>
        <v>1</v>
      </c>
    </row>
    <row r="26" spans="1:29" ht="28.5">
      <c r="A26" s="466" t="s">
        <v>2557</v>
      </c>
      <c r="B26" s="71" t="s">
        <v>2708</v>
      </c>
      <c r="C26" s="2677"/>
      <c r="D26" s="467">
        <v>100</v>
      </c>
      <c r="E26" s="2677"/>
      <c r="F26" s="667">
        <f>SUMIF(77:77,E26,78:78)-SUMIF(77:77,C26,78:78)+100</f>
        <v>100</v>
      </c>
      <c r="G26" s="2677"/>
      <c r="H26" s="467">
        <f>SUMIF(77:77,G26,78:78)-SUMIF(77:77,C26,78:78)+100</f>
        <v>100</v>
      </c>
      <c r="I26" s="2677"/>
      <c r="J26" s="467">
        <f>SUMIF(77:77,I26,78:78)-SUMIF(77:77,C26,78:78)+100</f>
        <v>100</v>
      </c>
      <c r="K26" s="612"/>
      <c r="L26" s="1138"/>
      <c r="M26" s="1129"/>
      <c r="N26" s="1129"/>
      <c r="O26" s="1137"/>
      <c r="P26" s="3288" t="s">
        <v>2559</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36" t="s">
        <v>2559</v>
      </c>
      <c r="Z26" s="1811" t="str">
        <f t="shared" ref="Z26:Z34" si="15">Q26</f>
        <v>公共部分装修</v>
      </c>
      <c r="AA26" s="1808">
        <f t="shared" si="3"/>
        <v>1</v>
      </c>
      <c r="AB26" s="1808">
        <f t="shared" si="4"/>
        <v>1</v>
      </c>
      <c r="AC26" s="1808">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36"/>
      <c r="Q27" s="776" t="str">
        <f t="shared" si="11"/>
        <v>成新率</v>
      </c>
      <c r="R27" s="777" t="s">
        <v>17</v>
      </c>
      <c r="S27" s="778" t="e">
        <f t="shared" si="12"/>
        <v>#N/A</v>
      </c>
      <c r="T27" s="777" t="s">
        <v>17</v>
      </c>
      <c r="U27" s="778" t="e">
        <f t="shared" si="13"/>
        <v>#N/A</v>
      </c>
      <c r="V27" s="777" t="s">
        <v>17</v>
      </c>
      <c r="W27" s="778" t="e">
        <f t="shared" si="14"/>
        <v>#N/A</v>
      </c>
      <c r="X27" s="779"/>
      <c r="Y27" s="3136"/>
      <c r="Z27" s="780" t="str">
        <f t="shared" si="15"/>
        <v>成新率</v>
      </c>
      <c r="AA27" s="1808" t="e">
        <f t="shared" si="3"/>
        <v>#N/A</v>
      </c>
      <c r="AB27" s="1808" t="e">
        <f t="shared" si="4"/>
        <v>#N/A</v>
      </c>
      <c r="AC27" s="1808"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36"/>
      <c r="Q28" s="1807" t="str">
        <f t="shared" si="11"/>
        <v>物业等级</v>
      </c>
      <c r="R28" s="774" t="s">
        <v>17</v>
      </c>
      <c r="S28" s="775">
        <f t="shared" si="12"/>
        <v>100</v>
      </c>
      <c r="T28" s="774" t="s">
        <v>17</v>
      </c>
      <c r="U28" s="775">
        <f t="shared" si="13"/>
        <v>100</v>
      </c>
      <c r="V28" s="774" t="s">
        <v>17</v>
      </c>
      <c r="W28" s="775">
        <f t="shared" si="14"/>
        <v>100</v>
      </c>
      <c r="X28" s="1810"/>
      <c r="Y28" s="3136"/>
      <c r="Z28" s="1811" t="str">
        <f t="shared" si="15"/>
        <v>物业等级</v>
      </c>
      <c r="AA28" s="1808">
        <f t="shared" si="3"/>
        <v>1</v>
      </c>
      <c r="AB28" s="1808">
        <f t="shared" si="4"/>
        <v>1</v>
      </c>
      <c r="AC28" s="1808">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36"/>
      <c r="Q29" s="1807" t="str">
        <f t="shared" si="11"/>
        <v>有无电梯</v>
      </c>
      <c r="R29" s="774" t="s">
        <v>17</v>
      </c>
      <c r="S29" s="775">
        <f t="shared" si="12"/>
        <v>100</v>
      </c>
      <c r="T29" s="774" t="s">
        <v>17</v>
      </c>
      <c r="U29" s="775">
        <f t="shared" si="13"/>
        <v>100</v>
      </c>
      <c r="V29" s="774" t="s">
        <v>17</v>
      </c>
      <c r="W29" s="775">
        <f t="shared" si="14"/>
        <v>100</v>
      </c>
      <c r="X29" s="1810"/>
      <c r="Y29" s="3136"/>
      <c r="Z29" s="1811" t="str">
        <f t="shared" si="15"/>
        <v>有无电梯</v>
      </c>
      <c r="AA29" s="1808">
        <f t="shared" si="3"/>
        <v>1</v>
      </c>
      <c r="AB29" s="1808">
        <f t="shared" si="4"/>
        <v>1</v>
      </c>
      <c r="AC29" s="1808">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36"/>
      <c r="Q30" s="1807" t="str">
        <f t="shared" si="11"/>
        <v>建筑面积</v>
      </c>
      <c r="R30" s="774" t="s">
        <v>17</v>
      </c>
      <c r="S30" s="775" t="e">
        <f t="shared" si="12"/>
        <v>#N/A</v>
      </c>
      <c r="T30" s="774" t="s">
        <v>17</v>
      </c>
      <c r="U30" s="775" t="e">
        <f t="shared" si="13"/>
        <v>#N/A</v>
      </c>
      <c r="V30" s="774" t="s">
        <v>17</v>
      </c>
      <c r="W30" s="775" t="e">
        <f t="shared" si="14"/>
        <v>#N/A</v>
      </c>
      <c r="X30" s="1810"/>
      <c r="Y30" s="3136"/>
      <c r="Z30" s="1811" t="str">
        <f t="shared" si="15"/>
        <v>建筑面积</v>
      </c>
      <c r="AA30" s="1808" t="e">
        <f t="shared" si="3"/>
        <v>#N/A</v>
      </c>
      <c r="AB30" s="1808" t="e">
        <f t="shared" si="4"/>
        <v>#N/A</v>
      </c>
      <c r="AC30" s="1808"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36"/>
      <c r="Q31" s="1792" t="str">
        <f t="shared" si="11"/>
        <v>是否封闭</v>
      </c>
      <c r="R31" s="770" t="s">
        <v>17</v>
      </c>
      <c r="S31" s="771">
        <f t="shared" si="12"/>
        <v>100</v>
      </c>
      <c r="T31" s="770" t="s">
        <v>17</v>
      </c>
      <c r="U31" s="771">
        <f t="shared" si="13"/>
        <v>100</v>
      </c>
      <c r="V31" s="770" t="s">
        <v>17</v>
      </c>
      <c r="W31" s="771">
        <f t="shared" si="14"/>
        <v>100</v>
      </c>
      <c r="X31" s="772"/>
      <c r="Y31" s="3136"/>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36" t="s">
        <v>2559</v>
      </c>
      <c r="Q32" s="1807">
        <f t="shared" si="11"/>
        <v>111</v>
      </c>
      <c r="R32" s="774" t="s">
        <v>17</v>
      </c>
      <c r="S32" s="775">
        <f t="shared" si="12"/>
        <v>100</v>
      </c>
      <c r="T32" s="774" t="s">
        <v>17</v>
      </c>
      <c r="U32" s="775">
        <f t="shared" si="13"/>
        <v>100</v>
      </c>
      <c r="V32" s="774" t="s">
        <v>17</v>
      </c>
      <c r="W32" s="775">
        <f t="shared" si="14"/>
        <v>100</v>
      </c>
      <c r="X32" s="1810"/>
      <c r="Y32" s="3136" t="s">
        <v>2559</v>
      </c>
      <c r="Z32" s="1811">
        <f t="shared" si="15"/>
        <v>111</v>
      </c>
      <c r="AA32" s="1808">
        <f t="shared" si="3"/>
        <v>1</v>
      </c>
      <c r="AB32" s="1808">
        <f t="shared" si="4"/>
        <v>1</v>
      </c>
      <c r="AC32" s="1808">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36"/>
      <c r="Q33" s="1807">
        <f t="shared" si="11"/>
        <v>111</v>
      </c>
      <c r="R33" s="774" t="s">
        <v>17</v>
      </c>
      <c r="S33" s="775">
        <f t="shared" si="12"/>
        <v>100</v>
      </c>
      <c r="T33" s="774" t="s">
        <v>17</v>
      </c>
      <c r="U33" s="775">
        <f t="shared" si="13"/>
        <v>100</v>
      </c>
      <c r="V33" s="774" t="s">
        <v>17</v>
      </c>
      <c r="W33" s="775">
        <f t="shared" si="14"/>
        <v>100</v>
      </c>
      <c r="X33" s="1810"/>
      <c r="Y33" s="3136"/>
      <c r="Z33" s="1811">
        <f t="shared" si="15"/>
        <v>111</v>
      </c>
      <c r="AA33" s="1808">
        <f t="shared" si="3"/>
        <v>1</v>
      </c>
      <c r="AB33" s="1808">
        <f t="shared" si="4"/>
        <v>1</v>
      </c>
      <c r="AC33" s="1808">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8"/>
      <c r="M34" s="1129"/>
      <c r="N34" s="1129"/>
      <c r="O34" s="1137"/>
      <c r="P34" s="3136"/>
      <c r="Q34" s="1807">
        <f t="shared" si="11"/>
        <v>111</v>
      </c>
      <c r="R34" s="774" t="s">
        <v>17</v>
      </c>
      <c r="S34" s="775">
        <f t="shared" si="12"/>
        <v>100</v>
      </c>
      <c r="T34" s="774" t="s">
        <v>17</v>
      </c>
      <c r="U34" s="775">
        <f t="shared" si="13"/>
        <v>100</v>
      </c>
      <c r="V34" s="774" t="s">
        <v>17</v>
      </c>
      <c r="W34" s="775">
        <f t="shared" si="14"/>
        <v>100</v>
      </c>
      <c r="X34" s="1810"/>
      <c r="Y34" s="3136"/>
      <c r="Z34" s="1811">
        <f t="shared" si="15"/>
        <v>111</v>
      </c>
      <c r="AA34" s="1808">
        <f t="shared" si="3"/>
        <v>1</v>
      </c>
      <c r="AB34" s="1808">
        <f t="shared" si="4"/>
        <v>1</v>
      </c>
      <c r="AC34" s="1808">
        <f t="shared" si="5"/>
        <v>1</v>
      </c>
    </row>
    <row r="35" spans="1:29" ht="15">
      <c r="A35" s="479" t="s">
        <v>2571</v>
      </c>
      <c r="B35" s="480"/>
      <c r="C35" s="1405" t="s">
        <v>1</v>
      </c>
      <c r="D35" s="1406"/>
      <c r="E35" s="1407"/>
      <c r="F35" s="1408"/>
      <c r="G35" s="1409"/>
      <c r="H35" s="1410"/>
      <c r="I35" s="1407"/>
      <c r="J35" s="1410"/>
      <c r="K35" s="783"/>
      <c r="L35" s="1141"/>
      <c r="M35" s="1142"/>
      <c r="N35" s="1129"/>
      <c r="O35" s="1142"/>
      <c r="P35" s="3129" t="str">
        <f>A35</f>
        <v>成交单价（元/平方米）</v>
      </c>
      <c r="Q35" s="3129"/>
      <c r="R35" s="3130">
        <f>E35</f>
        <v>0</v>
      </c>
      <c r="S35" s="3130"/>
      <c r="T35" s="3130">
        <f>G35</f>
        <v>0</v>
      </c>
      <c r="U35" s="3130"/>
      <c r="V35" s="3130">
        <f>I35</f>
        <v>0</v>
      </c>
      <c r="W35" s="3130"/>
      <c r="X35" s="759"/>
      <c r="Y35" s="781"/>
      <c r="Z35" s="759"/>
      <c r="AA35" s="759"/>
      <c r="AB35" s="759"/>
      <c r="AC35" s="759"/>
    </row>
    <row r="36" spans="1:29" ht="15.75" thickBot="1">
      <c r="A36" s="486" t="s">
        <v>2663</v>
      </c>
      <c r="B36" s="487"/>
      <c r="C36" s="1411" t="e">
        <f>R37</f>
        <v>#DIV/0!</v>
      </c>
      <c r="D36" s="1412"/>
      <c r="E36" s="1413" t="e">
        <f>R36</f>
        <v>#DIV/0!</v>
      </c>
      <c r="F36" s="1413"/>
      <c r="G36" s="1411" t="e">
        <f>T36</f>
        <v>#DIV/0!</v>
      </c>
      <c r="H36" s="1412"/>
      <c r="I36" s="1413" t="e">
        <f>V36</f>
        <v>#DIV/0!</v>
      </c>
      <c r="J36" s="1412"/>
      <c r="K36" s="784"/>
      <c r="L36" s="1141"/>
      <c r="M36" s="1142"/>
      <c r="N36" s="1129"/>
      <c r="O36" s="1142"/>
      <c r="P36" s="3129" t="str">
        <f>A36</f>
        <v>比较价值（元/平方米）</v>
      </c>
      <c r="Q36" s="3129"/>
      <c r="R36" s="3130" t="e">
        <f>IF(F1="售价",ROUND(PRODUCT(R35,AA7:AA34),0),ROUND(PRODUCT(R35,AA7:AA34),1))</f>
        <v>#DIV/0!</v>
      </c>
      <c r="S36" s="3130"/>
      <c r="T36" s="3130" t="e">
        <f>IF(F1="售价",ROUND(PRODUCT(T35,AB7:AB34),0),ROUND(PRODUCT(T35,AB7:AB34),1))</f>
        <v>#DIV/0!</v>
      </c>
      <c r="U36" s="3130"/>
      <c r="V36" s="3130" t="e">
        <f>IF(F1="售价",ROUND(PRODUCT(V35,AC7:AC34),0),ROUND(PRODUCT(V35,AC7:AC34),1))</f>
        <v>#DIV/0!</v>
      </c>
      <c r="W36" s="3130"/>
      <c r="X36" s="759"/>
      <c r="Y36" s="759"/>
      <c r="Z36" s="759"/>
      <c r="AA36" s="759"/>
      <c r="AB36" s="759"/>
      <c r="AC36" s="759"/>
    </row>
    <row r="37" spans="1:29" ht="15.75" thickBot="1">
      <c r="A37" s="492" t="s">
        <v>2664</v>
      </c>
      <c r="B37" s="493"/>
      <c r="C37" s="1415" t="e">
        <f>R37</f>
        <v>#DIV/0!</v>
      </c>
      <c r="D37" s="1415"/>
      <c r="E37" s="1415"/>
      <c r="F37" s="1415"/>
      <c r="G37" s="1415"/>
      <c r="H37" s="1415"/>
      <c r="I37" s="1415"/>
      <c r="J37" s="1415"/>
      <c r="K37" s="785"/>
      <c r="L37" s="1141"/>
      <c r="M37" s="1142"/>
      <c r="N37" s="1142"/>
      <c r="O37" s="1142"/>
      <c r="P37" s="3126" t="str">
        <f>A37</f>
        <v>估价对象XX用房的比较价值（楼面单价，元/平方米）</v>
      </c>
      <c r="Q37" s="3127"/>
      <c r="R37" s="3128" t="e">
        <f>IF(F1="售价",ROUND(AVERAGE(R36:V36),0),ROUND(AVERAGE(R36:V36),1))</f>
        <v>#DIV/0!</v>
      </c>
      <c r="S37" s="3128"/>
      <c r="T37" s="3128"/>
      <c r="U37" s="3128"/>
      <c r="V37" s="3128"/>
      <c r="W37" s="3128"/>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2" t="str">
        <f>YEAR(C7)&amp;"-"&amp;MONTH(C7)</f>
        <v>2019-1</v>
      </c>
      <c r="D46" s="1573">
        <f>EDATE(C46,-1)</f>
        <v>43435</v>
      </c>
      <c r="E46" s="1573">
        <f t="shared" ref="E46:O46" si="16">EDATE(D46,-1)</f>
        <v>43405</v>
      </c>
      <c r="F46" s="1573">
        <f t="shared" si="16"/>
        <v>43374</v>
      </c>
      <c r="G46" s="1573">
        <f t="shared" si="16"/>
        <v>43344</v>
      </c>
      <c r="H46" s="1573">
        <f t="shared" si="16"/>
        <v>43313</v>
      </c>
      <c r="I46" s="1573">
        <f t="shared" si="16"/>
        <v>43282</v>
      </c>
      <c r="J46" s="1573">
        <f t="shared" si="16"/>
        <v>43252</v>
      </c>
      <c r="K46" s="1573">
        <f t="shared" si="16"/>
        <v>43221</v>
      </c>
      <c r="L46" s="1573">
        <f t="shared" si="16"/>
        <v>43191</v>
      </c>
      <c r="M46" s="1573">
        <f t="shared" si="16"/>
        <v>43160</v>
      </c>
      <c r="N46" s="1573">
        <f t="shared" si="16"/>
        <v>43132</v>
      </c>
      <c r="O46" s="1573">
        <f t="shared" si="16"/>
        <v>43101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2582</v>
      </c>
      <c r="B51" s="528" t="s">
        <v>2548</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2733</v>
      </c>
      <c r="C63" s="578" t="s">
        <v>2591</v>
      </c>
      <c r="D63" s="578" t="s">
        <v>2592</v>
      </c>
      <c r="E63" s="578" t="s">
        <v>2593</v>
      </c>
      <c r="F63" s="578" t="s">
        <v>2594</v>
      </c>
      <c r="G63" s="578" t="s">
        <v>2595</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2557</v>
      </c>
      <c r="B77" s="528" t="s">
        <v>2610</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2739</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54" t="s">
        <v>2641</v>
      </c>
      <c r="S4" s="3155"/>
      <c r="T4" s="3154" t="s">
        <v>2642</v>
      </c>
      <c r="U4" s="3155"/>
      <c r="V4" s="3160" t="s">
        <v>2643</v>
      </c>
      <c r="W4" s="3160"/>
      <c r="X4" s="1810"/>
      <c r="Y4" s="3154" t="s">
        <v>2645</v>
      </c>
      <c r="Z4" s="3155"/>
      <c r="AA4" s="3141" t="s">
        <v>2641</v>
      </c>
      <c r="AB4" s="3142" t="s">
        <v>2642</v>
      </c>
      <c r="AC4" s="3141" t="s">
        <v>2643</v>
      </c>
    </row>
    <row r="5" spans="1:30" ht="15">
      <c r="A5" s="404"/>
      <c r="B5" s="405"/>
      <c r="C5" s="3163" t="s">
        <v>2536</v>
      </c>
      <c r="D5" s="3164"/>
      <c r="E5" s="3170" t="s">
        <v>2537</v>
      </c>
      <c r="F5" s="3171"/>
      <c r="G5" s="3163" t="s">
        <v>2538</v>
      </c>
      <c r="H5" s="3164"/>
      <c r="I5" s="3163" t="s">
        <v>2539</v>
      </c>
      <c r="J5" s="3164"/>
      <c r="K5" s="610"/>
      <c r="L5" s="1128"/>
      <c r="M5" s="1129"/>
      <c r="N5" s="1129"/>
      <c r="O5" s="1129"/>
      <c r="P5" s="3150"/>
      <c r="Q5" s="3151"/>
      <c r="R5" s="3156"/>
      <c r="S5" s="3157"/>
      <c r="T5" s="3156"/>
      <c r="U5" s="3157"/>
      <c r="V5" s="3160"/>
      <c r="W5" s="3160"/>
      <c r="X5" s="1810"/>
      <c r="Y5" s="3156"/>
      <c r="Z5" s="3157"/>
      <c r="AA5" s="3142"/>
      <c r="AB5" s="3142"/>
      <c r="AC5" s="3142"/>
    </row>
    <row r="6" spans="1:30" ht="15.75" thickBot="1">
      <c r="A6" s="406"/>
      <c r="B6" s="407"/>
      <c r="C6" s="3161" t="s">
        <v>2540</v>
      </c>
      <c r="D6" s="3162"/>
      <c r="E6" s="3168" t="s">
        <v>2540</v>
      </c>
      <c r="F6" s="3169"/>
      <c r="G6" s="3161" t="s">
        <v>2540</v>
      </c>
      <c r="H6" s="3162"/>
      <c r="I6" s="3161" t="s">
        <v>2540</v>
      </c>
      <c r="J6" s="3162"/>
      <c r="K6" s="610" t="s">
        <v>2541</v>
      </c>
      <c r="L6" s="1128"/>
      <c r="M6" s="1129"/>
      <c r="N6" s="1129"/>
      <c r="O6" s="1129"/>
      <c r="P6" s="3152"/>
      <c r="Q6" s="3153"/>
      <c r="R6" s="3156"/>
      <c r="S6" s="3157"/>
      <c r="T6" s="3158"/>
      <c r="U6" s="3159"/>
      <c r="V6" s="3160"/>
      <c r="W6" s="3160"/>
      <c r="X6" s="1810"/>
      <c r="Y6" s="3158"/>
      <c r="Z6" s="3159"/>
      <c r="AA6" s="3143"/>
      <c r="AB6" s="3143"/>
      <c r="AC6" s="3143"/>
    </row>
    <row r="7" spans="1:30" s="117" customFormat="1" ht="15.75" thickBot="1">
      <c r="A7" s="408" t="s">
        <v>2542</v>
      </c>
      <c r="B7" s="409"/>
      <c r="C7" s="410">
        <f>'数据-取费表'!B2</f>
        <v>43494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0"/>
      <c r="M7" s="1131"/>
      <c r="N7" s="1131"/>
      <c r="O7" s="1131"/>
      <c r="P7" s="3165" t="s">
        <v>2543</v>
      </c>
      <c r="Q7" s="3167"/>
      <c r="R7" s="770" t="s">
        <v>17</v>
      </c>
      <c r="S7" s="771">
        <f t="shared" ref="S7:S15" si="0">F7</f>
        <v>0</v>
      </c>
      <c r="T7" s="770" t="s">
        <v>17</v>
      </c>
      <c r="U7" s="771">
        <f t="shared" ref="U7:U15" si="1">H7</f>
        <v>0</v>
      </c>
      <c r="V7" s="770" t="s">
        <v>17</v>
      </c>
      <c r="W7" s="771">
        <f t="shared" ref="W7:W15" si="2">J7</f>
        <v>0</v>
      </c>
      <c r="X7" s="772"/>
      <c r="Y7" s="3165" t="s">
        <v>2543</v>
      </c>
      <c r="Z7" s="3166"/>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65" t="s">
        <v>2546</v>
      </c>
      <c r="Q8" s="3166"/>
      <c r="R8" s="770" t="s">
        <v>17</v>
      </c>
      <c r="S8" s="771">
        <f t="shared" si="0"/>
        <v>0</v>
      </c>
      <c r="T8" s="770" t="s">
        <v>17</v>
      </c>
      <c r="U8" s="771">
        <f t="shared" si="1"/>
        <v>0</v>
      </c>
      <c r="V8" s="770" t="s">
        <v>17</v>
      </c>
      <c r="W8" s="771">
        <f t="shared" si="2"/>
        <v>0</v>
      </c>
      <c r="X8" s="772"/>
      <c r="Y8" s="3165" t="s">
        <v>2546</v>
      </c>
      <c r="Z8" s="3166"/>
      <c r="AA8" s="773" t="e">
        <f t="shared" ref="AA8:AA45" si="3">D8/F8</f>
        <v>#DIV/0!</v>
      </c>
      <c r="AB8" s="773" t="e">
        <f t="shared" ref="AB8:AB45" si="4">D8/H8</f>
        <v>#DIV/0!</v>
      </c>
      <c r="AC8" s="773" t="e">
        <f t="shared" ref="AC8:AC45" si="5">D8/J8</f>
        <v>#DIV/0!</v>
      </c>
    </row>
    <row r="9" spans="1:30" s="117" customFormat="1">
      <c r="A9" s="415" t="s">
        <v>2547</v>
      </c>
      <c r="B9" s="71" t="s">
        <v>2548</v>
      </c>
      <c r="C9" s="2697"/>
      <c r="D9" s="135">
        <v>100</v>
      </c>
      <c r="E9" s="2697"/>
      <c r="F9" s="135">
        <f>SUMIF(75:75,E9,76:76)-SUMIF(75:75,C9,76:76)+100</f>
        <v>100</v>
      </c>
      <c r="G9" s="2697"/>
      <c r="H9" s="135">
        <f>SUMIF(75:75,G9,76:76)-SUMIF(75:75,C9,76:76)+100</f>
        <v>100</v>
      </c>
      <c r="I9" s="2697"/>
      <c r="J9" s="135">
        <f>SUMIF(75:75,I9,76:76)-SUMIF(75:75,C9,76:76)+100</f>
        <v>100</v>
      </c>
      <c r="K9" s="611"/>
      <c r="L9" s="1130"/>
      <c r="M9" s="1131"/>
      <c r="N9" s="1131"/>
      <c r="O9" s="1132"/>
      <c r="P9" s="3129" t="s">
        <v>2549</v>
      </c>
      <c r="Q9" s="1792" t="str">
        <f t="shared" ref="Q9:Q15" si="6">B9</f>
        <v>用途</v>
      </c>
      <c r="R9" s="770" t="s">
        <v>17</v>
      </c>
      <c r="S9" s="771">
        <f t="shared" si="0"/>
        <v>100</v>
      </c>
      <c r="T9" s="770" t="s">
        <v>17</v>
      </c>
      <c r="U9" s="771">
        <f t="shared" si="1"/>
        <v>100</v>
      </c>
      <c r="V9" s="770" t="s">
        <v>17</v>
      </c>
      <c r="W9" s="771">
        <f t="shared" si="2"/>
        <v>100</v>
      </c>
      <c r="X9" s="772"/>
      <c r="Y9" s="3047"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102</v>
      </c>
      <c r="G10" s="463"/>
      <c r="H10" s="136">
        <f>ROUND(100/'数据-取费表'!G16,0)</f>
        <v>102</v>
      </c>
      <c r="I10" s="463"/>
      <c r="J10" s="136">
        <f>ROUND(100/'数据-取费表'!G16,0)</f>
        <v>102</v>
      </c>
      <c r="K10" s="672"/>
      <c r="L10" s="1133"/>
      <c r="M10" s="1134"/>
      <c r="N10" s="1134"/>
      <c r="O10" s="1135"/>
      <c r="P10" s="3129"/>
      <c r="Q10" s="1792" t="str">
        <f t="shared" si="6"/>
        <v>土地使用年限（年）</v>
      </c>
      <c r="R10" s="770" t="s">
        <v>17</v>
      </c>
      <c r="S10" s="771">
        <f t="shared" si="0"/>
        <v>102</v>
      </c>
      <c r="T10" s="770" t="s">
        <v>17</v>
      </c>
      <c r="U10" s="771">
        <f t="shared" si="1"/>
        <v>102</v>
      </c>
      <c r="V10" s="770" t="s">
        <v>17</v>
      </c>
      <c r="W10" s="771">
        <f t="shared" si="2"/>
        <v>102</v>
      </c>
      <c r="X10" s="772"/>
      <c r="Y10" s="3047"/>
      <c r="Z10" s="55" t="str">
        <f t="shared" si="7"/>
        <v>土地使用年限（年）</v>
      </c>
      <c r="AA10" s="773">
        <f t="shared" si="3"/>
        <v>0.98039215686274506</v>
      </c>
      <c r="AB10" s="773">
        <f t="shared" si="4"/>
        <v>0.98039215686274506</v>
      </c>
      <c r="AC10" s="773">
        <f t="shared" si="5"/>
        <v>0.98039215686274506</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29"/>
      <c r="Q11" s="1792"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30" s="117" customFormat="1" ht="15">
      <c r="A12" s="431"/>
      <c r="B12" s="2598" t="s">
        <v>2740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29"/>
      <c r="Q12" s="1792" t="str">
        <f t="shared" si="6"/>
        <v>配建</v>
      </c>
      <c r="R12" s="770" t="s">
        <v>17</v>
      </c>
      <c r="S12" s="771">
        <f t="shared" si="0"/>
        <v>100</v>
      </c>
      <c r="T12" s="770" t="s">
        <v>17</v>
      </c>
      <c r="U12" s="771">
        <f t="shared" si="1"/>
        <v>100</v>
      </c>
      <c r="V12" s="770" t="s">
        <v>17</v>
      </c>
      <c r="W12" s="771">
        <f t="shared" si="2"/>
        <v>100</v>
      </c>
      <c r="X12" s="772"/>
      <c r="Y12" s="3047"/>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29"/>
      <c r="Q13" s="1792">
        <f t="shared" si="6"/>
        <v>111</v>
      </c>
      <c r="R13" s="770" t="s">
        <v>17</v>
      </c>
      <c r="S13" s="771">
        <f t="shared" si="0"/>
        <v>100</v>
      </c>
      <c r="T13" s="770" t="s">
        <v>17</v>
      </c>
      <c r="U13" s="771">
        <f t="shared" si="1"/>
        <v>100</v>
      </c>
      <c r="V13" s="770" t="s">
        <v>17</v>
      </c>
      <c r="W13" s="771">
        <f t="shared" si="2"/>
        <v>100</v>
      </c>
      <c r="X13" s="772"/>
      <c r="Y13" s="3047"/>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29"/>
      <c r="Q14" s="1792">
        <f t="shared" si="6"/>
        <v>111</v>
      </c>
      <c r="R14" s="770" t="s">
        <v>17</v>
      </c>
      <c r="S14" s="771">
        <f t="shared" si="0"/>
        <v>100</v>
      </c>
      <c r="T14" s="770" t="s">
        <v>17</v>
      </c>
      <c r="U14" s="771">
        <f t="shared" si="1"/>
        <v>100</v>
      </c>
      <c r="V14" s="770" t="s">
        <v>17</v>
      </c>
      <c r="W14" s="771">
        <f t="shared" si="2"/>
        <v>100</v>
      </c>
      <c r="X14" s="772"/>
      <c r="Y14" s="3047"/>
      <c r="Z14" s="55">
        <f t="shared" si="7"/>
        <v>111</v>
      </c>
      <c r="AA14" s="773">
        <f>D14/F14</f>
        <v>1</v>
      </c>
      <c r="AB14" s="773">
        <f>D14/H14</f>
        <v>1</v>
      </c>
      <c r="AC14" s="773">
        <f>D14/J14</f>
        <v>1</v>
      </c>
    </row>
    <row r="15" spans="1:30" ht="15">
      <c r="A15" s="440" t="s">
        <v>2553</v>
      </c>
      <c r="B15" s="69" t="s">
        <v>2081</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31" t="s">
        <v>2554</v>
      </c>
      <c r="Q15" s="1807" t="str">
        <f t="shared" si="6"/>
        <v>居住社区成熟度</v>
      </c>
      <c r="R15" s="774" t="s">
        <v>17</v>
      </c>
      <c r="S15" s="775">
        <f t="shared" si="0"/>
        <v>100</v>
      </c>
      <c r="T15" s="774" t="s">
        <v>17</v>
      </c>
      <c r="U15" s="775">
        <f t="shared" si="1"/>
        <v>100</v>
      </c>
      <c r="V15" s="774" t="s">
        <v>17</v>
      </c>
      <c r="W15" s="775">
        <f t="shared" si="2"/>
        <v>100</v>
      </c>
      <c r="X15" s="1810"/>
      <c r="Y15" s="3131" t="s">
        <v>2554</v>
      </c>
      <c r="Z15" s="1811" t="str">
        <f t="shared" si="7"/>
        <v>居住社区成熟度</v>
      </c>
      <c r="AA15" s="1808">
        <f t="shared" si="3"/>
        <v>1</v>
      </c>
      <c r="AB15" s="1808">
        <f t="shared" si="4"/>
        <v>1</v>
      </c>
      <c r="AC15" s="1808">
        <f t="shared" si="5"/>
        <v>1</v>
      </c>
    </row>
    <row r="16" spans="1:30" ht="15">
      <c r="A16" s="428"/>
      <c r="B16" s="446"/>
      <c r="C16" s="447"/>
      <c r="D16" s="448"/>
      <c r="E16" s="2603"/>
      <c r="F16" s="448"/>
      <c r="G16" s="2603"/>
      <c r="H16" s="450"/>
      <c r="I16" s="2602"/>
      <c r="J16" s="448"/>
      <c r="K16" s="672"/>
      <c r="L16" s="1138"/>
      <c r="M16" s="1129"/>
      <c r="N16" s="1129"/>
      <c r="O16" s="1137"/>
      <c r="P16" s="3132"/>
      <c r="Q16" s="1807"/>
      <c r="R16" s="774"/>
      <c r="S16" s="775"/>
      <c r="T16" s="774"/>
      <c r="U16" s="775"/>
      <c r="V16" s="774"/>
      <c r="W16" s="775"/>
      <c r="X16" s="1810"/>
      <c r="Y16" s="3132"/>
      <c r="Z16" s="1811"/>
      <c r="AA16" s="1808">
        <v>1</v>
      </c>
      <c r="AB16" s="1808">
        <v>1</v>
      </c>
      <c r="AC16" s="1808">
        <v>1</v>
      </c>
    </row>
    <row r="17" spans="1:29" ht="57">
      <c r="A17" s="428"/>
      <c r="B17" s="451" t="s">
        <v>2647</v>
      </c>
      <c r="C17" s="2662" t="str">
        <f>估价对象房地状况!C16</f>
        <v>估价对象周边商业氛围一般，人流量一般，商业繁华度一般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32"/>
      <c r="Q17" s="1807" t="str">
        <f>B17</f>
        <v>商业繁华度</v>
      </c>
      <c r="R17" s="774" t="s">
        <v>17</v>
      </c>
      <c r="S17" s="775">
        <f>F17</f>
        <v>100</v>
      </c>
      <c r="T17" s="774" t="s">
        <v>17</v>
      </c>
      <c r="U17" s="775">
        <f>H17</f>
        <v>100</v>
      </c>
      <c r="V17" s="774" t="s">
        <v>17</v>
      </c>
      <c r="W17" s="775">
        <f>J17</f>
        <v>100</v>
      </c>
      <c r="X17" s="1810"/>
      <c r="Y17" s="3132"/>
      <c r="Z17" s="1811" t="str">
        <f>Q17</f>
        <v>商业繁华度</v>
      </c>
      <c r="AA17" s="1808">
        <f t="shared" si="3"/>
        <v>1</v>
      </c>
      <c r="AB17" s="1808">
        <f t="shared" si="4"/>
        <v>1</v>
      </c>
      <c r="AC17" s="1808">
        <f t="shared" si="5"/>
        <v>1</v>
      </c>
    </row>
    <row r="18" spans="1:29" ht="15">
      <c r="A18" s="428"/>
      <c r="B18" s="456"/>
      <c r="C18" s="2606"/>
      <c r="D18" s="450"/>
      <c r="E18" s="2608"/>
      <c r="F18" s="450"/>
      <c r="G18" s="2608"/>
      <c r="H18" s="448"/>
      <c r="I18" s="2607"/>
      <c r="J18" s="448"/>
      <c r="K18" s="672"/>
      <c r="L18" s="1138"/>
      <c r="M18" s="1129"/>
      <c r="N18" s="1129"/>
      <c r="O18" s="1137"/>
      <c r="P18" s="3132"/>
      <c r="Q18" s="1807"/>
      <c r="R18" s="774"/>
      <c r="S18" s="775"/>
      <c r="T18" s="774"/>
      <c r="U18" s="775"/>
      <c r="V18" s="774"/>
      <c r="W18" s="775"/>
      <c r="X18" s="1810"/>
      <c r="Y18" s="3132"/>
      <c r="Z18" s="1811"/>
      <c r="AA18" s="1808">
        <v>1</v>
      </c>
      <c r="AB18" s="1808">
        <v>1</v>
      </c>
      <c r="AC18" s="1808">
        <v>1</v>
      </c>
    </row>
    <row r="19" spans="1:29" ht="71.25">
      <c r="A19" s="428"/>
      <c r="B19" s="451" t="s">
        <v>2681</v>
      </c>
      <c r="C19" s="2662" t="str">
        <f>估价对象房地状况!C17</f>
        <v>估价对象周边办公楼项目集聚度一般，入驻率一般，办公集聚程度一般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32"/>
      <c r="Q19" s="1807" t="str">
        <f>B19</f>
        <v>办公集聚程度</v>
      </c>
      <c r="R19" s="774" t="s">
        <v>17</v>
      </c>
      <c r="S19" s="775">
        <f>F19</f>
        <v>100</v>
      </c>
      <c r="T19" s="774" t="s">
        <v>17</v>
      </c>
      <c r="U19" s="775">
        <f>H19</f>
        <v>100</v>
      </c>
      <c r="V19" s="774" t="s">
        <v>17</v>
      </c>
      <c r="W19" s="775">
        <f>J19</f>
        <v>100</v>
      </c>
      <c r="X19" s="1810"/>
      <c r="Y19" s="3132"/>
      <c r="Z19" s="1811" t="str">
        <f>Q19</f>
        <v>办公集聚程度</v>
      </c>
      <c r="AA19" s="1808">
        <f t="shared" si="3"/>
        <v>1</v>
      </c>
      <c r="AB19" s="1808">
        <f t="shared" si="4"/>
        <v>1</v>
      </c>
      <c r="AC19" s="1808">
        <f t="shared" si="5"/>
        <v>1</v>
      </c>
    </row>
    <row r="20" spans="1:29" ht="15">
      <c r="A20" s="428"/>
      <c r="B20" s="456"/>
      <c r="C20" s="447"/>
      <c r="D20" s="448"/>
      <c r="E20" s="2603"/>
      <c r="F20" s="448"/>
      <c r="G20" s="2603"/>
      <c r="H20" s="448"/>
      <c r="I20" s="2602"/>
      <c r="J20" s="448"/>
      <c r="K20" s="672"/>
      <c r="L20" s="1138"/>
      <c r="M20" s="1129"/>
      <c r="N20" s="1129"/>
      <c r="O20" s="1137"/>
      <c r="P20" s="3132"/>
      <c r="Q20" s="1807"/>
      <c r="R20" s="774"/>
      <c r="S20" s="775"/>
      <c r="T20" s="774"/>
      <c r="U20" s="775"/>
      <c r="V20" s="774"/>
      <c r="W20" s="775"/>
      <c r="X20" s="1810"/>
      <c r="Y20" s="3132"/>
      <c r="Z20" s="1811"/>
      <c r="AA20" s="1808">
        <v>1</v>
      </c>
      <c r="AB20" s="1808">
        <v>1</v>
      </c>
      <c r="AC20" s="1808">
        <v>1</v>
      </c>
    </row>
    <row r="21" spans="1:29" ht="85.5">
      <c r="A21" s="428"/>
      <c r="B21" s="451" t="s">
        <v>2703</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32"/>
      <c r="Q21" s="1807" t="str">
        <f>B21</f>
        <v>交通便捷度</v>
      </c>
      <c r="R21" s="774" t="s">
        <v>17</v>
      </c>
      <c r="S21" s="775">
        <f>F21</f>
        <v>100</v>
      </c>
      <c r="T21" s="774" t="s">
        <v>17</v>
      </c>
      <c r="U21" s="775">
        <f>H21</f>
        <v>100</v>
      </c>
      <c r="V21" s="774" t="s">
        <v>17</v>
      </c>
      <c r="W21" s="775">
        <f>J21</f>
        <v>100</v>
      </c>
      <c r="X21" s="1810"/>
      <c r="Y21" s="3132"/>
      <c r="Z21" s="1811" t="str">
        <f>Q21</f>
        <v>交通便捷度</v>
      </c>
      <c r="AA21" s="1808">
        <f t="shared" si="3"/>
        <v>1</v>
      </c>
      <c r="AB21" s="1808">
        <f t="shared" si="4"/>
        <v>1</v>
      </c>
      <c r="AC21" s="1808">
        <f t="shared" si="5"/>
        <v>1</v>
      </c>
    </row>
    <row r="22" spans="1:29" ht="15">
      <c r="A22" s="428"/>
      <c r="B22" s="1382"/>
      <c r="C22" s="447"/>
      <c r="D22" s="450"/>
      <c r="E22" s="2603"/>
      <c r="F22" s="448"/>
      <c r="G22" s="2603"/>
      <c r="H22" s="448"/>
      <c r="I22" s="2602"/>
      <c r="J22" s="448"/>
      <c r="K22" s="672"/>
      <c r="L22" s="1138"/>
      <c r="M22" s="1129"/>
      <c r="N22" s="1129"/>
      <c r="O22" s="1137"/>
      <c r="P22" s="3132"/>
      <c r="Q22" s="1807"/>
      <c r="R22" s="774"/>
      <c r="S22" s="775"/>
      <c r="T22" s="774"/>
      <c r="U22" s="775"/>
      <c r="V22" s="774"/>
      <c r="W22" s="775"/>
      <c r="X22" s="1810"/>
      <c r="Y22" s="3132"/>
      <c r="Z22" s="1811"/>
      <c r="AA22" s="1808">
        <v>1</v>
      </c>
      <c r="AB22" s="1808">
        <v>1</v>
      </c>
      <c r="AC22" s="1808">
        <v>1</v>
      </c>
    </row>
    <row r="23" spans="1:29" ht="15">
      <c r="A23" s="404"/>
      <c r="B23" s="451" t="s">
        <v>2741</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32"/>
      <c r="Q23" s="1807" t="str">
        <f t="shared" ref="Q23:Q37" si="8">B23</f>
        <v>区域土地利用方向</v>
      </c>
      <c r="R23" s="774" t="s">
        <v>17</v>
      </c>
      <c r="S23" s="775">
        <f>F23</f>
        <v>100</v>
      </c>
      <c r="T23" s="774" t="s">
        <v>17</v>
      </c>
      <c r="U23" s="775">
        <f>H23</f>
        <v>100</v>
      </c>
      <c r="V23" s="774" t="s">
        <v>17</v>
      </c>
      <c r="W23" s="775">
        <f>J23</f>
        <v>100</v>
      </c>
      <c r="X23" s="1810"/>
      <c r="Y23" s="3132"/>
      <c r="Z23" s="1811" t="str">
        <f>Q23</f>
        <v>区域土地利用方向</v>
      </c>
      <c r="AA23" s="1808">
        <f t="shared" si="3"/>
        <v>1</v>
      </c>
      <c r="AB23" s="1808">
        <f t="shared" si="4"/>
        <v>1</v>
      </c>
      <c r="AC23" s="1808">
        <f t="shared" si="5"/>
        <v>1</v>
      </c>
    </row>
    <row r="24" spans="1:29" ht="15">
      <c r="A24" s="404"/>
      <c r="B24" s="456"/>
      <c r="C24" s="616"/>
      <c r="D24" s="448"/>
      <c r="E24" s="2603"/>
      <c r="F24" s="448"/>
      <c r="G24" s="2602"/>
      <c r="H24" s="448"/>
      <c r="I24" s="2602"/>
      <c r="J24" s="448"/>
      <c r="K24" s="807"/>
      <c r="L24" s="1138"/>
      <c r="M24" s="1129"/>
      <c r="N24" s="1129"/>
      <c r="O24" s="1137"/>
      <c r="P24" s="3132"/>
      <c r="Q24" s="1807"/>
      <c r="R24" s="774"/>
      <c r="S24" s="775"/>
      <c r="T24" s="774"/>
      <c r="U24" s="775"/>
      <c r="V24" s="774"/>
      <c r="W24" s="775"/>
      <c r="X24" s="1810"/>
      <c r="Y24" s="3132"/>
      <c r="Z24" s="1811"/>
      <c r="AA24" s="1808"/>
      <c r="AB24" s="1808"/>
      <c r="AC24" s="1808"/>
    </row>
    <row r="25" spans="1:29" ht="57">
      <c r="A25" s="404"/>
      <c r="B25" s="1382" t="s">
        <v>2742</v>
      </c>
      <c r="C25" s="2662"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32"/>
      <c r="Q25" s="1807" t="str">
        <f t="shared" si="8"/>
        <v>自然及人文环境状况</v>
      </c>
      <c r="R25" s="774" t="s">
        <v>17</v>
      </c>
      <c r="S25" s="775">
        <f>F25</f>
        <v>100</v>
      </c>
      <c r="T25" s="774" t="s">
        <v>17</v>
      </c>
      <c r="U25" s="775">
        <f>H25</f>
        <v>100</v>
      </c>
      <c r="V25" s="774" t="s">
        <v>17</v>
      </c>
      <c r="W25" s="775">
        <f>J25</f>
        <v>100</v>
      </c>
      <c r="X25" s="1810"/>
      <c r="Y25" s="3132"/>
      <c r="Z25" s="1811" t="str">
        <f>Q25</f>
        <v>自然及人文环境状况</v>
      </c>
      <c r="AA25" s="1808">
        <f t="shared" si="3"/>
        <v>1</v>
      </c>
      <c r="AB25" s="1808">
        <f t="shared" si="4"/>
        <v>1</v>
      </c>
      <c r="AC25" s="1808">
        <f t="shared" si="5"/>
        <v>1</v>
      </c>
    </row>
    <row r="26" spans="1:29" ht="15">
      <c r="A26" s="404"/>
      <c r="B26" s="456"/>
      <c r="C26" s="447"/>
      <c r="D26" s="448"/>
      <c r="E26" s="2609"/>
      <c r="F26" s="448"/>
      <c r="G26" s="2609"/>
      <c r="H26" s="448"/>
      <c r="I26" s="447"/>
      <c r="J26" s="448"/>
      <c r="K26" s="672"/>
      <c r="L26" s="1138"/>
      <c r="M26" s="1129"/>
      <c r="N26" s="1129"/>
      <c r="O26" s="1137"/>
      <c r="P26" s="3132"/>
      <c r="Q26" s="1807"/>
      <c r="R26" s="774"/>
      <c r="S26" s="775"/>
      <c r="T26" s="774"/>
      <c r="U26" s="775"/>
      <c r="V26" s="774"/>
      <c r="W26" s="775"/>
      <c r="X26" s="1810"/>
      <c r="Y26" s="3132"/>
      <c r="Z26" s="1811"/>
      <c r="AA26" s="1808">
        <v>1</v>
      </c>
      <c r="AB26" s="1808">
        <v>1</v>
      </c>
      <c r="AC26" s="1808">
        <v>1</v>
      </c>
    </row>
    <row r="27" spans="1:29" s="117" customFormat="1" ht="42.75">
      <c r="A27" s="649"/>
      <c r="B27" s="1382" t="s">
        <v>2648</v>
      </c>
      <c r="C27" s="260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32"/>
      <c r="Q27" s="1792" t="str">
        <f t="shared" si="8"/>
        <v>公共配套设施</v>
      </c>
      <c r="R27" s="770" t="s">
        <v>17</v>
      </c>
      <c r="S27" s="771">
        <f>F27</f>
        <v>100</v>
      </c>
      <c r="T27" s="770" t="s">
        <v>17</v>
      </c>
      <c r="U27" s="771">
        <f>H27</f>
        <v>100</v>
      </c>
      <c r="V27" s="770" t="s">
        <v>17</v>
      </c>
      <c r="W27" s="771">
        <f>J27</f>
        <v>100</v>
      </c>
      <c r="X27" s="772"/>
      <c r="Y27" s="3132"/>
      <c r="Z27" s="55" t="str">
        <f>Q27</f>
        <v>公共配套设施</v>
      </c>
      <c r="AA27" s="1808">
        <f>D27/F27</f>
        <v>1</v>
      </c>
      <c r="AB27" s="1808">
        <f>D27/H27</f>
        <v>1</v>
      </c>
      <c r="AC27" s="1808">
        <f>D27/J27</f>
        <v>1</v>
      </c>
    </row>
    <row r="28" spans="1:29" s="117" customFormat="1" ht="15">
      <c r="A28" s="649"/>
      <c r="B28" s="456"/>
      <c r="C28" s="2698"/>
      <c r="D28" s="448"/>
      <c r="E28" s="2609"/>
      <c r="F28" s="448"/>
      <c r="G28" s="2609"/>
      <c r="H28" s="448"/>
      <c r="I28" s="447"/>
      <c r="J28" s="448"/>
      <c r="K28" s="672"/>
      <c r="L28" s="1130"/>
      <c r="M28" s="1131"/>
      <c r="N28" s="1131"/>
      <c r="O28" s="1132"/>
      <c r="P28" s="3132"/>
      <c r="Q28" s="1792"/>
      <c r="R28" s="770"/>
      <c r="S28" s="771"/>
      <c r="T28" s="770"/>
      <c r="U28" s="771"/>
      <c r="V28" s="770"/>
      <c r="W28" s="771"/>
      <c r="X28" s="772"/>
      <c r="Y28" s="3132"/>
      <c r="Z28" s="55"/>
      <c r="AA28" s="1808">
        <v>1</v>
      </c>
      <c r="AB28" s="1808">
        <v>1</v>
      </c>
      <c r="AC28" s="1808">
        <v>1</v>
      </c>
    </row>
    <row r="29" spans="1:29" s="117" customFormat="1" ht="42.75">
      <c r="A29" s="649"/>
      <c r="B29" s="1382" t="s">
        <v>2649</v>
      </c>
      <c r="C29" s="2605" t="str">
        <f>估价对象房地状况!C22</f>
        <v>估价对象所在区域基础设施水平达六通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32"/>
      <c r="Q29" s="1792" t="str">
        <f t="shared" ref="Q29" si="9">B29</f>
        <v>基础设施水平</v>
      </c>
      <c r="R29" s="770" t="s">
        <v>17</v>
      </c>
      <c r="S29" s="771">
        <f>F29</f>
        <v>100</v>
      </c>
      <c r="T29" s="770" t="s">
        <v>17</v>
      </c>
      <c r="U29" s="771">
        <f>H29</f>
        <v>100</v>
      </c>
      <c r="V29" s="770" t="s">
        <v>17</v>
      </c>
      <c r="W29" s="771">
        <f>J29</f>
        <v>100</v>
      </c>
      <c r="X29" s="772"/>
      <c r="Y29" s="3132"/>
      <c r="Z29" s="55" t="str">
        <f>Q29</f>
        <v>基础设施水平</v>
      </c>
      <c r="AA29" s="1808">
        <f>D29/F29</f>
        <v>1</v>
      </c>
      <c r="AB29" s="1808">
        <f>D29/H29</f>
        <v>1</v>
      </c>
      <c r="AC29" s="1808">
        <f>D29/J29</f>
        <v>1</v>
      </c>
    </row>
    <row r="30" spans="1:29" s="117" customFormat="1" ht="15">
      <c r="A30" s="649"/>
      <c r="B30" s="456"/>
      <c r="C30" s="2698"/>
      <c r="D30" s="448"/>
      <c r="E30" s="2699"/>
      <c r="F30" s="448"/>
      <c r="G30" s="2699"/>
      <c r="H30" s="448"/>
      <c r="I30" s="2699"/>
      <c r="J30" s="448"/>
      <c r="K30" s="672"/>
      <c r="L30" s="1130"/>
      <c r="M30" s="1131"/>
      <c r="N30" s="1131"/>
      <c r="O30" s="1132"/>
      <c r="P30" s="3132"/>
      <c r="Q30" s="1792"/>
      <c r="R30" s="770"/>
      <c r="S30" s="771"/>
      <c r="T30" s="770"/>
      <c r="U30" s="771"/>
      <c r="V30" s="770"/>
      <c r="W30" s="771"/>
      <c r="X30" s="772"/>
      <c r="Y30" s="3132"/>
      <c r="Z30" s="55"/>
      <c r="AA30" s="1808">
        <v>1</v>
      </c>
      <c r="AB30" s="1808">
        <v>1</v>
      </c>
      <c r="AC30" s="1808">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32"/>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132"/>
      <c r="Z31" s="1811" t="str">
        <f t="shared" ref="Z31:Z45" si="13">Q31</f>
        <v>临街状况</v>
      </c>
      <c r="AA31" s="1808">
        <f t="shared" si="3"/>
        <v>1</v>
      </c>
      <c r="AB31" s="1808">
        <f t="shared" si="4"/>
        <v>1</v>
      </c>
      <c r="AC31" s="1808">
        <f t="shared" si="5"/>
        <v>1</v>
      </c>
    </row>
    <row r="32" spans="1:29" ht="27">
      <c r="A32" s="428"/>
      <c r="B32" s="1382"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32"/>
      <c r="Q32" s="1807" t="str">
        <f t="shared" si="8"/>
        <v>毗邻道路的类型与等级</v>
      </c>
      <c r="R32" s="774" t="s">
        <v>17</v>
      </c>
      <c r="S32" s="775">
        <f t="shared" si="10"/>
        <v>100</v>
      </c>
      <c r="T32" s="774" t="s">
        <v>17</v>
      </c>
      <c r="U32" s="775">
        <f t="shared" si="11"/>
        <v>100</v>
      </c>
      <c r="V32" s="774" t="s">
        <v>17</v>
      </c>
      <c r="W32" s="775">
        <f t="shared" si="12"/>
        <v>100</v>
      </c>
      <c r="X32" s="1810"/>
      <c r="Y32" s="3132"/>
      <c r="Z32" s="1811" t="str">
        <f t="shared" si="13"/>
        <v>毗邻道路的类型与等级</v>
      </c>
      <c r="AA32" s="1808">
        <f t="shared" si="3"/>
        <v>1</v>
      </c>
      <c r="AB32" s="1808">
        <f t="shared" si="4"/>
        <v>1</v>
      </c>
      <c r="AC32" s="1808">
        <f t="shared" si="5"/>
        <v>1</v>
      </c>
    </row>
    <row r="33" spans="1:29" ht="15">
      <c r="A33" s="428"/>
      <c r="B33" s="456"/>
      <c r="C33" s="447"/>
      <c r="D33" s="448"/>
      <c r="E33" s="2609"/>
      <c r="F33" s="448"/>
      <c r="G33" s="2609"/>
      <c r="H33" s="448"/>
      <c r="I33" s="447"/>
      <c r="J33" s="448"/>
      <c r="K33" s="613"/>
      <c r="L33" s="1138"/>
      <c r="M33" s="1129"/>
      <c r="N33" s="1129"/>
      <c r="O33" s="1137"/>
      <c r="P33" s="3132"/>
      <c r="Q33" s="1807"/>
      <c r="R33" s="774"/>
      <c r="S33" s="775"/>
      <c r="T33" s="774"/>
      <c r="U33" s="775"/>
      <c r="V33" s="774"/>
      <c r="W33" s="775"/>
      <c r="X33" s="1810"/>
      <c r="Y33" s="3132"/>
      <c r="Z33" s="1811"/>
      <c r="AA33" s="1808">
        <v>1</v>
      </c>
      <c r="AB33" s="1808">
        <v>1</v>
      </c>
      <c r="AC33" s="1808">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32"/>
      <c r="Q34" s="1807" t="str">
        <f t="shared" si="8"/>
        <v>土地级别</v>
      </c>
      <c r="R34" s="774" t="s">
        <v>17</v>
      </c>
      <c r="S34" s="775">
        <f t="shared" si="10"/>
        <v>100</v>
      </c>
      <c r="T34" s="774" t="s">
        <v>17</v>
      </c>
      <c r="U34" s="775">
        <f t="shared" si="11"/>
        <v>100</v>
      </c>
      <c r="V34" s="774" t="s">
        <v>17</v>
      </c>
      <c r="W34" s="775">
        <f t="shared" si="12"/>
        <v>100</v>
      </c>
      <c r="X34" s="1810"/>
      <c r="Y34" s="3132"/>
      <c r="Z34" s="1811" t="str">
        <f t="shared" si="13"/>
        <v>土地级别</v>
      </c>
      <c r="AA34" s="1808">
        <f t="shared" si="3"/>
        <v>1</v>
      </c>
      <c r="AB34" s="1808">
        <f t="shared" si="4"/>
        <v>1</v>
      </c>
      <c r="AC34" s="1808">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32"/>
      <c r="Q35" s="1807">
        <f t="shared" si="8"/>
        <v>111</v>
      </c>
      <c r="R35" s="774" t="s">
        <v>17</v>
      </c>
      <c r="S35" s="775">
        <f t="shared" si="10"/>
        <v>100</v>
      </c>
      <c r="T35" s="774" t="s">
        <v>17</v>
      </c>
      <c r="U35" s="775">
        <f t="shared" si="11"/>
        <v>100</v>
      </c>
      <c r="V35" s="774" t="s">
        <v>17</v>
      </c>
      <c r="W35" s="775">
        <f t="shared" si="12"/>
        <v>100</v>
      </c>
      <c r="X35" s="1810"/>
      <c r="Y35" s="3132"/>
      <c r="Z35" s="1811">
        <f t="shared" si="13"/>
        <v>111</v>
      </c>
      <c r="AA35" s="1808">
        <f t="shared" si="3"/>
        <v>1</v>
      </c>
      <c r="AB35" s="1808">
        <f t="shared" si="4"/>
        <v>1</v>
      </c>
      <c r="AC35" s="1808">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88" t="s">
        <v>2559</v>
      </c>
      <c r="Q36" s="1807">
        <f t="shared" si="8"/>
        <v>111</v>
      </c>
      <c r="R36" s="774" t="s">
        <v>17</v>
      </c>
      <c r="S36" s="775">
        <f t="shared" si="10"/>
        <v>100</v>
      </c>
      <c r="T36" s="774" t="s">
        <v>17</v>
      </c>
      <c r="U36" s="775">
        <f t="shared" si="11"/>
        <v>100</v>
      </c>
      <c r="V36" s="774" t="s">
        <v>17</v>
      </c>
      <c r="W36" s="775">
        <f t="shared" si="12"/>
        <v>100</v>
      </c>
      <c r="X36" s="1810"/>
      <c r="Y36" s="3136" t="s">
        <v>2559</v>
      </c>
      <c r="Z36" s="1811">
        <f t="shared" si="13"/>
        <v>111</v>
      </c>
      <c r="AA36" s="1808">
        <f t="shared" si="3"/>
        <v>1</v>
      </c>
      <c r="AB36" s="1808">
        <f t="shared" si="4"/>
        <v>1</v>
      </c>
      <c r="AC36" s="1808">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36"/>
      <c r="Q37" s="1807">
        <f t="shared" si="8"/>
        <v>111</v>
      </c>
      <c r="R37" s="777" t="s">
        <v>17</v>
      </c>
      <c r="S37" s="778">
        <f t="shared" si="10"/>
        <v>100</v>
      </c>
      <c r="T37" s="777" t="s">
        <v>17</v>
      </c>
      <c r="U37" s="778">
        <f t="shared" si="11"/>
        <v>100</v>
      </c>
      <c r="V37" s="777" t="s">
        <v>17</v>
      </c>
      <c r="W37" s="778">
        <f t="shared" si="12"/>
        <v>100</v>
      </c>
      <c r="X37" s="779"/>
      <c r="Y37" s="3136"/>
      <c r="Z37" s="780">
        <f t="shared" si="13"/>
        <v>111</v>
      </c>
      <c r="AA37" s="1808">
        <f t="shared" si="3"/>
        <v>1</v>
      </c>
      <c r="AB37" s="1808">
        <f t="shared" si="4"/>
        <v>1</v>
      </c>
      <c r="AC37" s="1808">
        <f t="shared" si="5"/>
        <v>1</v>
      </c>
    </row>
    <row r="38" spans="1:29" ht="15">
      <c r="A38" s="472" t="s">
        <v>2557</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36"/>
      <c r="Q38" s="1807" t="str">
        <f>B38</f>
        <v>宗地面积</v>
      </c>
      <c r="R38" s="774" t="s">
        <v>17</v>
      </c>
      <c r="S38" s="775" t="e">
        <f t="shared" si="10"/>
        <v>#N/A</v>
      </c>
      <c r="T38" s="774" t="s">
        <v>17</v>
      </c>
      <c r="U38" s="775" t="e">
        <f t="shared" si="11"/>
        <v>#N/A</v>
      </c>
      <c r="V38" s="774" t="s">
        <v>17</v>
      </c>
      <c r="W38" s="775" t="e">
        <f t="shared" si="12"/>
        <v>#N/A</v>
      </c>
      <c r="X38" s="1810"/>
      <c r="Y38" s="3136"/>
      <c r="Z38" s="1811" t="str">
        <f t="shared" si="13"/>
        <v>宗地面积</v>
      </c>
      <c r="AA38" s="1808" t="e">
        <f t="shared" si="3"/>
        <v>#N/A</v>
      </c>
      <c r="AB38" s="1808" t="e">
        <f t="shared" si="4"/>
        <v>#N/A</v>
      </c>
      <c r="AC38" s="1808" t="e">
        <f t="shared" si="5"/>
        <v>#N/A</v>
      </c>
    </row>
    <row r="39" spans="1:29" ht="15">
      <c r="A39" s="472"/>
      <c r="B39" s="422" t="s">
        <v>2745</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8"/>
      <c r="M39" s="1129"/>
      <c r="N39" s="1129"/>
      <c r="O39" s="1137"/>
      <c r="P39" s="3136"/>
      <c r="Q39" s="1807" t="str">
        <f t="shared" ref="Q39:Q45" si="14">B39</f>
        <v>宗地形状</v>
      </c>
      <c r="R39" s="774" t="s">
        <v>17</v>
      </c>
      <c r="S39" s="775">
        <f t="shared" si="10"/>
        <v>100</v>
      </c>
      <c r="T39" s="774" t="s">
        <v>17</v>
      </c>
      <c r="U39" s="775">
        <f t="shared" si="11"/>
        <v>100</v>
      </c>
      <c r="V39" s="774" t="s">
        <v>17</v>
      </c>
      <c r="W39" s="775">
        <f t="shared" si="12"/>
        <v>100</v>
      </c>
      <c r="X39" s="1810"/>
      <c r="Y39" s="3136"/>
      <c r="Z39" s="1811" t="str">
        <f t="shared" si="13"/>
        <v>宗地形状</v>
      </c>
      <c r="AA39" s="1808">
        <f t="shared" si="3"/>
        <v>1</v>
      </c>
      <c r="AB39" s="1808">
        <f t="shared" si="4"/>
        <v>1</v>
      </c>
      <c r="AC39" s="1808">
        <f t="shared" si="5"/>
        <v>1</v>
      </c>
    </row>
    <row r="40" spans="1:29" ht="15">
      <c r="A40" s="472"/>
      <c r="B40" s="422" t="s">
        <v>2746</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8"/>
      <c r="M40" s="1129"/>
      <c r="N40" s="1129"/>
      <c r="O40" s="1137"/>
      <c r="P40" s="3136"/>
      <c r="Q40" s="1807" t="str">
        <f t="shared" si="14"/>
        <v>临街宽度及深度</v>
      </c>
      <c r="R40" s="774" t="s">
        <v>17</v>
      </c>
      <c r="S40" s="775">
        <f t="shared" si="10"/>
        <v>100</v>
      </c>
      <c r="T40" s="774" t="s">
        <v>17</v>
      </c>
      <c r="U40" s="775">
        <f t="shared" si="11"/>
        <v>100</v>
      </c>
      <c r="V40" s="774" t="s">
        <v>17</v>
      </c>
      <c r="W40" s="775">
        <f t="shared" si="12"/>
        <v>100</v>
      </c>
      <c r="X40" s="1810"/>
      <c r="Y40" s="3136"/>
      <c r="Z40" s="1811" t="str">
        <f t="shared" si="13"/>
        <v>临街宽度及深度</v>
      </c>
      <c r="AA40" s="1808">
        <f t="shared" si="3"/>
        <v>1</v>
      </c>
      <c r="AB40" s="1808">
        <f t="shared" si="4"/>
        <v>1</v>
      </c>
      <c r="AC40" s="1808">
        <f t="shared" si="5"/>
        <v>1</v>
      </c>
    </row>
    <row r="41" spans="1:29" s="117" customFormat="1" ht="15">
      <c r="A41" s="473"/>
      <c r="B41" s="422" t="s">
        <v>2747</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0"/>
      <c r="M41" s="1131"/>
      <c r="N41" s="1131"/>
      <c r="O41" s="1132"/>
      <c r="P41" s="3136"/>
      <c r="Q41" s="1807" t="str">
        <f t="shared" si="14"/>
        <v>宗地开发程度</v>
      </c>
      <c r="R41" s="770" t="s">
        <v>17</v>
      </c>
      <c r="S41" s="771">
        <f t="shared" si="10"/>
        <v>100</v>
      </c>
      <c r="T41" s="770" t="s">
        <v>17</v>
      </c>
      <c r="U41" s="771">
        <f t="shared" si="11"/>
        <v>100</v>
      </c>
      <c r="V41" s="770" t="s">
        <v>17</v>
      </c>
      <c r="W41" s="771">
        <f t="shared" si="12"/>
        <v>100</v>
      </c>
      <c r="X41" s="772"/>
      <c r="Y41" s="3136"/>
      <c r="Z41" s="55" t="str">
        <f t="shared" si="13"/>
        <v>宗地开发程度</v>
      </c>
      <c r="AA41" s="773">
        <f t="shared" si="3"/>
        <v>1</v>
      </c>
      <c r="AB41" s="773">
        <f t="shared" si="4"/>
        <v>1</v>
      </c>
      <c r="AC41" s="773">
        <f t="shared" si="5"/>
        <v>1</v>
      </c>
    </row>
    <row r="42" spans="1:29" ht="15">
      <c r="A42" s="472"/>
      <c r="B42" s="422" t="s">
        <v>2748</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8"/>
      <c r="M42" s="1129"/>
      <c r="N42" s="1129"/>
      <c r="O42" s="1137"/>
      <c r="P42" s="3136" t="s">
        <v>2559</v>
      </c>
      <c r="Q42" s="1807" t="str">
        <f t="shared" si="14"/>
        <v>工程地质条件</v>
      </c>
      <c r="R42" s="774" t="s">
        <v>17</v>
      </c>
      <c r="S42" s="775">
        <f t="shared" si="10"/>
        <v>100</v>
      </c>
      <c r="T42" s="774" t="s">
        <v>17</v>
      </c>
      <c r="U42" s="775">
        <f t="shared" si="11"/>
        <v>100</v>
      </c>
      <c r="V42" s="774" t="s">
        <v>17</v>
      </c>
      <c r="W42" s="775">
        <f t="shared" si="12"/>
        <v>100</v>
      </c>
      <c r="X42" s="1810"/>
      <c r="Y42" s="3136" t="s">
        <v>2559</v>
      </c>
      <c r="Z42" s="1811" t="str">
        <f t="shared" si="13"/>
        <v>工程地质条件</v>
      </c>
      <c r="AA42" s="1808">
        <f t="shared" si="3"/>
        <v>1</v>
      </c>
      <c r="AB42" s="1808">
        <f t="shared" si="4"/>
        <v>1</v>
      </c>
      <c r="AC42" s="1808">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36"/>
      <c r="Q43" s="1807">
        <f t="shared" si="14"/>
        <v>111</v>
      </c>
      <c r="R43" s="774" t="s">
        <v>17</v>
      </c>
      <c r="S43" s="775">
        <f t="shared" si="10"/>
        <v>100</v>
      </c>
      <c r="T43" s="774" t="s">
        <v>17</v>
      </c>
      <c r="U43" s="775">
        <f t="shared" si="11"/>
        <v>100</v>
      </c>
      <c r="V43" s="774" t="s">
        <v>17</v>
      </c>
      <c r="W43" s="775">
        <f t="shared" si="12"/>
        <v>100</v>
      </c>
      <c r="X43" s="1810"/>
      <c r="Y43" s="3136"/>
      <c r="Z43" s="1811">
        <f t="shared" si="13"/>
        <v>111</v>
      </c>
      <c r="AA43" s="1808">
        <f t="shared" si="3"/>
        <v>1</v>
      </c>
      <c r="AB43" s="1808">
        <f t="shared" si="4"/>
        <v>1</v>
      </c>
      <c r="AC43" s="1808">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36"/>
      <c r="Q44" s="1807">
        <f t="shared" si="14"/>
        <v>111</v>
      </c>
      <c r="R44" s="774" t="s">
        <v>17</v>
      </c>
      <c r="S44" s="775">
        <f t="shared" si="10"/>
        <v>100</v>
      </c>
      <c r="T44" s="774" t="s">
        <v>17</v>
      </c>
      <c r="U44" s="775">
        <f t="shared" si="11"/>
        <v>100</v>
      </c>
      <c r="V44" s="774" t="s">
        <v>17</v>
      </c>
      <c r="W44" s="775">
        <f t="shared" si="12"/>
        <v>100</v>
      </c>
      <c r="X44" s="1810"/>
      <c r="Y44" s="3136"/>
      <c r="Z44" s="1811">
        <f t="shared" si="13"/>
        <v>111</v>
      </c>
      <c r="AA44" s="1808">
        <f t="shared" si="3"/>
        <v>1</v>
      </c>
      <c r="AB44" s="1808">
        <f t="shared" si="4"/>
        <v>1</v>
      </c>
      <c r="AC44" s="1808">
        <f t="shared" si="5"/>
        <v>1</v>
      </c>
    </row>
    <row r="45" spans="1:29" s="471" customFormat="1" ht="15.75" thickBot="1">
      <c r="A45" s="468"/>
      <c r="B45" s="1385">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36"/>
      <c r="Q45" s="1807">
        <f t="shared" si="14"/>
        <v>111</v>
      </c>
      <c r="R45" s="777" t="s">
        <v>17</v>
      </c>
      <c r="S45" s="778">
        <f t="shared" si="10"/>
        <v>100</v>
      </c>
      <c r="T45" s="777" t="s">
        <v>17</v>
      </c>
      <c r="U45" s="778">
        <f t="shared" si="11"/>
        <v>100</v>
      </c>
      <c r="V45" s="777" t="s">
        <v>17</v>
      </c>
      <c r="W45" s="778">
        <f t="shared" si="12"/>
        <v>100</v>
      </c>
      <c r="X45" s="779"/>
      <c r="Y45" s="3136"/>
      <c r="Z45" s="780">
        <f t="shared" si="13"/>
        <v>111</v>
      </c>
      <c r="AA45" s="1808">
        <f t="shared" si="3"/>
        <v>1</v>
      </c>
      <c r="AB45" s="1808">
        <f t="shared" si="4"/>
        <v>1</v>
      </c>
      <c r="AC45" s="1808">
        <f t="shared" si="5"/>
        <v>1</v>
      </c>
    </row>
    <row r="46" spans="1:29" ht="15">
      <c r="A46" s="479" t="s">
        <v>2714</v>
      </c>
      <c r="B46" s="2702" t="s">
        <v>2749</v>
      </c>
      <c r="C46" s="682" t="s">
        <v>1</v>
      </c>
      <c r="D46" s="481"/>
      <c r="E46" s="482"/>
      <c r="F46" s="483"/>
      <c r="G46" s="484"/>
      <c r="H46" s="485"/>
      <c r="I46" s="482"/>
      <c r="J46" s="485"/>
      <c r="K46" s="783"/>
      <c r="L46" s="1141"/>
      <c r="M46" s="1142"/>
      <c r="N46" s="1129"/>
      <c r="O46" s="1142"/>
      <c r="P46" s="3129" t="str">
        <f>A46</f>
        <v>成交单价</v>
      </c>
      <c r="Q46" s="3129"/>
      <c r="R46" s="3160">
        <f>E46</f>
        <v>0</v>
      </c>
      <c r="S46" s="3160"/>
      <c r="T46" s="3160">
        <f>G46</f>
        <v>0</v>
      </c>
      <c r="U46" s="3160"/>
      <c r="V46" s="3160">
        <f>I46</f>
        <v>0</v>
      </c>
      <c r="W46" s="3160"/>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1"/>
      <c r="M47" s="1142"/>
      <c r="N47" s="1142"/>
      <c r="O47" s="1142"/>
      <c r="P47" s="3129" t="str">
        <f>A47</f>
        <v>比较价值（元/平方米）</v>
      </c>
      <c r="Q47" s="3129"/>
      <c r="R47" s="3289" t="e">
        <f>ROUND(PRODUCT(R46,AA7:AA45),0)</f>
        <v>#DIV/0!</v>
      </c>
      <c r="S47" s="3289"/>
      <c r="T47" s="3289" t="e">
        <f>ROUND(PRODUCT(T46,AB7:AB45),0)</f>
        <v>#DIV/0!</v>
      </c>
      <c r="U47" s="3289"/>
      <c r="V47" s="3289" t="e">
        <f>ROUND(PRODUCT(V46,AC7:AC45),0)</f>
        <v>#DIV/0!</v>
      </c>
      <c r="W47" s="3289"/>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1"/>
      <c r="M48" s="1142"/>
      <c r="N48" s="1142"/>
      <c r="O48" s="1142"/>
      <c r="P48" s="3126" t="str">
        <f>A48</f>
        <v>估价对象XX用房的比较价值（楼面单价，元/平方米）</v>
      </c>
      <c r="Q48" s="3127"/>
      <c r="R48" s="3290" t="e">
        <f>ROUND(AVERAGE(R47:V47),0)</f>
        <v>#DIV/0!</v>
      </c>
      <c r="S48" s="3290"/>
      <c r="T48" s="3290"/>
      <c r="U48" s="3290"/>
      <c r="V48" s="3290"/>
      <c r="W48" s="3290"/>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2751</v>
      </c>
      <c r="B55" s="685" t="s">
        <v>2752</v>
      </c>
      <c r="C55" s="2703" t="s">
        <v>2753</v>
      </c>
      <c r="D55" s="2704" t="s">
        <v>2754</v>
      </c>
      <c r="E55" s="686" t="s">
        <v>2755</v>
      </c>
      <c r="F55" s="1105" t="s">
        <v>2756</v>
      </c>
      <c r="G55" s="3144" t="s">
        <v>2757</v>
      </c>
      <c r="H55" s="3291"/>
      <c r="I55" s="144" t="s">
        <v>2758</v>
      </c>
      <c r="J55" s="2705">
        <f>项目基本情况!F35</f>
        <v>0</v>
      </c>
      <c r="K55" s="2706" t="s">
        <v>2759</v>
      </c>
      <c r="L55" s="1104"/>
      <c r="M55" s="1142"/>
      <c r="N55" s="1142"/>
      <c r="O55" s="1142"/>
    </row>
    <row r="56" spans="1:15" s="692" customFormat="1">
      <c r="A56" s="688" t="s">
        <v>2760</v>
      </c>
      <c r="B56" s="689" t="e">
        <f>C48</f>
        <v>#DIV/0!</v>
      </c>
      <c r="C56" s="690">
        <v>1</v>
      </c>
      <c r="D56" s="1161">
        <v>1</v>
      </c>
      <c r="E56" s="690">
        <f>'数据-汇总表'!E8+'数据-汇总表'!E9</f>
        <v>5743.1999999999989</v>
      </c>
      <c r="F56" s="1101" t="e">
        <f t="shared" ref="F56:F65" si="15">ROUND(B56*E56/10000,0)</f>
        <v>#DIV/0!</v>
      </c>
      <c r="G56" s="3140"/>
      <c r="H56" s="3129"/>
      <c r="I56" s="1106">
        <v>1</v>
      </c>
      <c r="J56" s="1109">
        <v>1</v>
      </c>
      <c r="K56" s="1143"/>
      <c r="L56" s="939"/>
      <c r="M56" s="939"/>
      <c r="N56" s="939"/>
      <c r="O56" s="939"/>
    </row>
    <row r="57" spans="1:15" s="692" customFormat="1">
      <c r="A57" s="693" t="s">
        <v>2761</v>
      </c>
      <c r="B57" s="262" t="e">
        <f>ROUND($C$48*C57*D57,0)</f>
        <v>#DIV/0!</v>
      </c>
      <c r="C57" s="200">
        <f t="shared" ref="C57:C65" si="16">IF($C$55="北京市系数",I57,J57)</f>
        <v>0</v>
      </c>
      <c r="D57" s="1162">
        <v>0.25</v>
      </c>
      <c r="E57" s="694"/>
      <c r="F57" s="1101" t="e">
        <f t="shared" si="15"/>
        <v>#DIV/0!</v>
      </c>
      <c r="G57" s="3292" t="s">
        <v>2762</v>
      </c>
      <c r="H57" s="1102">
        <f>项目基本情况!B37</f>
        <v>0</v>
      </c>
      <c r="I57" s="1106">
        <f>SUMIF(修正!A45:A56,H57,修正!B45:B56)</f>
        <v>0</v>
      </c>
      <c r="J57" s="1110"/>
      <c r="K57" s="1142"/>
      <c r="L57" s="939"/>
      <c r="M57" s="939"/>
      <c r="N57" s="939"/>
      <c r="O57" s="939"/>
    </row>
    <row r="58" spans="1:15" s="692" customFormat="1">
      <c r="A58" s="693" t="s">
        <v>2763</v>
      </c>
      <c r="B58" s="262" t="e">
        <f t="shared" ref="B58:B65" si="17">ROUND($C$48*C58*D58,0)</f>
        <v>#DIV/0!</v>
      </c>
      <c r="C58" s="200">
        <f t="shared" si="16"/>
        <v>0</v>
      </c>
      <c r="D58" s="1162">
        <v>0.25</v>
      </c>
      <c r="E58" s="694"/>
      <c r="F58" s="1101" t="e">
        <f t="shared" si="15"/>
        <v>#DIV/0!</v>
      </c>
      <c r="G58" s="3292"/>
      <c r="H58" s="1102">
        <f>项目基本情况!B37</f>
        <v>0</v>
      </c>
      <c r="I58" s="1106">
        <f>SUMIF(修正!A45:A56,H58,修正!C45:C56)</f>
        <v>0</v>
      </c>
      <c r="J58" s="1110"/>
      <c r="K58" s="1143"/>
      <c r="L58" s="939"/>
      <c r="M58" s="939"/>
      <c r="N58" s="939"/>
      <c r="O58" s="939"/>
    </row>
    <row r="59" spans="1:15" s="692" customFormat="1">
      <c r="A59" s="693" t="s">
        <v>2764</v>
      </c>
      <c r="B59" s="262" t="e">
        <f t="shared" si="17"/>
        <v>#DIV/0!</v>
      </c>
      <c r="C59" s="200">
        <f t="shared" si="16"/>
        <v>0</v>
      </c>
      <c r="D59" s="1162">
        <v>0.25</v>
      </c>
      <c r="E59" s="694"/>
      <c r="F59" s="1101" t="e">
        <f t="shared" si="15"/>
        <v>#DIV/0!</v>
      </c>
      <c r="G59" s="3292"/>
      <c r="H59" s="1102">
        <f>项目基本情况!B37</f>
        <v>0</v>
      </c>
      <c r="I59" s="1106">
        <f>SUMIF(修正!A45:A56,H59,修正!D45:D56)</f>
        <v>0</v>
      </c>
      <c r="J59" s="1110"/>
      <c r="K59" s="1142"/>
      <c r="L59" s="939"/>
      <c r="M59" s="939"/>
      <c r="N59" s="939"/>
      <c r="O59" s="939"/>
    </row>
    <row r="60" spans="1:15" s="692" customFormat="1">
      <c r="A60" s="693" t="s">
        <v>2765</v>
      </c>
      <c r="B60" s="262" t="e">
        <f t="shared" si="17"/>
        <v>#DIV/0!</v>
      </c>
      <c r="C60" s="200">
        <f t="shared" si="16"/>
        <v>0</v>
      </c>
      <c r="D60" s="1162">
        <v>0.25</v>
      </c>
      <c r="E60" s="694"/>
      <c r="F60" s="1101" t="e">
        <f t="shared" si="15"/>
        <v>#DIV/0!</v>
      </c>
      <c r="G60" s="3292"/>
      <c r="H60" s="1102">
        <f>项目基本情况!B37</f>
        <v>0</v>
      </c>
      <c r="I60" s="1106">
        <f>SUMIF(修正!A45:A56,H60,修正!E45:E56)</f>
        <v>0</v>
      </c>
      <c r="J60" s="1110"/>
      <c r="K60" s="1143"/>
      <c r="L60" s="939"/>
      <c r="M60" s="939"/>
      <c r="N60" s="939"/>
      <c r="O60" s="939"/>
    </row>
    <row r="61" spans="1:15" s="692" customFormat="1">
      <c r="A61" s="693" t="s">
        <v>2766</v>
      </c>
      <c r="B61" s="262" t="e">
        <f t="shared" si="17"/>
        <v>#DIV/0!</v>
      </c>
      <c r="C61" s="200">
        <f t="shared" si="16"/>
        <v>0</v>
      </c>
      <c r="D61" s="1162">
        <v>0.25</v>
      </c>
      <c r="E61" s="261">
        <f>'数据-汇总表'!E11</f>
        <v>0</v>
      </c>
      <c r="F61" s="1101" t="e">
        <f t="shared" si="15"/>
        <v>#DIV/0!</v>
      </c>
      <c r="G61" s="2707" t="s">
        <v>2767</v>
      </c>
      <c r="H61" s="1102">
        <f>项目基本情况!C37</f>
        <v>0</v>
      </c>
      <c r="I61" s="1106">
        <f>SUMIF(修正!A45:A56,H61,修正!F45:F56)</f>
        <v>0</v>
      </c>
      <c r="J61" s="1110"/>
      <c r="K61" s="1142"/>
      <c r="L61" s="939"/>
      <c r="M61" s="939"/>
      <c r="N61" s="939"/>
      <c r="O61" s="939"/>
    </row>
    <row r="62" spans="1:15" s="692" customFormat="1">
      <c r="A62" s="693" t="s">
        <v>2768</v>
      </c>
      <c r="B62" s="262" t="e">
        <f t="shared" si="17"/>
        <v>#DIV/0!</v>
      </c>
      <c r="C62" s="200">
        <f t="shared" si="16"/>
        <v>0</v>
      </c>
      <c r="D62" s="1162">
        <v>0.25</v>
      </c>
      <c r="E62" s="261">
        <f>'数据-汇总表'!E12</f>
        <v>0</v>
      </c>
      <c r="F62" s="1101" t="e">
        <f t="shared" si="15"/>
        <v>#DIV/0!</v>
      </c>
      <c r="G62" s="1107" t="s">
        <v>2769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2770</v>
      </c>
      <c r="B63" s="262" t="e">
        <f t="shared" si="17"/>
        <v>#DIV/0!</v>
      </c>
      <c r="C63" s="200">
        <f t="shared" si="16"/>
        <v>0</v>
      </c>
      <c r="D63" s="1162">
        <v>0.25</v>
      </c>
      <c r="E63" s="261">
        <f>'数据-汇总表'!E13</f>
        <v>0</v>
      </c>
      <c r="F63" s="1101" t="e">
        <f t="shared" si="15"/>
        <v>#DIV/0!</v>
      </c>
      <c r="G63" s="1107" t="s">
        <v>2771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2772</v>
      </c>
      <c r="B64" s="262" t="e">
        <f t="shared" si="17"/>
        <v>#DIV/0!</v>
      </c>
      <c r="C64" s="200">
        <f t="shared" si="16"/>
        <v>0</v>
      </c>
      <c r="D64" s="1162">
        <v>0.25</v>
      </c>
      <c r="E64" s="261">
        <f>'数据-汇总表'!E14</f>
        <v>50189.399999998794</v>
      </c>
      <c r="F64" s="1101" t="e">
        <f t="shared" si="15"/>
        <v>#DIV/0!</v>
      </c>
      <c r="G64" s="2707" t="s">
        <v>2762</v>
      </c>
      <c r="H64" s="1102">
        <f>项目基本情况!B37</f>
        <v>0</v>
      </c>
      <c r="I64" s="1106">
        <f>SUMIF(修正!A45:A56,H64,修正!H45:H56)</f>
        <v>0</v>
      </c>
      <c r="J64" s="1110"/>
      <c r="K64" s="1143"/>
      <c r="L64" s="939"/>
      <c r="M64" s="939"/>
      <c r="N64" s="939"/>
      <c r="O64" s="939"/>
    </row>
    <row r="65" spans="1:17" s="692" customFormat="1" ht="15" thickBot="1">
      <c r="A65" s="693" t="s">
        <v>2773</v>
      </c>
      <c r="B65" s="262" t="e">
        <f t="shared" si="17"/>
        <v>#DIV/0!</v>
      </c>
      <c r="C65" s="200">
        <f t="shared" si="16"/>
        <v>0</v>
      </c>
      <c r="D65" s="1162">
        <v>0.25</v>
      </c>
      <c r="E65" s="261">
        <f>'数据-汇总表'!E15</f>
        <v>0</v>
      </c>
      <c r="F65" s="1101" t="e">
        <f t="shared" si="15"/>
        <v>#DIV/0!</v>
      </c>
      <c r="G65" s="2708" t="s">
        <v>2767</v>
      </c>
      <c r="H65" s="1112">
        <f>项目基本情况!C37</f>
        <v>0</v>
      </c>
      <c r="I65" s="1108">
        <f>SUMIF(修正!A45:A56,H65,修正!H45:H56)</f>
        <v>0</v>
      </c>
      <c r="J65" s="1111"/>
      <c r="K65" s="1142"/>
      <c r="L65" s="939"/>
      <c r="M65" s="939"/>
      <c r="N65" s="939"/>
      <c r="O65" s="939"/>
    </row>
    <row r="66" spans="1:17" s="692" customFormat="1" ht="13.5" thickBot="1">
      <c r="A66" s="695" t="s">
        <v>2774</v>
      </c>
      <c r="B66" s="696" t="s">
        <v>28</v>
      </c>
      <c r="C66" s="696" t="s">
        <v>29</v>
      </c>
      <c r="D66" s="696" t="s">
        <v>1026</v>
      </c>
      <c r="E66" s="696">
        <f>IF(B46="楼面地价",SUM(E56:E65),'数据-汇总表'!D3)</f>
        <v>55932.599999998791</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2668</v>
      </c>
      <c r="B69" s="759"/>
      <c r="C69" s="764"/>
      <c r="D69" s="764"/>
      <c r="E69" s="764"/>
      <c r="F69" s="765"/>
      <c r="G69" s="765"/>
      <c r="H69" s="764"/>
      <c r="I69" s="764"/>
      <c r="J69" s="1157"/>
      <c r="K69" s="1158"/>
      <c r="L69" s="1159"/>
      <c r="M69" s="1157"/>
      <c r="N69" s="1157"/>
      <c r="O69" s="1157"/>
      <c r="P69" s="503"/>
      <c r="Q69" s="504"/>
    </row>
    <row r="70" spans="1:17" s="508" customFormat="1" ht="15">
      <c r="A70" s="2709" t="s">
        <v>2775</v>
      </c>
      <c r="B70" s="1357"/>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7"/>
    </row>
    <row r="71" spans="1:17" s="117" customFormat="1" ht="30" customHeight="1">
      <c r="A71" s="2710" t="s">
        <v>2776</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5"/>
      <c r="N71" s="595"/>
      <c r="O71" s="1566"/>
      <c r="P71" s="504"/>
    </row>
    <row r="72" spans="1:17" s="117" customFormat="1" ht="15.75" thickBot="1">
      <c r="A72" s="515" t="s">
        <v>2579</v>
      </c>
      <c r="B72" s="516"/>
      <c r="C72" s="517"/>
      <c r="D72" s="518"/>
      <c r="E72" s="518"/>
      <c r="F72" s="518"/>
      <c r="G72" s="518"/>
      <c r="H72" s="518"/>
      <c r="I72" s="518"/>
      <c r="J72" s="518"/>
      <c r="K72" s="518"/>
      <c r="L72" s="518"/>
      <c r="M72" s="519"/>
      <c r="N72" s="518"/>
      <c r="O72" s="1160"/>
      <c r="P72" s="504"/>
      <c r="Q72" s="504"/>
    </row>
    <row r="73" spans="1:17" s="117" customFormat="1" ht="15">
      <c r="A73" s="521" t="s">
        <v>2544</v>
      </c>
      <c r="B73" s="510"/>
      <c r="C73" s="522" t="s">
        <v>2646</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2582</v>
      </c>
      <c r="B75" s="528" t="s">
        <v>2548</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2551</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2685</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2557</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2785</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2786</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2787</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2788</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2739</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44" t="s">
        <v>2640</v>
      </c>
      <c r="D4" s="3145"/>
      <c r="E4" s="3146" t="s">
        <v>2641</v>
      </c>
      <c r="F4" s="3147"/>
      <c r="G4" s="3144" t="s">
        <v>2642</v>
      </c>
      <c r="H4" s="3145"/>
      <c r="I4" s="3144" t="s">
        <v>2643</v>
      </c>
      <c r="J4" s="3145"/>
      <c r="K4" s="610" t="s">
        <v>2644</v>
      </c>
      <c r="L4" s="1128"/>
      <c r="M4" s="1129"/>
      <c r="N4" s="1129"/>
      <c r="O4" s="1129"/>
      <c r="P4" s="3148" t="s">
        <v>2645</v>
      </c>
      <c r="Q4" s="3149"/>
      <c r="R4" s="3154" t="s">
        <v>2641</v>
      </c>
      <c r="S4" s="3155"/>
      <c r="T4" s="3154" t="s">
        <v>2642</v>
      </c>
      <c r="U4" s="3155"/>
      <c r="V4" s="3160" t="s">
        <v>2643</v>
      </c>
      <c r="W4" s="3160"/>
      <c r="X4" s="1810"/>
      <c r="Y4" s="3154" t="s">
        <v>2645</v>
      </c>
      <c r="Z4" s="3155"/>
      <c r="AA4" s="3141" t="s">
        <v>2641</v>
      </c>
      <c r="AB4" s="3142" t="s">
        <v>2642</v>
      </c>
      <c r="AC4" s="3141" t="s">
        <v>2643</v>
      </c>
    </row>
    <row r="5" spans="1:29" ht="15">
      <c r="A5" s="404"/>
      <c r="B5" s="405"/>
      <c r="C5" s="3163" t="s">
        <v>2536</v>
      </c>
      <c r="D5" s="3164"/>
      <c r="E5" s="3170" t="s">
        <v>2537</v>
      </c>
      <c r="F5" s="3171"/>
      <c r="G5" s="3163" t="s">
        <v>2538</v>
      </c>
      <c r="H5" s="3164"/>
      <c r="I5" s="3163" t="s">
        <v>2539</v>
      </c>
      <c r="J5" s="3164"/>
      <c r="K5" s="610"/>
      <c r="L5" s="1128"/>
      <c r="M5" s="1129"/>
      <c r="N5" s="1129"/>
      <c r="O5" s="1129"/>
      <c r="P5" s="3150"/>
      <c r="Q5" s="3151"/>
      <c r="R5" s="3156"/>
      <c r="S5" s="3157"/>
      <c r="T5" s="3156"/>
      <c r="U5" s="3157"/>
      <c r="V5" s="3160"/>
      <c r="W5" s="3160"/>
      <c r="X5" s="1810"/>
      <c r="Y5" s="3156"/>
      <c r="Z5" s="3157"/>
      <c r="AA5" s="3142"/>
      <c r="AB5" s="3142"/>
      <c r="AC5" s="3142"/>
    </row>
    <row r="6" spans="1:29" ht="15.75" thickBot="1">
      <c r="A6" s="406"/>
      <c r="B6" s="407"/>
      <c r="C6" s="3293" t="s">
        <v>2790</v>
      </c>
      <c r="D6" s="3294"/>
      <c r="E6" s="3295" t="s">
        <v>2790</v>
      </c>
      <c r="F6" s="3296"/>
      <c r="G6" s="3293" t="s">
        <v>2790</v>
      </c>
      <c r="H6" s="3294"/>
      <c r="I6" s="3293" t="s">
        <v>2790</v>
      </c>
      <c r="J6" s="3294"/>
      <c r="K6" s="610" t="s">
        <v>2541</v>
      </c>
      <c r="L6" s="1128"/>
      <c r="M6" s="1129"/>
      <c r="N6" s="1129"/>
      <c r="O6" s="1129"/>
      <c r="P6" s="3152"/>
      <c r="Q6" s="3153"/>
      <c r="R6" s="3156"/>
      <c r="S6" s="3157"/>
      <c r="T6" s="3158"/>
      <c r="U6" s="3159"/>
      <c r="V6" s="3160"/>
      <c r="W6" s="3160"/>
      <c r="X6" s="1810"/>
      <c r="Y6" s="3158"/>
      <c r="Z6" s="3159"/>
      <c r="AA6" s="3143"/>
      <c r="AB6" s="3143"/>
      <c r="AC6" s="3143"/>
    </row>
    <row r="7" spans="1:29" s="117" customFormat="1" ht="15.75" thickBot="1">
      <c r="A7" s="408" t="s">
        <v>2542</v>
      </c>
      <c r="B7" s="409"/>
      <c r="C7" s="410">
        <f>'数据-取费表'!B2</f>
        <v>43494</v>
      </c>
      <c r="D7" s="411">
        <v>100</v>
      </c>
      <c r="E7" s="412"/>
      <c r="F7" s="413">
        <f>SUMIF(65:65,YEAR(E7)&amp;"-"&amp;INT((MONTH(E7)+2)/3),66:66)</f>
        <v>0</v>
      </c>
      <c r="G7" s="2694"/>
      <c r="H7" s="411">
        <f>SUMIF(65:65,YEAR(G7)&amp;"-"&amp;INT((MONTH(G7)+2)/3),66:66)</f>
        <v>0</v>
      </c>
      <c r="I7" s="2694"/>
      <c r="J7" s="411">
        <f>SUMIF(65:65,YEAR(I7)&amp;"-"&amp;INT((MONTH(I7)+2)/3),66:66)</f>
        <v>0</v>
      </c>
      <c r="K7" s="611"/>
      <c r="L7" s="1130"/>
      <c r="M7" s="1131"/>
      <c r="N7" s="1131"/>
      <c r="O7" s="1131"/>
      <c r="P7" s="3165" t="s">
        <v>2543</v>
      </c>
      <c r="Q7" s="3167"/>
      <c r="R7" s="770" t="s">
        <v>17</v>
      </c>
      <c r="S7" s="771">
        <f t="shared" ref="S7:S15" si="0">F7</f>
        <v>0</v>
      </c>
      <c r="T7" s="770" t="s">
        <v>17</v>
      </c>
      <c r="U7" s="771">
        <f t="shared" ref="U7:U15" si="1">H7</f>
        <v>0</v>
      </c>
      <c r="V7" s="770" t="s">
        <v>17</v>
      </c>
      <c r="W7" s="771">
        <f t="shared" ref="W7:W15" si="2">J7</f>
        <v>0</v>
      </c>
      <c r="X7" s="772"/>
      <c r="Y7" s="3165" t="s">
        <v>2543</v>
      </c>
      <c r="Z7" s="3166"/>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65" t="s">
        <v>2546</v>
      </c>
      <c r="Q8" s="3166"/>
      <c r="R8" s="770" t="s">
        <v>17</v>
      </c>
      <c r="S8" s="771">
        <f t="shared" si="0"/>
        <v>0</v>
      </c>
      <c r="T8" s="770" t="s">
        <v>17</v>
      </c>
      <c r="U8" s="771">
        <f t="shared" si="1"/>
        <v>0</v>
      </c>
      <c r="V8" s="770" t="s">
        <v>17</v>
      </c>
      <c r="W8" s="771">
        <f t="shared" si="2"/>
        <v>0</v>
      </c>
      <c r="X8" s="772"/>
      <c r="Y8" s="3165" t="s">
        <v>2546</v>
      </c>
      <c r="Z8" s="3166"/>
      <c r="AA8" s="773" t="e">
        <f t="shared" ref="AA8:AA40" si="3">D8/F8</f>
        <v>#DIV/0!</v>
      </c>
      <c r="AB8" s="773" t="e">
        <f t="shared" ref="AB8:AB40" si="4">D8/H8</f>
        <v>#DIV/0!</v>
      </c>
      <c r="AC8" s="773" t="e">
        <f t="shared" ref="AC8:AC40" si="5">D8/J8</f>
        <v>#DIV/0!</v>
      </c>
    </row>
    <row r="9" spans="1:29" s="117" customFormat="1">
      <c r="A9" s="415" t="s">
        <v>2547</v>
      </c>
      <c r="B9" s="71" t="s">
        <v>2548</v>
      </c>
      <c r="C9" s="2697"/>
      <c r="D9" s="135">
        <v>100</v>
      </c>
      <c r="E9" s="2697"/>
      <c r="F9" s="135">
        <f>SUMIF(70:70,E9,71:71)-SUMIF(70:70,C9,71:71)+100</f>
        <v>100</v>
      </c>
      <c r="G9" s="2697"/>
      <c r="H9" s="135">
        <f>SUMIF(70:70,G9,71:71)-SUMIF(70:70,C9,71:71)+100</f>
        <v>100</v>
      </c>
      <c r="I9" s="2697"/>
      <c r="J9" s="135">
        <f>SUMIF(70:70,I9,71:71)-SUMIF(70:70,C9,71:71)+100</f>
        <v>100</v>
      </c>
      <c r="K9" s="611"/>
      <c r="L9" s="1130"/>
      <c r="M9" s="1131"/>
      <c r="N9" s="1131"/>
      <c r="O9" s="1132"/>
      <c r="P9" s="3129" t="s">
        <v>2549</v>
      </c>
      <c r="Q9" s="1792" t="str">
        <f t="shared" ref="Q9:Q15" si="6">B9</f>
        <v>用途</v>
      </c>
      <c r="R9" s="770" t="s">
        <v>17</v>
      </c>
      <c r="S9" s="771">
        <f t="shared" si="0"/>
        <v>100</v>
      </c>
      <c r="T9" s="770" t="s">
        <v>17</v>
      </c>
      <c r="U9" s="771">
        <f t="shared" si="1"/>
        <v>100</v>
      </c>
      <c r="V9" s="770" t="s">
        <v>17</v>
      </c>
      <c r="W9" s="771">
        <f t="shared" si="2"/>
        <v>100</v>
      </c>
      <c r="X9" s="772"/>
      <c r="Y9" s="3047"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102</v>
      </c>
      <c r="G10" s="432"/>
      <c r="H10" s="136">
        <f>ROUND(100/'数据-取费表'!G16,0)</f>
        <v>102</v>
      </c>
      <c r="I10" s="432"/>
      <c r="J10" s="136">
        <f>ROUND(100/'数据-取费表'!G16,0)</f>
        <v>102</v>
      </c>
      <c r="K10" s="672"/>
      <c r="L10" s="1133"/>
      <c r="M10" s="1134"/>
      <c r="N10" s="1134"/>
      <c r="O10" s="1135"/>
      <c r="P10" s="3129"/>
      <c r="Q10" s="1792" t="str">
        <f t="shared" si="6"/>
        <v>土地使用年限（年）</v>
      </c>
      <c r="R10" s="770" t="s">
        <v>17</v>
      </c>
      <c r="S10" s="771">
        <f t="shared" si="0"/>
        <v>102</v>
      </c>
      <c r="T10" s="770" t="s">
        <v>17</v>
      </c>
      <c r="U10" s="771">
        <f t="shared" si="1"/>
        <v>102</v>
      </c>
      <c r="V10" s="770" t="s">
        <v>17</v>
      </c>
      <c r="W10" s="771">
        <f t="shared" si="2"/>
        <v>102</v>
      </c>
      <c r="X10" s="772"/>
      <c r="Y10" s="3047"/>
      <c r="Z10" s="55" t="str">
        <f t="shared" si="7"/>
        <v>土地使用年限（年）</v>
      </c>
      <c r="AA10" s="773">
        <f t="shared" si="3"/>
        <v>0.98039215686274506</v>
      </c>
      <c r="AB10" s="773">
        <f t="shared" si="4"/>
        <v>0.98039215686274506</v>
      </c>
      <c r="AC10" s="773">
        <f t="shared" si="5"/>
        <v>0.98039215686274506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29"/>
      <c r="Q11" s="1792"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29"/>
      <c r="Q12" s="1792">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29"/>
      <c r="Q13" s="1792">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29"/>
      <c r="Q14" s="1792">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57">
      <c r="A15" s="440" t="s">
        <v>2553</v>
      </c>
      <c r="B15" s="629" t="s">
        <v>2791</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31" t="s">
        <v>2554</v>
      </c>
      <c r="Q15" s="1807" t="str">
        <f t="shared" si="6"/>
        <v>产业集聚程度</v>
      </c>
      <c r="R15" s="774" t="s">
        <v>17</v>
      </c>
      <c r="S15" s="775">
        <f t="shared" si="0"/>
        <v>100</v>
      </c>
      <c r="T15" s="774" t="s">
        <v>17</v>
      </c>
      <c r="U15" s="775">
        <f t="shared" si="1"/>
        <v>100</v>
      </c>
      <c r="V15" s="774" t="s">
        <v>17</v>
      </c>
      <c r="W15" s="775">
        <f t="shared" si="2"/>
        <v>100</v>
      </c>
      <c r="X15" s="1810"/>
      <c r="Y15" s="3131" t="s">
        <v>2554</v>
      </c>
      <c r="Z15" s="1811" t="str">
        <f t="shared" si="7"/>
        <v>产业集聚程度</v>
      </c>
      <c r="AA15" s="1808">
        <f t="shared" si="3"/>
        <v>1</v>
      </c>
      <c r="AB15" s="1808">
        <f t="shared" si="4"/>
        <v>1</v>
      </c>
      <c r="AC15" s="1808">
        <f t="shared" si="5"/>
        <v>1</v>
      </c>
    </row>
    <row r="16" spans="1:29" ht="15">
      <c r="A16" s="428"/>
      <c r="B16" s="630"/>
      <c r="C16" s="447"/>
      <c r="D16" s="448"/>
      <c r="E16" s="2609"/>
      <c r="F16" s="448"/>
      <c r="G16" s="2609"/>
      <c r="H16" s="450"/>
      <c r="I16" s="2609"/>
      <c r="J16" s="448"/>
      <c r="K16" s="672"/>
      <c r="L16" s="1138"/>
      <c r="M16" s="1129"/>
      <c r="N16" s="1129"/>
      <c r="O16" s="1137"/>
      <c r="P16" s="3132"/>
      <c r="Q16" s="1807"/>
      <c r="R16" s="774"/>
      <c r="S16" s="775"/>
      <c r="T16" s="774"/>
      <c r="U16" s="775"/>
      <c r="V16" s="774"/>
      <c r="W16" s="775"/>
      <c r="X16" s="1810"/>
      <c r="Y16" s="3132"/>
      <c r="Z16" s="1811"/>
      <c r="AA16" s="1808">
        <v>1</v>
      </c>
      <c r="AB16" s="1808">
        <v>1</v>
      </c>
      <c r="AC16" s="1808">
        <v>1</v>
      </c>
    </row>
    <row r="17" spans="1:29" ht="85.5">
      <c r="A17" s="428"/>
      <c r="B17" s="631" t="s">
        <v>2703</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32"/>
      <c r="Q17" s="1807" t="str">
        <f>B17</f>
        <v>交通便捷度</v>
      </c>
      <c r="R17" s="774" t="s">
        <v>17</v>
      </c>
      <c r="S17" s="775">
        <f>F17</f>
        <v>100</v>
      </c>
      <c r="T17" s="774" t="s">
        <v>17</v>
      </c>
      <c r="U17" s="775">
        <f>H17</f>
        <v>100</v>
      </c>
      <c r="V17" s="774" t="s">
        <v>17</v>
      </c>
      <c r="W17" s="775">
        <f>J17</f>
        <v>100</v>
      </c>
      <c r="X17" s="1810"/>
      <c r="Y17" s="3132"/>
      <c r="Z17" s="1811" t="str">
        <f>Q17</f>
        <v>交通便捷度</v>
      </c>
      <c r="AA17" s="1808">
        <f t="shared" si="3"/>
        <v>1</v>
      </c>
      <c r="AB17" s="1808">
        <f t="shared" si="4"/>
        <v>1</v>
      </c>
      <c r="AC17" s="1808">
        <f t="shared" si="5"/>
        <v>1</v>
      </c>
    </row>
    <row r="18" spans="1:29" ht="15">
      <c r="A18" s="428"/>
      <c r="B18" s="632"/>
      <c r="C18" s="447"/>
      <c r="D18" s="448"/>
      <c r="E18" s="2603"/>
      <c r="F18" s="448"/>
      <c r="G18" s="2603"/>
      <c r="H18" s="448"/>
      <c r="I18" s="2602"/>
      <c r="J18" s="448"/>
      <c r="K18" s="672"/>
      <c r="L18" s="1138"/>
      <c r="M18" s="1129"/>
      <c r="N18" s="1129"/>
      <c r="O18" s="1137"/>
      <c r="P18" s="3132"/>
      <c r="Q18" s="1807"/>
      <c r="R18" s="774"/>
      <c r="S18" s="775"/>
      <c r="T18" s="774"/>
      <c r="U18" s="775"/>
      <c r="V18" s="774"/>
      <c r="W18" s="775"/>
      <c r="X18" s="1810"/>
      <c r="Y18" s="3132"/>
      <c r="Z18" s="1811"/>
      <c r="AA18" s="1808">
        <v>1</v>
      </c>
      <c r="AB18" s="1808">
        <v>1</v>
      </c>
      <c r="AC18" s="1808">
        <v>1</v>
      </c>
    </row>
    <row r="19" spans="1:29" ht="15">
      <c r="A19" s="428"/>
      <c r="B19" s="631" t="s">
        <v>2741</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32"/>
      <c r="Q19" s="1807" t="str">
        <f t="shared" ref="Q19:Q33" si="8">B19</f>
        <v>区域土地利用方向</v>
      </c>
      <c r="R19" s="774" t="s">
        <v>17</v>
      </c>
      <c r="S19" s="775">
        <f>F19</f>
        <v>100</v>
      </c>
      <c r="T19" s="774" t="s">
        <v>17</v>
      </c>
      <c r="U19" s="775">
        <f>H19</f>
        <v>100</v>
      </c>
      <c r="V19" s="774" t="s">
        <v>17</v>
      </c>
      <c r="W19" s="775">
        <f>J19</f>
        <v>100</v>
      </c>
      <c r="X19" s="1810"/>
      <c r="Y19" s="3132"/>
      <c r="Z19" s="1811" t="str">
        <f>Q19</f>
        <v>区域土地利用方向</v>
      </c>
      <c r="AA19" s="1808">
        <f t="shared" si="3"/>
        <v>1</v>
      </c>
      <c r="AB19" s="1808">
        <f t="shared" si="4"/>
        <v>1</v>
      </c>
      <c r="AC19" s="1808">
        <f t="shared" si="5"/>
        <v>1</v>
      </c>
    </row>
    <row r="20" spans="1:29" ht="15">
      <c r="A20" s="404"/>
      <c r="B20" s="632"/>
      <c r="C20" s="447"/>
      <c r="D20" s="448"/>
      <c r="E20" s="2603"/>
      <c r="F20" s="448"/>
      <c r="G20" s="2603"/>
      <c r="H20" s="448"/>
      <c r="I20" s="2603"/>
      <c r="J20" s="448"/>
      <c r="K20" s="807"/>
      <c r="L20" s="1138"/>
      <c r="M20" s="1129"/>
      <c r="N20" s="1129"/>
      <c r="O20" s="1137"/>
      <c r="P20" s="3132"/>
      <c r="Q20" s="1807"/>
      <c r="R20" s="774"/>
      <c r="S20" s="775"/>
      <c r="T20" s="774"/>
      <c r="U20" s="775"/>
      <c r="V20" s="774"/>
      <c r="W20" s="775"/>
      <c r="X20" s="1810"/>
      <c r="Y20" s="3132"/>
      <c r="Z20" s="1811"/>
      <c r="AA20" s="1808"/>
      <c r="AB20" s="1808"/>
      <c r="AC20" s="1808"/>
    </row>
    <row r="21" spans="1:29" ht="71.25">
      <c r="A21" s="404"/>
      <c r="B21" s="631" t="s">
        <v>2792</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32"/>
      <c r="Q21" s="1807" t="str">
        <f t="shared" si="8"/>
        <v>环境状况</v>
      </c>
      <c r="R21" s="774" t="s">
        <v>17</v>
      </c>
      <c r="S21" s="775">
        <f>F21</f>
        <v>100</v>
      </c>
      <c r="T21" s="774" t="s">
        <v>17</v>
      </c>
      <c r="U21" s="775">
        <f>H21</f>
        <v>100</v>
      </c>
      <c r="V21" s="774" t="s">
        <v>17</v>
      </c>
      <c r="W21" s="775">
        <f>J21</f>
        <v>100</v>
      </c>
      <c r="X21" s="1810"/>
      <c r="Y21" s="3132"/>
      <c r="Z21" s="1811" t="str">
        <f>Q21</f>
        <v>环境状况</v>
      </c>
      <c r="AA21" s="1808">
        <f t="shared" si="3"/>
        <v>1</v>
      </c>
      <c r="AB21" s="1808">
        <f t="shared" si="4"/>
        <v>1</v>
      </c>
      <c r="AC21" s="1808">
        <f t="shared" si="5"/>
        <v>1</v>
      </c>
    </row>
    <row r="22" spans="1:29" ht="15">
      <c r="A22" s="404"/>
      <c r="B22" s="632"/>
      <c r="C22" s="447"/>
      <c r="D22" s="448"/>
      <c r="E22" s="2609"/>
      <c r="F22" s="448"/>
      <c r="G22" s="2609"/>
      <c r="H22" s="448"/>
      <c r="I22" s="447"/>
      <c r="J22" s="448"/>
      <c r="K22" s="672"/>
      <c r="L22" s="1138"/>
      <c r="M22" s="1129"/>
      <c r="N22" s="1129"/>
      <c r="O22" s="1137"/>
      <c r="P22" s="3132"/>
      <c r="Q22" s="1807"/>
      <c r="R22" s="774"/>
      <c r="S22" s="775"/>
      <c r="T22" s="774"/>
      <c r="U22" s="775"/>
      <c r="V22" s="774"/>
      <c r="W22" s="775"/>
      <c r="X22" s="1810"/>
      <c r="Y22" s="3132"/>
      <c r="Z22" s="1811"/>
      <c r="AA22" s="1808">
        <v>1</v>
      </c>
      <c r="AB22" s="1808">
        <v>1</v>
      </c>
      <c r="AC22" s="1808">
        <v>1</v>
      </c>
    </row>
    <row r="23" spans="1:29" s="117" customFormat="1" ht="42.75">
      <c r="A23" s="649"/>
      <c r="B23" s="633" t="s">
        <v>2648</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32"/>
      <c r="Q23" s="1792" t="str">
        <f t="shared" si="8"/>
        <v>公共配套设施</v>
      </c>
      <c r="R23" s="770" t="s">
        <v>17</v>
      </c>
      <c r="S23" s="771">
        <f>F23</f>
        <v>100</v>
      </c>
      <c r="T23" s="770" t="s">
        <v>17</v>
      </c>
      <c r="U23" s="771">
        <f>H23</f>
        <v>100</v>
      </c>
      <c r="V23" s="770" t="s">
        <v>17</v>
      </c>
      <c r="W23" s="771">
        <f>J23</f>
        <v>100</v>
      </c>
      <c r="X23" s="772"/>
      <c r="Y23" s="3132"/>
      <c r="Z23" s="55" t="str">
        <f>Q23</f>
        <v>公共配套设施</v>
      </c>
      <c r="AA23" s="1808">
        <f>D23/F23</f>
        <v>1</v>
      </c>
      <c r="AB23" s="1808">
        <f>D23/H23</f>
        <v>1</v>
      </c>
      <c r="AC23" s="1808">
        <f>D23/J23</f>
        <v>1</v>
      </c>
    </row>
    <row r="24" spans="1:29" s="117" customFormat="1" ht="15">
      <c r="A24" s="649"/>
      <c r="B24" s="632"/>
      <c r="C24" s="2698"/>
      <c r="D24" s="448"/>
      <c r="E24" s="2609"/>
      <c r="F24" s="448"/>
      <c r="G24" s="2609"/>
      <c r="H24" s="448"/>
      <c r="I24" s="447"/>
      <c r="J24" s="448"/>
      <c r="K24" s="672"/>
      <c r="L24" s="1130"/>
      <c r="M24" s="1131"/>
      <c r="N24" s="1131"/>
      <c r="O24" s="1132"/>
      <c r="P24" s="3132"/>
      <c r="Q24" s="1792"/>
      <c r="R24" s="770"/>
      <c r="S24" s="771"/>
      <c r="T24" s="770"/>
      <c r="U24" s="771"/>
      <c r="V24" s="770"/>
      <c r="W24" s="771"/>
      <c r="X24" s="772"/>
      <c r="Y24" s="3132"/>
      <c r="Z24" s="55"/>
      <c r="AA24" s="773">
        <v>1</v>
      </c>
      <c r="AB24" s="773">
        <v>1</v>
      </c>
      <c r="AC24" s="773">
        <v>1</v>
      </c>
    </row>
    <row r="25" spans="1:29" s="117" customFormat="1" ht="28.5">
      <c r="A25" s="649"/>
      <c r="B25" s="633" t="s">
        <v>2649</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32"/>
      <c r="Q25" s="1792" t="str">
        <f t="shared" ref="Q25" si="9">B25</f>
        <v>基础设施水平</v>
      </c>
      <c r="R25" s="770" t="s">
        <v>17</v>
      </c>
      <c r="S25" s="771">
        <f>F25</f>
        <v>100</v>
      </c>
      <c r="T25" s="770" t="s">
        <v>17</v>
      </c>
      <c r="U25" s="771">
        <f>H25</f>
        <v>100</v>
      </c>
      <c r="V25" s="770" t="s">
        <v>17</v>
      </c>
      <c r="W25" s="771">
        <f>J25</f>
        <v>100</v>
      </c>
      <c r="X25" s="772"/>
      <c r="Y25" s="3132"/>
      <c r="Z25" s="55" t="str">
        <f>Q25</f>
        <v>基础设施水平</v>
      </c>
      <c r="AA25" s="1808">
        <f>D25/F25</f>
        <v>1</v>
      </c>
      <c r="AB25" s="1808">
        <f>D25/H25</f>
        <v>1</v>
      </c>
      <c r="AC25" s="1808">
        <f>D25/J25</f>
        <v>1</v>
      </c>
    </row>
    <row r="26" spans="1:29" s="117" customFormat="1" ht="15">
      <c r="A26" s="649"/>
      <c r="B26" s="632"/>
      <c r="C26" s="2698"/>
      <c r="D26" s="448"/>
      <c r="E26" s="2699"/>
      <c r="F26" s="448"/>
      <c r="G26" s="2699"/>
      <c r="H26" s="448"/>
      <c r="I26" s="2699"/>
      <c r="J26" s="448"/>
      <c r="K26" s="672"/>
      <c r="L26" s="1130"/>
      <c r="M26" s="1131"/>
      <c r="N26" s="1131"/>
      <c r="O26" s="1132"/>
      <c r="P26" s="3132"/>
      <c r="Q26" s="1792"/>
      <c r="R26" s="770"/>
      <c r="S26" s="771"/>
      <c r="T26" s="770"/>
      <c r="U26" s="771"/>
      <c r="V26" s="770"/>
      <c r="W26" s="771"/>
      <c r="X26" s="772"/>
      <c r="Y26" s="3132"/>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32"/>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32"/>
      <c r="Z27" s="1811" t="str">
        <f t="shared" ref="Z27:Z40" si="13">Q27</f>
        <v>临街状况</v>
      </c>
      <c r="AA27" s="1808">
        <f t="shared" si="3"/>
        <v>1</v>
      </c>
      <c r="AB27" s="1808">
        <f t="shared" si="4"/>
        <v>1</v>
      </c>
      <c r="AC27" s="1808">
        <f t="shared" si="5"/>
        <v>1</v>
      </c>
    </row>
    <row r="28" spans="1:29" ht="27">
      <c r="A28" s="428"/>
      <c r="B28" s="633" t="s">
        <v>2685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32"/>
      <c r="Q28" s="1807" t="str">
        <f t="shared" si="8"/>
        <v>毗邻道路的类型与等级</v>
      </c>
      <c r="R28" s="774" t="s">
        <v>17</v>
      </c>
      <c r="S28" s="775">
        <f t="shared" si="10"/>
        <v>100</v>
      </c>
      <c r="T28" s="774" t="s">
        <v>17</v>
      </c>
      <c r="U28" s="775">
        <f t="shared" si="11"/>
        <v>100</v>
      </c>
      <c r="V28" s="774" t="s">
        <v>17</v>
      </c>
      <c r="W28" s="775">
        <f t="shared" si="12"/>
        <v>100</v>
      </c>
      <c r="X28" s="1810"/>
      <c r="Y28" s="3132"/>
      <c r="Z28" s="1811" t="str">
        <f t="shared" si="13"/>
        <v>毗邻道路的类型与等级</v>
      </c>
      <c r="AA28" s="1808">
        <f t="shared" si="3"/>
        <v>1</v>
      </c>
      <c r="AB28" s="1808">
        <f t="shared" si="4"/>
        <v>1</v>
      </c>
      <c r="AC28" s="1808">
        <f t="shared" si="5"/>
        <v>1</v>
      </c>
    </row>
    <row r="29" spans="1:29" ht="15">
      <c r="A29" s="428"/>
      <c r="B29" s="632"/>
      <c r="C29" s="447"/>
      <c r="D29" s="448"/>
      <c r="E29" s="2609"/>
      <c r="F29" s="448"/>
      <c r="G29" s="2609"/>
      <c r="H29" s="448"/>
      <c r="I29" s="2609"/>
      <c r="J29" s="448"/>
      <c r="K29" s="613"/>
      <c r="L29" s="1138"/>
      <c r="M29" s="1129"/>
      <c r="N29" s="1129"/>
      <c r="O29" s="1137"/>
      <c r="P29" s="3132"/>
      <c r="Q29" s="1807"/>
      <c r="R29" s="774"/>
      <c r="S29" s="775"/>
      <c r="T29" s="774"/>
      <c r="U29" s="775"/>
      <c r="V29" s="774"/>
      <c r="W29" s="775"/>
      <c r="X29" s="1810"/>
      <c r="Y29" s="3132"/>
      <c r="Z29" s="1811"/>
      <c r="AA29" s="1808">
        <v>1</v>
      </c>
      <c r="AB29" s="1808">
        <v>1</v>
      </c>
      <c r="AC29" s="1808">
        <v>1</v>
      </c>
    </row>
    <row r="30" spans="1:29" ht="15">
      <c r="A30" s="428"/>
      <c r="B30" s="654" t="s">
        <v>2743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32"/>
      <c r="Q30" s="1807" t="str">
        <f t="shared" si="8"/>
        <v>土地级别</v>
      </c>
      <c r="R30" s="774" t="s">
        <v>17</v>
      </c>
      <c r="S30" s="775">
        <f t="shared" si="10"/>
        <v>100</v>
      </c>
      <c r="T30" s="774" t="s">
        <v>17</v>
      </c>
      <c r="U30" s="775">
        <f t="shared" si="11"/>
        <v>100</v>
      </c>
      <c r="V30" s="774" t="s">
        <v>17</v>
      </c>
      <c r="W30" s="775">
        <f t="shared" si="12"/>
        <v>100</v>
      </c>
      <c r="X30" s="1810"/>
      <c r="Y30" s="3132"/>
      <c r="Z30" s="1811" t="str">
        <f t="shared" si="13"/>
        <v>土地级别</v>
      </c>
      <c r="AA30" s="1808">
        <f t="shared" si="3"/>
        <v>1</v>
      </c>
      <c r="AB30" s="1808">
        <f t="shared" si="4"/>
        <v>1</v>
      </c>
      <c r="AC30" s="1808">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32"/>
      <c r="Q31" s="1807">
        <f t="shared" si="8"/>
        <v>111</v>
      </c>
      <c r="R31" s="774" t="s">
        <v>17</v>
      </c>
      <c r="S31" s="775">
        <f t="shared" si="10"/>
        <v>100</v>
      </c>
      <c r="T31" s="774" t="s">
        <v>17</v>
      </c>
      <c r="U31" s="775">
        <f t="shared" si="11"/>
        <v>100</v>
      </c>
      <c r="V31" s="774" t="s">
        <v>17</v>
      </c>
      <c r="W31" s="775">
        <f t="shared" si="12"/>
        <v>100</v>
      </c>
      <c r="X31" s="1810"/>
      <c r="Y31" s="3132"/>
      <c r="Z31" s="1811">
        <f t="shared" si="13"/>
        <v>111</v>
      </c>
      <c r="AA31" s="1808">
        <f t="shared" si="3"/>
        <v>1</v>
      </c>
      <c r="AB31" s="1808">
        <f t="shared" si="4"/>
        <v>1</v>
      </c>
      <c r="AC31" s="1808">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88" t="s">
        <v>2559</v>
      </c>
      <c r="Q32" s="1807">
        <f t="shared" si="8"/>
        <v>111</v>
      </c>
      <c r="R32" s="774" t="s">
        <v>17</v>
      </c>
      <c r="S32" s="775">
        <f t="shared" si="10"/>
        <v>100</v>
      </c>
      <c r="T32" s="774" t="s">
        <v>17</v>
      </c>
      <c r="U32" s="775">
        <f t="shared" si="11"/>
        <v>100</v>
      </c>
      <c r="V32" s="774" t="s">
        <v>17</v>
      </c>
      <c r="W32" s="775">
        <f t="shared" si="12"/>
        <v>100</v>
      </c>
      <c r="X32" s="1810"/>
      <c r="Y32" s="3136" t="s">
        <v>2559</v>
      </c>
      <c r="Z32" s="1811">
        <f t="shared" si="13"/>
        <v>111</v>
      </c>
      <c r="AA32" s="1808">
        <f t="shared" si="3"/>
        <v>1</v>
      </c>
      <c r="AB32" s="1808">
        <f t="shared" si="4"/>
        <v>1</v>
      </c>
      <c r="AC32" s="1808">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36"/>
      <c r="Q33" s="1807">
        <f t="shared" si="8"/>
        <v>111</v>
      </c>
      <c r="R33" s="777" t="s">
        <v>17</v>
      </c>
      <c r="S33" s="778">
        <f t="shared" si="10"/>
        <v>100</v>
      </c>
      <c r="T33" s="777" t="s">
        <v>17</v>
      </c>
      <c r="U33" s="778">
        <f t="shared" si="11"/>
        <v>100</v>
      </c>
      <c r="V33" s="777" t="s">
        <v>17</v>
      </c>
      <c r="W33" s="778">
        <f t="shared" si="12"/>
        <v>100</v>
      </c>
      <c r="X33" s="779"/>
      <c r="Y33" s="3136"/>
      <c r="Z33" s="780">
        <f t="shared" si="13"/>
        <v>111</v>
      </c>
      <c r="AA33" s="1808">
        <f t="shared" si="3"/>
        <v>1</v>
      </c>
      <c r="AB33" s="1808">
        <f t="shared" si="4"/>
        <v>1</v>
      </c>
      <c r="AC33" s="1808">
        <f t="shared" si="5"/>
        <v>1</v>
      </c>
    </row>
    <row r="34" spans="1:29" ht="15">
      <c r="A34" s="440" t="s">
        <v>2557</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36"/>
      <c r="Q34" s="1807" t="str">
        <f>B34</f>
        <v>宗地面积</v>
      </c>
      <c r="R34" s="774" t="s">
        <v>17</v>
      </c>
      <c r="S34" s="775" t="e">
        <f t="shared" si="10"/>
        <v>#N/A</v>
      </c>
      <c r="T34" s="774" t="s">
        <v>17</v>
      </c>
      <c r="U34" s="775" t="e">
        <f t="shared" si="11"/>
        <v>#N/A</v>
      </c>
      <c r="V34" s="774" t="s">
        <v>17</v>
      </c>
      <c r="W34" s="775" t="e">
        <f t="shared" si="12"/>
        <v>#N/A</v>
      </c>
      <c r="X34" s="1810"/>
      <c r="Y34" s="3136"/>
      <c r="Z34" s="1811" t="str">
        <f t="shared" si="13"/>
        <v>宗地面积</v>
      </c>
      <c r="AA34" s="1808" t="e">
        <f t="shared" si="3"/>
        <v>#N/A</v>
      </c>
      <c r="AB34" s="1808" t="e">
        <f t="shared" si="4"/>
        <v>#N/A</v>
      </c>
      <c r="AC34" s="1808" t="e">
        <f t="shared" si="5"/>
        <v>#N/A</v>
      </c>
    </row>
    <row r="35" spans="1:29" ht="15">
      <c r="A35" s="472"/>
      <c r="B35" s="422" t="s">
        <v>2745</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8"/>
      <c r="M35" s="1129"/>
      <c r="N35" s="1129"/>
      <c r="O35" s="1137"/>
      <c r="P35" s="3136"/>
      <c r="Q35" s="1807" t="str">
        <f t="shared" ref="Q35:Q40" si="14">B35</f>
        <v>宗地形状</v>
      </c>
      <c r="R35" s="774" t="s">
        <v>17</v>
      </c>
      <c r="S35" s="775">
        <f t="shared" si="10"/>
        <v>100</v>
      </c>
      <c r="T35" s="774" t="s">
        <v>17</v>
      </c>
      <c r="U35" s="775">
        <f t="shared" si="11"/>
        <v>100</v>
      </c>
      <c r="V35" s="774" t="s">
        <v>17</v>
      </c>
      <c r="W35" s="775">
        <f t="shared" si="12"/>
        <v>100</v>
      </c>
      <c r="X35" s="1810"/>
      <c r="Y35" s="3136"/>
      <c r="Z35" s="1811" t="str">
        <f t="shared" si="13"/>
        <v>宗地形状</v>
      </c>
      <c r="AA35" s="1808">
        <f t="shared" si="3"/>
        <v>1</v>
      </c>
      <c r="AB35" s="1808">
        <f t="shared" si="4"/>
        <v>1</v>
      </c>
      <c r="AC35" s="1808">
        <f t="shared" si="5"/>
        <v>1</v>
      </c>
    </row>
    <row r="36" spans="1:29" s="117" customFormat="1" ht="15">
      <c r="A36" s="473"/>
      <c r="B36" s="422" t="s">
        <v>2747</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0"/>
      <c r="M36" s="1131"/>
      <c r="N36" s="1131"/>
      <c r="O36" s="1132"/>
      <c r="P36" s="3136"/>
      <c r="Q36" s="1807" t="str">
        <f t="shared" si="14"/>
        <v>宗地开发程度</v>
      </c>
      <c r="R36" s="770" t="s">
        <v>17</v>
      </c>
      <c r="S36" s="771">
        <f t="shared" si="10"/>
        <v>100</v>
      </c>
      <c r="T36" s="770" t="s">
        <v>17</v>
      </c>
      <c r="U36" s="771">
        <f t="shared" si="11"/>
        <v>100</v>
      </c>
      <c r="V36" s="770" t="s">
        <v>17</v>
      </c>
      <c r="W36" s="771">
        <f t="shared" si="12"/>
        <v>100</v>
      </c>
      <c r="X36" s="772"/>
      <c r="Y36" s="3136"/>
      <c r="Z36" s="55" t="str">
        <f t="shared" si="13"/>
        <v>宗地开发程度</v>
      </c>
      <c r="AA36" s="773">
        <f t="shared" si="3"/>
        <v>1</v>
      </c>
      <c r="AB36" s="773">
        <f t="shared" si="4"/>
        <v>1</v>
      </c>
      <c r="AC36" s="773">
        <f t="shared" si="5"/>
        <v>1</v>
      </c>
    </row>
    <row r="37" spans="1:29" ht="15">
      <c r="A37" s="472"/>
      <c r="B37" s="422" t="s">
        <v>2748</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8"/>
      <c r="M37" s="1129"/>
      <c r="N37" s="1129"/>
      <c r="O37" s="1137"/>
      <c r="P37" s="3136" t="s">
        <v>2559</v>
      </c>
      <c r="Q37" s="1807" t="str">
        <f t="shared" si="14"/>
        <v>工程地质条件</v>
      </c>
      <c r="R37" s="774" t="s">
        <v>17</v>
      </c>
      <c r="S37" s="775">
        <f t="shared" si="10"/>
        <v>100</v>
      </c>
      <c r="T37" s="774" t="s">
        <v>17</v>
      </c>
      <c r="U37" s="775">
        <f t="shared" si="11"/>
        <v>100</v>
      </c>
      <c r="V37" s="774" t="s">
        <v>17</v>
      </c>
      <c r="W37" s="775">
        <f t="shared" si="12"/>
        <v>100</v>
      </c>
      <c r="X37" s="1810"/>
      <c r="Y37" s="3136" t="s">
        <v>2559</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36"/>
      <c r="Q38" s="1807">
        <f t="shared" si="14"/>
        <v>111</v>
      </c>
      <c r="R38" s="774" t="s">
        <v>17</v>
      </c>
      <c r="S38" s="775">
        <f t="shared" si="10"/>
        <v>100</v>
      </c>
      <c r="T38" s="774" t="s">
        <v>17</v>
      </c>
      <c r="U38" s="775">
        <f t="shared" si="11"/>
        <v>100</v>
      </c>
      <c r="V38" s="774" t="s">
        <v>17</v>
      </c>
      <c r="W38" s="775">
        <f t="shared" si="12"/>
        <v>100</v>
      </c>
      <c r="X38" s="1810"/>
      <c r="Y38" s="3136"/>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36"/>
      <c r="Q39" s="1807">
        <f t="shared" si="14"/>
        <v>111</v>
      </c>
      <c r="R39" s="774" t="s">
        <v>17</v>
      </c>
      <c r="S39" s="775">
        <f t="shared" si="10"/>
        <v>100</v>
      </c>
      <c r="T39" s="774" t="s">
        <v>17</v>
      </c>
      <c r="U39" s="775">
        <f t="shared" si="11"/>
        <v>100</v>
      </c>
      <c r="V39" s="774" t="s">
        <v>17</v>
      </c>
      <c r="W39" s="775">
        <f t="shared" si="12"/>
        <v>100</v>
      </c>
      <c r="X39" s="1810"/>
      <c r="Y39" s="3136"/>
      <c r="Z39" s="1811">
        <f t="shared" si="13"/>
        <v>111</v>
      </c>
      <c r="AA39" s="1808">
        <f t="shared" si="3"/>
        <v>1</v>
      </c>
      <c r="AB39" s="1808">
        <f t="shared" si="4"/>
        <v>1</v>
      </c>
      <c r="AC39" s="1808">
        <f t="shared" si="5"/>
        <v>1</v>
      </c>
    </row>
    <row r="40" spans="1:29" s="471" customFormat="1" ht="15.75" thickBot="1">
      <c r="A40" s="468"/>
      <c r="B40" s="1385">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36"/>
      <c r="Q40" s="1807">
        <f t="shared" si="14"/>
        <v>111</v>
      </c>
      <c r="R40" s="777" t="s">
        <v>17</v>
      </c>
      <c r="S40" s="778">
        <f t="shared" si="10"/>
        <v>100</v>
      </c>
      <c r="T40" s="777" t="s">
        <v>17</v>
      </c>
      <c r="U40" s="778">
        <f t="shared" si="11"/>
        <v>100</v>
      </c>
      <c r="V40" s="777" t="s">
        <v>17</v>
      </c>
      <c r="W40" s="778">
        <f t="shared" si="12"/>
        <v>100</v>
      </c>
      <c r="X40" s="779"/>
      <c r="Y40" s="3136"/>
      <c r="Z40" s="780">
        <f t="shared" si="13"/>
        <v>111</v>
      </c>
      <c r="AA40" s="1808">
        <f t="shared" si="3"/>
        <v>1</v>
      </c>
      <c r="AB40" s="1808">
        <f t="shared" si="4"/>
        <v>1</v>
      </c>
      <c r="AC40" s="1808">
        <f t="shared" si="5"/>
        <v>1</v>
      </c>
    </row>
    <row r="41" spans="1:29" ht="15">
      <c r="A41" s="479" t="s">
        <v>2714</v>
      </c>
      <c r="B41" s="2702" t="s">
        <v>2793</v>
      </c>
      <c r="C41" s="682" t="s">
        <v>1</v>
      </c>
      <c r="D41" s="481"/>
      <c r="E41" s="482"/>
      <c r="F41" s="483"/>
      <c r="G41" s="484"/>
      <c r="H41" s="485"/>
      <c r="I41" s="482"/>
      <c r="J41" s="485"/>
      <c r="K41" s="783"/>
      <c r="L41" s="1141"/>
      <c r="M41" s="1129"/>
      <c r="N41" s="1129"/>
      <c r="O41" s="1142"/>
      <c r="P41" s="3129" t="str">
        <f>A41</f>
        <v>成交单价</v>
      </c>
      <c r="Q41" s="3129"/>
      <c r="R41" s="3160">
        <f>E41</f>
        <v>0</v>
      </c>
      <c r="S41" s="3160"/>
      <c r="T41" s="3160">
        <f>G41</f>
        <v>0</v>
      </c>
      <c r="U41" s="3160"/>
      <c r="V41" s="3160">
        <f>I41</f>
        <v>0</v>
      </c>
      <c r="W41" s="3160"/>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1"/>
      <c r="M42" s="1129"/>
      <c r="N42" s="1129"/>
      <c r="O42" s="1142"/>
      <c r="P42" s="3129" t="str">
        <f>A42</f>
        <v>比较价值（元/平方米）</v>
      </c>
      <c r="Q42" s="3129"/>
      <c r="R42" s="3289" t="e">
        <f>ROUND(PRODUCT(R41,AA7:AA40),0)</f>
        <v>#DIV/0!</v>
      </c>
      <c r="S42" s="3289"/>
      <c r="T42" s="3289" t="e">
        <f>ROUND(PRODUCT(T41,AB7:AB40),0)</f>
        <v>#DIV/0!</v>
      </c>
      <c r="U42" s="3289"/>
      <c r="V42" s="3289" t="e">
        <f>ROUND(PRODUCT(V41,AC7:AC40),0)</f>
        <v>#DIV/0!</v>
      </c>
      <c r="W42" s="3289"/>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1"/>
      <c r="M43" s="1129"/>
      <c r="N43" s="1129"/>
      <c r="O43" s="1142"/>
      <c r="P43" s="3126" t="str">
        <f>A43</f>
        <v>估价对象XX用房的比较价值（楼面单价，元/平方米）</v>
      </c>
      <c r="Q43" s="3127"/>
      <c r="R43" s="3290" t="e">
        <f>ROUND(AVERAGE(R42:V42),0)</f>
        <v>#DIV/0!</v>
      </c>
      <c r="S43" s="3290"/>
      <c r="T43" s="3290"/>
      <c r="U43" s="3290"/>
      <c r="V43" s="3290"/>
      <c r="W43" s="3290"/>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2751</v>
      </c>
      <c r="B50" s="685" t="s">
        <v>2752</v>
      </c>
      <c r="C50" s="2703" t="s">
        <v>2753</v>
      </c>
      <c r="D50" s="2704" t="s">
        <v>2754</v>
      </c>
      <c r="E50" s="686" t="s">
        <v>2755</v>
      </c>
      <c r="F50" s="687" t="s">
        <v>2756</v>
      </c>
      <c r="G50" s="3144" t="s">
        <v>2757</v>
      </c>
      <c r="H50" s="3291"/>
      <c r="I50" s="1811" t="s">
        <v>2794</v>
      </c>
      <c r="J50" s="1811">
        <f>项目基本情况!F35</f>
        <v>0</v>
      </c>
      <c r="K50" s="2706" t="s">
        <v>2759</v>
      </c>
      <c r="L50" s="1104"/>
      <c r="M50" s="1142"/>
      <c r="N50" s="1142"/>
      <c r="O50" s="1142"/>
    </row>
    <row r="51" spans="1:17" s="692" customFormat="1">
      <c r="A51" s="688" t="s">
        <v>2760</v>
      </c>
      <c r="B51" s="689" t="e">
        <f>C43</f>
        <v>#DIV/0!</v>
      </c>
      <c r="C51" s="690">
        <v>1</v>
      </c>
      <c r="D51" s="1161">
        <v>1</v>
      </c>
      <c r="E51" s="690">
        <f>'数据-汇总表'!E8+'数据-汇总表'!E9</f>
        <v>5743.1999999999989</v>
      </c>
      <c r="F51" s="691" t="e">
        <f t="shared" ref="F51:F60" si="15">ROUND(B51*E51/10000,0)</f>
        <v>#DIV/0!</v>
      </c>
      <c r="G51" s="3140"/>
      <c r="H51" s="3129"/>
      <c r="I51" s="940">
        <v>1</v>
      </c>
      <c r="J51" s="940">
        <v>1</v>
      </c>
      <c r="K51" s="1143"/>
      <c r="L51" s="939"/>
      <c r="M51" s="939"/>
      <c r="N51" s="939"/>
      <c r="O51" s="939"/>
    </row>
    <row r="52" spans="1:17" s="692" customFormat="1">
      <c r="A52" s="693" t="s">
        <v>2761</v>
      </c>
      <c r="B52" s="262" t="e">
        <f>ROUND($C$43*C52*D52,0)</f>
        <v>#DIV/0!</v>
      </c>
      <c r="C52" s="200">
        <f t="shared" ref="C52:C60" si="16">IF($C$50="北京市系数",I52,J52)</f>
        <v>0</v>
      </c>
      <c r="D52" s="1162">
        <v>0.25</v>
      </c>
      <c r="E52" s="694"/>
      <c r="F52" s="691" t="e">
        <f t="shared" si="15"/>
        <v>#DIV/0!</v>
      </c>
      <c r="G52" s="3292" t="s">
        <v>2762</v>
      </c>
      <c r="H52" s="1102">
        <f>项目基本情况!B37</f>
        <v>0</v>
      </c>
      <c r="I52" s="940">
        <f>SUMIF(修正!A45:A56,H52,修正!B45:B56)</f>
        <v>0</v>
      </c>
      <c r="J52" s="941"/>
      <c r="K52" s="1142"/>
      <c r="L52" s="939"/>
      <c r="M52" s="939"/>
      <c r="N52" s="939"/>
      <c r="O52" s="939"/>
    </row>
    <row r="53" spans="1:17" s="692" customFormat="1">
      <c r="A53" s="693" t="s">
        <v>2763</v>
      </c>
      <c r="B53" s="262" t="e">
        <f t="shared" ref="B53:B60" si="17">ROUND($C$43*C53*D53,0)</f>
        <v>#DIV/0!</v>
      </c>
      <c r="C53" s="200">
        <f t="shared" si="16"/>
        <v>0</v>
      </c>
      <c r="D53" s="1162">
        <v>0.25</v>
      </c>
      <c r="E53" s="694"/>
      <c r="F53" s="691" t="e">
        <f t="shared" si="15"/>
        <v>#DIV/0!</v>
      </c>
      <c r="G53" s="3292"/>
      <c r="H53" s="1102">
        <f>项目基本情况!B37</f>
        <v>0</v>
      </c>
      <c r="I53" s="940">
        <f>SUMIF(修正!A45:A56,H53,修正!C45:C56)</f>
        <v>0</v>
      </c>
      <c r="J53" s="941"/>
      <c r="K53" s="1143"/>
      <c r="L53" s="939"/>
      <c r="M53" s="939"/>
      <c r="N53" s="939"/>
      <c r="O53" s="939"/>
    </row>
    <row r="54" spans="1:17" s="692" customFormat="1">
      <c r="A54" s="693" t="s">
        <v>2764</v>
      </c>
      <c r="B54" s="262" t="e">
        <f t="shared" si="17"/>
        <v>#DIV/0!</v>
      </c>
      <c r="C54" s="200">
        <f t="shared" si="16"/>
        <v>0</v>
      </c>
      <c r="D54" s="1162">
        <v>0.25</v>
      </c>
      <c r="E54" s="694"/>
      <c r="F54" s="691" t="e">
        <f t="shared" si="15"/>
        <v>#DIV/0!</v>
      </c>
      <c r="G54" s="3292"/>
      <c r="H54" s="1102">
        <f>项目基本情况!B37</f>
        <v>0</v>
      </c>
      <c r="I54" s="940">
        <f>SUMIF(修正!A45:A56,H54,修正!D45:D56)</f>
        <v>0</v>
      </c>
      <c r="J54" s="941"/>
      <c r="K54" s="1142"/>
      <c r="L54" s="939"/>
      <c r="M54" s="939"/>
      <c r="N54" s="939"/>
      <c r="O54" s="939"/>
    </row>
    <row r="55" spans="1:17" s="692" customFormat="1">
      <c r="A55" s="693" t="s">
        <v>2765</v>
      </c>
      <c r="B55" s="262" t="e">
        <f t="shared" si="17"/>
        <v>#DIV/0!</v>
      </c>
      <c r="C55" s="200">
        <f t="shared" si="16"/>
        <v>0</v>
      </c>
      <c r="D55" s="1162">
        <v>0.25</v>
      </c>
      <c r="E55" s="694"/>
      <c r="F55" s="691" t="e">
        <f t="shared" si="15"/>
        <v>#DIV/0!</v>
      </c>
      <c r="G55" s="3292"/>
      <c r="H55" s="1102">
        <f>项目基本情况!B37</f>
        <v>0</v>
      </c>
      <c r="I55" s="940">
        <f>SUMIF(修正!A45:A56,H55,修正!E45:E56)</f>
        <v>0</v>
      </c>
      <c r="J55" s="941"/>
      <c r="K55" s="1143"/>
      <c r="L55" s="939"/>
      <c r="M55" s="939"/>
      <c r="N55" s="939"/>
      <c r="O55" s="939"/>
    </row>
    <row r="56" spans="1:17" s="692" customFormat="1">
      <c r="A56" s="693" t="s">
        <v>2766</v>
      </c>
      <c r="B56" s="262" t="e">
        <f t="shared" si="17"/>
        <v>#DIV/0!</v>
      </c>
      <c r="C56" s="200">
        <f t="shared" si="16"/>
        <v>0</v>
      </c>
      <c r="D56" s="1162">
        <v>0.25</v>
      </c>
      <c r="E56" s="261">
        <f>'数据-汇总表'!E11</f>
        <v>0</v>
      </c>
      <c r="F56" s="691" t="e">
        <f t="shared" si="15"/>
        <v>#DIV/0!</v>
      </c>
      <c r="G56" s="2707" t="s">
        <v>2767</v>
      </c>
      <c r="H56" s="1102">
        <f>项目基本情况!C37</f>
        <v>0</v>
      </c>
      <c r="I56" s="940">
        <f>SUMIF(修正!A45:A56,H56,修正!F45:F56)</f>
        <v>0</v>
      </c>
      <c r="J56" s="941"/>
      <c r="K56" s="1142"/>
      <c r="L56" s="939"/>
      <c r="M56" s="939"/>
      <c r="N56" s="939"/>
      <c r="O56" s="939"/>
    </row>
    <row r="57" spans="1:17" s="692" customFormat="1">
      <c r="A57" s="693" t="s">
        <v>2768</v>
      </c>
      <c r="B57" s="262" t="e">
        <f t="shared" si="17"/>
        <v>#DIV/0!</v>
      </c>
      <c r="C57" s="200">
        <f t="shared" si="16"/>
        <v>0</v>
      </c>
      <c r="D57" s="1162">
        <v>0.25</v>
      </c>
      <c r="E57" s="261">
        <f>'数据-汇总表'!E12</f>
        <v>0</v>
      </c>
      <c r="F57" s="691"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2770</v>
      </c>
      <c r="B58" s="262" t="e">
        <f t="shared" si="17"/>
        <v>#DIV/0!</v>
      </c>
      <c r="C58" s="200">
        <f t="shared" si="16"/>
        <v>0</v>
      </c>
      <c r="D58" s="1162">
        <v>0.25</v>
      </c>
      <c r="E58" s="261">
        <f>'数据-汇总表'!E13</f>
        <v>0</v>
      </c>
      <c r="F58" s="691"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2772</v>
      </c>
      <c r="B59" s="262" t="e">
        <f t="shared" si="17"/>
        <v>#DIV/0!</v>
      </c>
      <c r="C59" s="200">
        <f t="shared" si="16"/>
        <v>0</v>
      </c>
      <c r="D59" s="1162">
        <v>0.25</v>
      </c>
      <c r="E59" s="261">
        <f>'数据-汇总表'!E14</f>
        <v>50189.399999998794</v>
      </c>
      <c r="F59" s="691" t="e">
        <f t="shared" si="15"/>
        <v>#DIV/0!</v>
      </c>
      <c r="G59" s="2707" t="s">
        <v>2762</v>
      </c>
      <c r="H59" s="1102">
        <f>项目基本情况!B37</f>
        <v>0</v>
      </c>
      <c r="I59" s="940">
        <f>SUMIF(修正!A45:A56,H59,修正!H45:H56)</f>
        <v>0</v>
      </c>
      <c r="J59" s="941"/>
      <c r="K59" s="1143"/>
      <c r="L59" s="939"/>
      <c r="M59" s="939"/>
      <c r="N59" s="939"/>
      <c r="O59" s="939"/>
    </row>
    <row r="60" spans="1:17" s="692" customFormat="1" ht="15" thickBot="1">
      <c r="A60" s="693" t="s">
        <v>2773</v>
      </c>
      <c r="B60" s="262" t="e">
        <f t="shared" si="17"/>
        <v>#DIV/0!</v>
      </c>
      <c r="C60" s="200">
        <f t="shared" si="16"/>
        <v>0</v>
      </c>
      <c r="D60" s="1162">
        <v>0.25</v>
      </c>
      <c r="E60" s="261">
        <f>'数据-汇总表'!E15</f>
        <v>0</v>
      </c>
      <c r="F60" s="691" t="e">
        <f t="shared" si="15"/>
        <v>#DIV/0!</v>
      </c>
      <c r="G60" s="2708" t="s">
        <v>2767</v>
      </c>
      <c r="H60" s="1112">
        <f>项目基本情况!C37</f>
        <v>0</v>
      </c>
      <c r="I60" s="940">
        <f>SUMIF(修正!A45:A56,H60,修正!H45:H56)</f>
        <v>0</v>
      </c>
      <c r="J60" s="941"/>
      <c r="K60" s="1142"/>
      <c r="L60" s="939"/>
      <c r="M60" s="939"/>
      <c r="N60" s="939"/>
      <c r="O60" s="939"/>
    </row>
    <row r="61" spans="1:17" s="692" customFormat="1" ht="15" thickBot="1">
      <c r="A61" s="695" t="s">
        <v>2774</v>
      </c>
      <c r="B61" s="696" t="s">
        <v>28</v>
      </c>
      <c r="C61" s="696" t="s">
        <v>29</v>
      </c>
      <c r="D61" s="696" t="s">
        <v>1026</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2668</v>
      </c>
      <c r="B64" s="759"/>
      <c r="C64" s="764"/>
      <c r="D64" s="764"/>
      <c r="E64" s="764"/>
      <c r="F64" s="765"/>
      <c r="G64" s="765"/>
      <c r="H64" s="764"/>
      <c r="I64" s="764"/>
      <c r="J64" s="764"/>
      <c r="K64" s="766"/>
      <c r="L64" s="767"/>
      <c r="M64" s="764"/>
      <c r="N64" s="764"/>
      <c r="O64" s="1157"/>
      <c r="P64" s="503"/>
      <c r="Q64" s="504"/>
    </row>
    <row r="65" spans="1:17" s="508" customFormat="1" ht="15">
      <c r="A65" s="2709" t="s">
        <v>2775</v>
      </c>
      <c r="B65" s="1357"/>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7"/>
    </row>
    <row r="66" spans="1:17" s="117" customFormat="1" ht="30.75" customHeight="1">
      <c r="A66" s="2714" t="s">
        <v>2795</v>
      </c>
      <c r="B66" s="332" t="str">
        <f>"北京市平均增长率"&amp;TEXT(基准地价修正!P24,"0.00%")</f>
        <v>北京市平均增长率1.42%</v>
      </c>
      <c r="C66" s="603">
        <v>100</v>
      </c>
      <c r="D66" s="595"/>
      <c r="E66" s="595"/>
      <c r="F66" s="595"/>
      <c r="G66" s="595"/>
      <c r="H66" s="595"/>
      <c r="I66" s="595"/>
      <c r="J66" s="595"/>
      <c r="K66" s="595"/>
      <c r="L66" s="595"/>
      <c r="M66" s="1565"/>
      <c r="N66" s="1565"/>
      <c r="O66" s="1567"/>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2582</v>
      </c>
      <c r="B70" s="528" t="s">
        <v>2548</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2551</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2685</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2785</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2787</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2788</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40" sqref="C4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40" t="s">
        <v>2797</v>
      </c>
      <c r="B1" s="241"/>
      <c r="C1" s="245" t="s">
        <v>2798</v>
      </c>
      <c r="D1" s="388">
        <f>SUM(D29:D30,D33:D39)</f>
        <v>0</v>
      </c>
      <c r="E1" s="2715"/>
      <c r="F1" s="2715"/>
      <c r="G1" s="2715"/>
      <c r="H1" s="2715"/>
      <c r="I1" s="2715"/>
      <c r="J1" s="2715"/>
      <c r="K1" s="1368"/>
      <c r="L1" s="2716" t="s">
        <v>2799</v>
      </c>
      <c r="M1" s="1078">
        <f>SUMPRODUCT((区片价!B5:B9=I2)*(区片价!C3:F3=E2)*(区片价!C5:F9))</f>
        <v>0</v>
      </c>
      <c r="N1" s="1081">
        <f>SUMPRODUCT((因素修正幅度!B5:B9=I2)*(因素修正幅度!C3:F3=E2)*(因素修正幅度!C5:F9))</f>
        <v>0</v>
      </c>
      <c r="O1" s="2717"/>
      <c r="P1" s="2717"/>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5" t="s">
        <v>2805</v>
      </c>
      <c r="B2" s="248" t="e">
        <f>C26</f>
        <v>#DIV/0!</v>
      </c>
      <c r="C2" s="2719" t="s">
        <v>2806</v>
      </c>
      <c r="D2" s="2720" t="s">
        <v>2807</v>
      </c>
      <c r="E2" s="2721"/>
      <c r="F2" s="2720" t="s">
        <v>2808</v>
      </c>
      <c r="G2" s="2722">
        <f>IF(E2="商业",项目基本情况!B37,IF(E2="办公",项目基本情况!C37,IF(E2="住宅",项目基本情况!D37,项目基本情况!E37)))</f>
        <v>0</v>
      </c>
      <c r="H2" s="2720" t="s">
        <v>2809</v>
      </c>
      <c r="I2" s="2722">
        <f>IF(E2="商业",项目基本情况!B38,IF(E2="办公",项目基本情况!C38,IF(E2="住宅",项目基本情况!D38,项目基本情况!E38)))</f>
        <v>0</v>
      </c>
      <c r="J2" s="2723"/>
      <c r="K2" s="1368"/>
      <c r="L2" s="2724" t="s">
        <v>2810</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2811</v>
      </c>
      <c r="B3" s="248" t="e">
        <f>ROUND(B2*10000/D1,0)</f>
        <v>#DIV/0!</v>
      </c>
      <c r="C3" s="2719" t="s">
        <v>2812</v>
      </c>
      <c r="D3" s="2720" t="s">
        <v>2813</v>
      </c>
      <c r="E3" s="2725"/>
      <c r="F3" s="2726" t="s">
        <v>2814</v>
      </c>
      <c r="G3" s="911" t="e">
        <f>IF(F3="宗地容积率",'数据-汇总表'!I4,IF(F3="估价对象容积率",'数据-汇总表'!I6,'数据-汇总表'!I7))</f>
        <v>#DIV/0!</v>
      </c>
      <c r="H3" s="198" t="s">
        <v>2815</v>
      </c>
      <c r="I3" s="942"/>
      <c r="J3" s="2723" t="s">
        <v>2816</v>
      </c>
      <c r="K3" s="1368"/>
      <c r="L3" s="2724" t="s">
        <v>2817</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00"/>
      <c r="B4" s="3301"/>
      <c r="C4" s="3301"/>
      <c r="D4" s="3302"/>
      <c r="E4" s="3302"/>
      <c r="F4" s="3302"/>
      <c r="G4" s="3302"/>
      <c r="H4" s="3302"/>
      <c r="I4" s="3302"/>
      <c r="J4" s="3303"/>
      <c r="K4" s="1368"/>
      <c r="L4" s="2724" t="s">
        <v>2818</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2819</v>
      </c>
      <c r="C5" s="912" t="e">
        <f>ROUND(IF(E2="商业",IF(F16="增加",C6*C7+C16,C6*C7-C16),IF(E2="住宅",IF(F16="增加",C6*C12+C16,C6*C12-C16),IF(F16="增加",C6+C16,C6-C16))),0)</f>
        <v>#DIV/0!</v>
      </c>
      <c r="D5" s="1784" t="e">
        <f>ROUND(IF(F16="增加",C6+C16,C6-C16),0)</f>
        <v>#DIV/0!</v>
      </c>
      <c r="E5" s="1784"/>
      <c r="F5" s="2729"/>
      <c r="G5" s="2730"/>
      <c r="H5" s="2730"/>
      <c r="I5" s="2730"/>
      <c r="J5" s="2731"/>
      <c r="K5" s="2732"/>
      <c r="L5" s="2724" t="s">
        <v>2820</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2821</v>
      </c>
      <c r="B6" s="2738" t="s">
        <v>2822</v>
      </c>
      <c r="C6" s="913">
        <f>SUMIF(L1:L12,G2,M1:M12)</f>
        <v>0</v>
      </c>
      <c r="D6" s="2739" t="s">
        <v>2823</v>
      </c>
      <c r="E6" s="2740"/>
      <c r="F6" s="2740"/>
      <c r="G6" s="2741"/>
      <c r="H6" s="2741"/>
      <c r="I6" s="2741"/>
      <c r="J6" s="2742"/>
      <c r="K6" s="1839"/>
      <c r="L6" s="2724" t="s">
        <v>2824</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304" t="str">
        <f>IF(E2="商业",IF(C8="不临58条商业街","",2),"")</f>
        <v/>
      </c>
      <c r="B7" s="2743" t="s">
        <v>2825</v>
      </c>
      <c r="C7" s="914" t="e">
        <f>IF(C8="不临58条商业街",1,ROUND(1+(1.6*E8+1.2*E9+0.8*E10+0.4*E11)*C9,4))</f>
        <v>#DIV/0!</v>
      </c>
      <c r="D7" s="2744" t="s">
        <v>2826</v>
      </c>
      <c r="E7" s="943"/>
      <c r="F7" s="2745"/>
      <c r="G7" s="2746"/>
      <c r="H7" s="2746"/>
      <c r="I7" s="2746"/>
      <c r="J7" s="2747"/>
      <c r="K7" s="1839"/>
      <c r="L7" s="2724" t="s">
        <v>2827</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3" t="s">
        <v>2828</v>
      </c>
      <c r="X7" s="1602">
        <f>G2</f>
        <v>0</v>
      </c>
      <c r="Y7" s="1602" t="s">
        <v>2829</v>
      </c>
      <c r="Z7" s="1603" t="e">
        <f>G3</f>
        <v>#DIV/0!</v>
      </c>
      <c r="AA7" s="1604"/>
      <c r="AB7" s="1604"/>
      <c r="AC7" s="1605"/>
      <c r="AD7" s="1606"/>
      <c r="AE7" s="1606"/>
      <c r="AF7" s="1606"/>
      <c r="AG7" s="1606"/>
      <c r="AH7" s="1606"/>
      <c r="AI7" s="1606"/>
      <c r="AJ7" s="1607"/>
    </row>
    <row r="8" spans="1:36" ht="15">
      <c r="A8" s="3305"/>
      <c r="B8" s="198" t="s">
        <v>2830</v>
      </c>
      <c r="C8" s="2748"/>
      <c r="D8" s="915" t="s">
        <v>139</v>
      </c>
      <c r="E8" s="916" t="e">
        <f>ROUND(C11/E7,4)</f>
        <v>#DIV/0!</v>
      </c>
      <c r="F8" s="2749" t="s">
        <v>2831</v>
      </c>
      <c r="G8" s="2750"/>
      <c r="H8" s="2750"/>
      <c r="I8" s="2750"/>
      <c r="J8" s="2751"/>
      <c r="K8" s="1368"/>
      <c r="L8" s="2724"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97" t="s">
        <v>2833</v>
      </c>
      <c r="X8" s="3298"/>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305"/>
      <c r="B9" s="198" t="s">
        <v>2846</v>
      </c>
      <c r="C9" s="917">
        <f>SUMIF(修正!C59:C119,C8,修正!E59:E119)</f>
        <v>0</v>
      </c>
      <c r="D9" s="200" t="s">
        <v>140</v>
      </c>
      <c r="E9" s="200" t="e">
        <f>ROUND(C11/E7,4)</f>
        <v>#DIV/0!</v>
      </c>
      <c r="F9" s="2749" t="s">
        <v>2847</v>
      </c>
      <c r="G9" s="2750"/>
      <c r="H9" s="2750"/>
      <c r="I9" s="2750"/>
      <c r="J9" s="2751"/>
      <c r="K9" s="1368"/>
      <c r="L9" s="2724"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99" t="s">
        <v>2849</v>
      </c>
      <c r="X9" s="1609" t="s">
        <v>2850</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5"/>
      <c r="B10" s="198" t="s">
        <v>2851</v>
      </c>
      <c r="C10" s="200">
        <f>SUMIF(修正!C59:C119,C8,修正!F59:F119)</f>
        <v>0</v>
      </c>
      <c r="D10" s="200" t="s">
        <v>141</v>
      </c>
      <c r="E10" s="200" t="e">
        <f>ROUND(C11/E7,4)</f>
        <v>#DIV/0!</v>
      </c>
      <c r="F10" s="2749" t="s">
        <v>2852</v>
      </c>
      <c r="G10" s="2750"/>
      <c r="H10" s="2750"/>
      <c r="I10" s="2750"/>
      <c r="J10" s="2751"/>
      <c r="K10" s="1368"/>
      <c r="L10" s="2724"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9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5"/>
      <c r="B11" s="2752" t="s">
        <v>2854</v>
      </c>
      <c r="C11" s="918">
        <f>C10/4</f>
        <v>0</v>
      </c>
      <c r="D11" s="918" t="s">
        <v>142</v>
      </c>
      <c r="E11" s="918" t="e">
        <f>ROUND(C11/E7,4)</f>
        <v>#DIV/0!</v>
      </c>
      <c r="F11" s="2753" t="s">
        <v>2855</v>
      </c>
      <c r="G11" s="2754"/>
      <c r="H11" s="2754"/>
      <c r="I11" s="2754"/>
      <c r="J11" s="2755"/>
      <c r="K11" s="1368"/>
      <c r="L11" s="2724"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99" t="s">
        <v>2857</v>
      </c>
      <c r="X11" s="1612" t="s">
        <v>2858</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304" t="s">
        <v>2859</v>
      </c>
      <c r="B12" s="2756" t="s">
        <v>2860</v>
      </c>
      <c r="C12" s="914">
        <f>ROUND(C15*D15*E15*F15*G15*H15*I15*J15,4)</f>
        <v>1</v>
      </c>
      <c r="D12" s="2757" t="s">
        <v>2861</v>
      </c>
      <c r="E12" s="2758"/>
      <c r="F12" s="2758"/>
      <c r="G12" s="2759"/>
      <c r="H12" s="2759"/>
      <c r="I12" s="2759"/>
      <c r="J12" s="2760"/>
      <c r="K12" s="1368"/>
      <c r="L12" s="2761"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99"/>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06"/>
      <c r="B13" s="2762" t="s">
        <v>2864</v>
      </c>
      <c r="C13" s="2763" t="s">
        <v>2865</v>
      </c>
      <c r="D13" s="1805" t="s">
        <v>2866</v>
      </c>
      <c r="E13" s="1805" t="s">
        <v>2867</v>
      </c>
      <c r="F13" s="30" t="s">
        <v>2868</v>
      </c>
      <c r="G13" s="2764" t="s">
        <v>2869</v>
      </c>
      <c r="H13" s="2764" t="s">
        <v>2869</v>
      </c>
      <c r="I13" s="2764" t="s">
        <v>2869</v>
      </c>
      <c r="J13" s="2765" t="s">
        <v>2869</v>
      </c>
      <c r="K13" s="1368"/>
      <c r="L13" s="1368"/>
      <c r="M13" s="1368"/>
      <c r="N13" s="1368"/>
      <c r="O13" s="1368"/>
      <c r="P13" s="1368"/>
      <c r="Q13" s="1368"/>
      <c r="R13" s="1600">
        <v>12</v>
      </c>
      <c r="S13" s="1601"/>
      <c r="T13" s="1600" t="e">
        <f t="shared" si="0"/>
        <v>#DIV/0!</v>
      </c>
      <c r="U13" s="1601"/>
      <c r="V13" s="1600" t="e">
        <f t="shared" si="1"/>
        <v>#DIV/0!</v>
      </c>
      <c r="W13" s="3299"/>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306"/>
      <c r="B14" s="2766"/>
      <c r="C14" s="2767"/>
      <c r="D14" s="2768"/>
      <c r="E14" s="2768"/>
      <c r="F14" s="2769"/>
      <c r="G14" s="2770" t="s">
        <v>2870</v>
      </c>
      <c r="H14" s="2771"/>
      <c r="I14" s="2772"/>
      <c r="J14" s="2773"/>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07"/>
      <c r="B15" s="2774" t="s">
        <v>2871</v>
      </c>
      <c r="C15" s="229">
        <f>IF(C14="有",1.1,1)</f>
        <v>1</v>
      </c>
      <c r="D15" s="229">
        <f>IF(D14="有",1.1,1)</f>
        <v>1</v>
      </c>
      <c r="E15" s="229">
        <f>IF(E14="有",1.1,1)</f>
        <v>1</v>
      </c>
      <c r="F15" s="229">
        <f>IF(F14="500米范围内",1.2,IF(F14="500-1000米",1.1,1))</f>
        <v>1</v>
      </c>
      <c r="G15" s="944">
        <v>1</v>
      </c>
      <c r="H15" s="944">
        <v>1</v>
      </c>
      <c r="I15" s="944">
        <v>1</v>
      </c>
      <c r="J15" s="945">
        <v>1</v>
      </c>
      <c r="K15" s="1368"/>
      <c r="L15" s="2775" t="s">
        <v>2807</v>
      </c>
      <c r="M15" s="915" t="s">
        <v>2872</v>
      </c>
      <c r="N15" s="915" t="s">
        <v>2873</v>
      </c>
      <c r="O15" s="915" t="s">
        <v>2874</v>
      </c>
      <c r="P15" s="2776" t="s">
        <v>2875</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04" t="s">
        <v>2876</v>
      </c>
      <c r="B16" s="2743" t="s">
        <v>2877</v>
      </c>
      <c r="C16" s="1798" t="e">
        <f>ROUND(SUM(G17:J17)/C17,0)</f>
        <v>#DIV/0!</v>
      </c>
      <c r="D16" s="2777" t="s">
        <v>2878</v>
      </c>
      <c r="E16" s="2778"/>
      <c r="F16" s="2779"/>
      <c r="G16" s="2780"/>
      <c r="H16" s="2780"/>
      <c r="I16" s="2780"/>
      <c r="J16" s="2781"/>
      <c r="K16" s="1368"/>
      <c r="L16" s="2782" t="s">
        <v>2879</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05"/>
      <c r="B17" s="2783" t="s">
        <v>2880</v>
      </c>
      <c r="C17" s="919">
        <f>SUMPRODUCT((修正!A2:A5=E2)*(修正!B1:M1=G2)*(修正!B2:M5))</f>
        <v>0</v>
      </c>
      <c r="D17" s="2784" t="s">
        <v>2881</v>
      </c>
      <c r="E17" s="918" t="str">
        <f>IF(OR(G2="八级",G2="九级",G2="十级",G2="十一级",G2="十二级"),"五通一平","七通一平")</f>
        <v>七通一平</v>
      </c>
      <c r="F17" s="919" t="s">
        <v>2882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5" t="s">
        <v>2883</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2884</v>
      </c>
      <c r="C18" s="921">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809</v>
      </c>
      <c r="B19" s="2788" t="s">
        <v>2885</v>
      </c>
      <c r="C19" s="922" t="e">
        <f>ROUND(IF(H19="按公示增长率计算",SUMPRODUCT((地价!A3:A25=YEAR(G19)&amp;"-"&amp;ROUNDUP(MONTH(G19)/3,0))*(地价!X2:AB2=E2)*(地价!X3:AB25)),IF(H19="地价指数",M20/M19,(1+I19)^O19)),4)</f>
        <v>#DIV/0!</v>
      </c>
      <c r="D19" s="2795" t="s">
        <v>2886</v>
      </c>
      <c r="E19" s="923">
        <v>41640</v>
      </c>
      <c r="F19" s="2795" t="s">
        <v>2887</v>
      </c>
      <c r="G19" s="924">
        <f>'数据-取费表'!B2</f>
        <v>43494</v>
      </c>
      <c r="H19" s="2796" t="s">
        <v>2888</v>
      </c>
      <c r="I19" s="925" t="str">
        <f>IF(H19="季度增幅（自定义）",SUMIF(N21:N24,E2,O21:O24),"")</f>
        <v/>
      </c>
      <c r="J19" s="2793"/>
      <c r="K19" s="1375"/>
      <c r="L19" s="2797" t="s">
        <v>2889</v>
      </c>
      <c r="M19" s="1732">
        <f>ROUND(SUMIF(地价!B2:F2,E2,地价!B25:F25),0)</f>
        <v>0</v>
      </c>
      <c r="N19" s="2798" t="s">
        <v>2890</v>
      </c>
      <c r="O19" s="926">
        <f>ROUNDDOWN(DATEDIF(E19,G19,"M")/3,0)</f>
        <v>20</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2891</v>
      </c>
      <c r="C20" s="927" t="e">
        <f>ROUND(POWER(1+G20,J20-I20)*(POWER(1+G20,I20)-1)/(POWER(1+G20,J20)-1),4)</f>
        <v>#DIV/0!</v>
      </c>
      <c r="D20" s="2804" t="s">
        <v>2892</v>
      </c>
      <c r="E20" s="1766">
        <f ca="1">存贷款利率!D4/100</f>
        <v>4.3499999999999997E-2</v>
      </c>
      <c r="F20" s="2804" t="s">
        <v>2883</v>
      </c>
      <c r="G20" s="932">
        <f>SUMIF(M15:P15,E2,M17:P17)</f>
        <v>0</v>
      </c>
      <c r="H20" s="2804" t="s">
        <v>2893</v>
      </c>
      <c r="I20" s="933" t="e">
        <f>SUMIF('数据-取费表'!C6:C15,E2,'数据-取费表'!F6:F15)/COUNTIF('数据-取费表'!C6:C15,E2)</f>
        <v>#DIV/0!</v>
      </c>
      <c r="J20" s="934">
        <f>IF(E2="住宅",70,IF(E2="商业",40,50))</f>
        <v>50</v>
      </c>
      <c r="K20" s="1375"/>
      <c r="L20" s="2805" t="s">
        <v>2894</v>
      </c>
      <c r="M20" s="1733">
        <f>ROUND(SUMPRODUCT((地价!A4:A25=YEAR(G19)&amp;"-"&amp;ROUNDUP(MONTH(G19)/3,0))*(地价!B2:F2=E2)*(地价!B4:F25)),0)</f>
        <v>0</v>
      </c>
      <c r="N20" s="2806" t="s">
        <v>2895</v>
      </c>
      <c r="O20" s="2807" t="s">
        <v>2896</v>
      </c>
      <c r="P20" s="2808" t="s">
        <v>2897</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2898</v>
      </c>
      <c r="C21" s="935" t="e">
        <f>IF(B21="容积率修正",IF(G3&lt;=10,D22,J22),C23)</f>
        <v>#DIV/0!</v>
      </c>
      <c r="D21" s="2811"/>
      <c r="E21" s="2811"/>
      <c r="F21" s="2811"/>
      <c r="G21" s="2811"/>
      <c r="H21" s="2811"/>
      <c r="I21" s="2811"/>
      <c r="J21" s="2812"/>
      <c r="K21" s="1375"/>
      <c r="N21" s="2813" t="s">
        <v>2899</v>
      </c>
      <c r="O21" s="1559"/>
      <c r="P21" s="1560">
        <f>SUMPRODUCT((地价!A3:A25=YEAR(G19)&amp;"-"&amp;ROUNDUP(MONTH(G19)/3,0))*(地价!AD2:AH2=N21)*(地价!AD3:AH25))</f>
        <v>1.5100000000000001E-2</v>
      </c>
      <c r="R21" s="1374"/>
      <c r="S21" s="1374"/>
      <c r="T21" s="1369"/>
      <c r="U21" s="1369"/>
      <c r="V21" s="1369"/>
      <c r="W21" s="1368"/>
      <c r="X21" s="1368"/>
      <c r="Y21" s="1368"/>
      <c r="Z21" s="1375"/>
      <c r="AA21" s="1376"/>
      <c r="AB21" s="1376"/>
      <c r="AC21" s="1376"/>
      <c r="AD21" s="1376"/>
      <c r="AE21" s="1376"/>
      <c r="AF21" s="1376"/>
    </row>
    <row r="22" spans="1:37" s="2736" customFormat="1" ht="14.25">
      <c r="A22" s="2662" t="s">
        <v>2900</v>
      </c>
      <c r="B22" s="2814" t="s">
        <v>2901</v>
      </c>
      <c r="C22" s="1807" t="s">
        <v>2902</v>
      </c>
      <c r="D22" s="1807" t="e">
        <f>IF(E22=G22,F22,IF(G3&lt;=10,ROUND(F22+(H22-F22)*(G3-E22)/(G22-E22),4),"——"))</f>
        <v>#DIV/0!</v>
      </c>
      <c r="E22" s="911"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6" t="e">
        <f>IF(G3&gt;10,D113,"——")</f>
        <v>#DIV/0!</v>
      </c>
      <c r="K22" s="1375"/>
      <c r="N22" s="2813" t="s">
        <v>2903</v>
      </c>
      <c r="O22" s="1559"/>
      <c r="P22" s="1560">
        <f>SUMPRODUCT((地价!A3:A25=YEAR(G19)&amp;"-"&amp;ROUNDUP(MONTH(G19)/3,0))*(地价!AD2:AH2=N22)*(地价!AD3:AH25))</f>
        <v>1.5100000000000001E-2</v>
      </c>
      <c r="R22" s="1374"/>
      <c r="S22" s="1374"/>
      <c r="T22" s="1369"/>
      <c r="U22" s="1369"/>
      <c r="V22" s="1369"/>
      <c r="W22" s="1368"/>
      <c r="X22" s="1368"/>
      <c r="Y22" s="1368"/>
      <c r="Z22" s="1375"/>
      <c r="AA22" s="1376"/>
      <c r="AB22" s="1376"/>
      <c r="AC22" s="1376"/>
      <c r="AD22" s="1376"/>
      <c r="AE22" s="1376"/>
      <c r="AF22" s="1376"/>
    </row>
    <row r="23" spans="1:37" ht="27.75" thickBot="1">
      <c r="A23" s="2662" t="s">
        <v>2904</v>
      </c>
      <c r="B23" s="2815" t="s">
        <v>2905</v>
      </c>
      <c r="C23" s="1011" t="e">
        <f>ROUND(IF(G3&gt;1,IF(I3&lt;7,SUMPRODUCT((B93:B98=I3)*(C92:N92=G2)*(C93:N98)),SUMIF(C92:N92,G2,C100:N100)),IF(I3&lt;7,SUMPRODUCT((B102:B107=I3)*(C92:N92=G2)*(C102:N107)),SUMIF(C92:N92,G2,C109:N109))),4)</f>
        <v>#DIV/0!</v>
      </c>
      <c r="D23" s="2771"/>
      <c r="E23" s="2771"/>
      <c r="F23" s="2816"/>
      <c r="G23" s="2817"/>
      <c r="H23" s="2818"/>
      <c r="I23" s="2819"/>
      <c r="J23" s="2820"/>
      <c r="K23" s="1368"/>
      <c r="N23" s="2813" t="s">
        <v>2906</v>
      </c>
      <c r="O23" s="1559"/>
      <c r="P23" s="1560">
        <f>SUMPRODUCT((地价!A3:A25=YEAR(G19)&amp;"-"&amp;ROUNDUP(MONTH(G19)/3,0))*(地价!AD2:AH2=N23)*(地价!AD3:AH25))</f>
        <v>2.3400000000000001E-2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2907</v>
      </c>
      <c r="C24" s="922">
        <f>SUMIF(A45:A88,E2,B45:B88)</f>
        <v>0</v>
      </c>
      <c r="D24" s="2791"/>
      <c r="E24" s="2821"/>
      <c r="F24" s="2821"/>
      <c r="G24" s="2821"/>
      <c r="H24" s="2821"/>
      <c r="I24" s="2821"/>
      <c r="J24" s="2822"/>
      <c r="K24" s="1375"/>
      <c r="N24" s="2823" t="s">
        <v>2908</v>
      </c>
      <c r="O24" s="1561"/>
      <c r="P24" s="1562">
        <f>SUMPRODUCT((地价!A3:A25=YEAR(G19)&amp;"-"&amp;ROUNDUP(MONTH(G19)/3,0))*(地价!AD2:AH2=N24)*(地价!AD3:AH25))</f>
        <v>1.4200000000000001E-2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2909</v>
      </c>
      <c r="C25" s="928"/>
      <c r="D25" s="2746"/>
      <c r="E25" s="2746"/>
      <c r="F25" s="2825"/>
      <c r="G25" s="2746"/>
      <c r="H25" s="2746"/>
      <c r="I25" s="2746"/>
      <c r="J25" s="2747"/>
      <c r="K25" s="1368"/>
      <c r="N25" s="2826" t="s">
        <v>2910</v>
      </c>
      <c r="O25" s="1563"/>
      <c r="P25" s="1562">
        <f>SUMPRODUCT((地价!A3:A25=YEAR(G19)&amp;"-"&amp;ROUNDUP(MONTH(G19)/3,0))*(地价!AD2:AH2=N25)*(地价!AD3:AH25))</f>
        <v>2.1299999999999999E-2</v>
      </c>
      <c r="R25" s="1374"/>
      <c r="S25" s="1374"/>
      <c r="T25" s="1369"/>
      <c r="U25" s="1369"/>
      <c r="V25" s="1369"/>
      <c r="W25" s="1368"/>
      <c r="X25" s="1368"/>
      <c r="Y25" s="1368"/>
      <c r="Z25" s="1375"/>
      <c r="AA25" s="1376"/>
      <c r="AB25" s="1376"/>
      <c r="AC25" s="1376"/>
      <c r="AD25" s="1376"/>
    </row>
    <row r="26" spans="1:37" ht="15">
      <c r="A26" s="2827"/>
      <c r="B26" s="2814" t="s">
        <v>2911</v>
      </c>
      <c r="C26" s="206"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2912</v>
      </c>
      <c r="C27" s="929"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2913</v>
      </c>
      <c r="C28" s="2838" t="s">
        <v>2914</v>
      </c>
      <c r="D28" s="2838" t="s">
        <v>2915</v>
      </c>
      <c r="E28" s="2839" t="s">
        <v>2916</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2917</v>
      </c>
      <c r="C29" s="206" t="e">
        <f>ROUND(C5*C18*C19*C20*C21*C24,0)</f>
        <v>#DIV/0!</v>
      </c>
      <c r="D29" s="2843"/>
      <c r="E29" s="940" t="e">
        <f>ROUND(C29*D29/10000,0)</f>
        <v>#DIV/0!</v>
      </c>
      <c r="F29" s="2844" t="s">
        <v>2918</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2919</v>
      </c>
      <c r="C30" s="229" t="e">
        <f>ROUND(IF(E2="工业",C29*M39,C29*M38),0)</f>
        <v>#DIV/0!</v>
      </c>
      <c r="D30" s="2849"/>
      <c r="E30" s="940" t="e">
        <f>ROUND(C30*D30/10000,0)</f>
        <v>#DIV/0!</v>
      </c>
      <c r="F30" s="2850" t="s">
        <v>2920</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2921</v>
      </c>
      <c r="C31" s="2855" t="s">
        <v>2922</v>
      </c>
      <c r="D31" s="2759"/>
      <c r="E31" s="2855"/>
      <c r="F31" s="2855"/>
      <c r="G31" s="2757" t="s">
        <v>2923</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501" t="s">
        <v>2914</v>
      </c>
      <c r="D32" s="498" t="s">
        <v>2915</v>
      </c>
      <c r="E32" s="498" t="s">
        <v>2916</v>
      </c>
      <c r="F32" s="388" t="s">
        <v>2924</v>
      </c>
      <c r="G32" s="2858" t="s">
        <v>2914</v>
      </c>
      <c r="H32" s="2858" t="s">
        <v>2915</v>
      </c>
      <c r="I32" s="2858" t="s">
        <v>2916</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314" t="s">
        <v>2925</v>
      </c>
      <c r="B33" s="2859" t="s">
        <v>2926</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15"/>
      <c r="B34" s="2763" t="s">
        <v>2927</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15"/>
      <c r="B35" s="2763" t="s">
        <v>2928</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316"/>
      <c r="B36" s="2763" t="s">
        <v>2929</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2930</v>
      </c>
      <c r="C37" s="200" t="e">
        <f>ROUND(D5*C19*C20*C24*F37,0)</f>
        <v>#DIV/0!</v>
      </c>
      <c r="D37" s="2843"/>
      <c r="E37" s="200" t="e">
        <f t="shared" si="7"/>
        <v>#DIV/0!</v>
      </c>
      <c r="F37" s="206">
        <f>SUMIF(修正!A45:A56,G2,修正!F45:F56)</f>
        <v>0</v>
      </c>
      <c r="G37" s="200" t="e">
        <f>ROUND(IF(E2="工业",C37*$M$39,C37*$M$38),0)</f>
        <v>#DIV/0!</v>
      </c>
      <c r="H37" s="200">
        <f t="shared" si="8"/>
        <v>0</v>
      </c>
      <c r="I37" s="200" t="e">
        <f t="shared" si="9"/>
        <v>#DIV/0!</v>
      </c>
      <c r="J37" s="2860"/>
      <c r="K37" s="1368"/>
      <c r="L37" s="2862" t="s">
        <v>2931</v>
      </c>
      <c r="M37" s="2863"/>
      <c r="N37" s="1368"/>
      <c r="O37" s="1368"/>
      <c r="P37" s="1368"/>
      <c r="Q37" s="1368"/>
      <c r="R37" s="1368"/>
      <c r="S37" s="1368"/>
      <c r="T37" s="1368"/>
      <c r="U37" s="1368"/>
      <c r="V37" s="1368"/>
      <c r="W37" s="1368"/>
      <c r="X37" s="1368"/>
      <c r="Y37" s="1368"/>
      <c r="Z37" s="1369"/>
    </row>
    <row r="38" spans="1:37">
      <c r="A38" s="2861"/>
      <c r="B38" s="2763" t="s">
        <v>2932</v>
      </c>
      <c r="C38" s="200" t="e">
        <f>ROUND(D5*C19*C41*C24*F38,0)</f>
        <v>#DIV/0!</v>
      </c>
      <c r="D38" s="2843"/>
      <c r="E38" s="200" t="e">
        <f t="shared" si="7"/>
        <v>#DIV/0!</v>
      </c>
      <c r="F38" s="206">
        <f>SUMIF(修正!A45:A56,G2,修正!G45:G56)</f>
        <v>0</v>
      </c>
      <c r="G38" s="200" t="e">
        <f>ROUND(IF(E2="工业",C38*$M$39,C38*$M$38),0)</f>
        <v>#DIV/0!</v>
      </c>
      <c r="H38" s="200">
        <f t="shared" si="8"/>
        <v>0</v>
      </c>
      <c r="I38" s="200" t="e">
        <f t="shared" si="9"/>
        <v>#DIV/0!</v>
      </c>
      <c r="J38" s="2860"/>
      <c r="K38" s="1368"/>
      <c r="L38" s="1884" t="s">
        <v>2933</v>
      </c>
      <c r="M38" s="2864">
        <v>0.25</v>
      </c>
      <c r="N38" s="1368"/>
      <c r="O38" s="1368"/>
      <c r="P38" s="1368"/>
      <c r="Q38" s="1368"/>
      <c r="R38" s="1368"/>
      <c r="S38" s="1368"/>
      <c r="T38" s="1368"/>
      <c r="U38" s="1368"/>
      <c r="V38" s="1368"/>
      <c r="W38" s="1368"/>
      <c r="X38" s="1368"/>
      <c r="Y38" s="1368"/>
      <c r="Z38" s="1369"/>
    </row>
    <row r="39" spans="1:37" ht="13.5" thickBot="1">
      <c r="A39" s="2847"/>
      <c r="B39" s="2865" t="s">
        <v>2934</v>
      </c>
      <c r="C39" s="229" t="e">
        <f>ROUND(D5*C19*C41*C24*F39,0)</f>
        <v>#DIV/0!</v>
      </c>
      <c r="D39" s="2849"/>
      <c r="E39" s="229" t="e">
        <f t="shared" si="7"/>
        <v>#DIV/0!</v>
      </c>
      <c r="F39" s="930">
        <f>SUMIF(修正!A45:A56,G2,修正!H45:H56)</f>
        <v>0</v>
      </c>
      <c r="G39" s="229" t="e">
        <f>ROUND(IF(E2="工业",C39*$M$39,C39*$M$38),0)</f>
        <v>#DIV/0!</v>
      </c>
      <c r="H39" s="229">
        <f t="shared" si="8"/>
        <v>0</v>
      </c>
      <c r="I39" s="229" t="e">
        <f t="shared" si="9"/>
        <v>#DIV/0!</v>
      </c>
      <c r="J39" s="2866"/>
      <c r="K39" s="1368"/>
      <c r="L39" s="2867" t="s">
        <v>2875</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6" t="s">
        <v>3040</v>
      </c>
      <c r="C41" s="388" t="e">
        <f>ROUND(POWER(1+E41,H41-G41)*(POWER(1+E41,G41)-1)/(POWER(1+E41,H41)-1),4)</f>
        <v>#DIV/0!</v>
      </c>
      <c r="D41" s="200" t="s">
        <v>2883</v>
      </c>
      <c r="E41" s="2935">
        <f>G20</f>
        <v>0</v>
      </c>
      <c r="F41" s="200" t="s">
        <v>2893</v>
      </c>
      <c r="G41" s="218"/>
      <c r="H41" s="200">
        <v>50</v>
      </c>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2935</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2936</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2937</v>
      </c>
      <c r="B47" s="1806" t="s">
        <v>2938</v>
      </c>
      <c r="C47" s="1806" t="s">
        <v>2939</v>
      </c>
      <c r="D47" s="1806" t="s">
        <v>2940</v>
      </c>
      <c r="E47" s="814" t="s">
        <v>2941</v>
      </c>
      <c r="F47" s="2877" t="s">
        <v>2942</v>
      </c>
      <c r="G47" s="1806" t="s">
        <v>754</v>
      </c>
      <c r="H47" s="2878" t="s">
        <v>2943</v>
      </c>
      <c r="I47" s="1806" t="s">
        <v>2944</v>
      </c>
      <c r="J47" s="603" t="s">
        <v>2591</v>
      </c>
      <c r="K47" s="603" t="s">
        <v>2592</v>
      </c>
      <c r="L47" s="603" t="s">
        <v>2593</v>
      </c>
      <c r="M47" s="603" t="s">
        <v>2594</v>
      </c>
      <c r="N47" s="603" t="s">
        <v>2595</v>
      </c>
      <c r="AA47" s="1369"/>
      <c r="AB47" s="1369"/>
      <c r="AC47" s="1369"/>
      <c r="AD47" s="1369"/>
      <c r="AE47" s="1369"/>
      <c r="AF47" s="1369"/>
      <c r="AG47" s="1369"/>
      <c r="AH47" s="1369"/>
      <c r="AI47" s="1369"/>
      <c r="AJ47" s="1369"/>
      <c r="AK47" s="1369"/>
    </row>
    <row r="48" spans="1:37" s="1368" customFormat="1" ht="38.25">
      <c r="A48" s="2876" t="s">
        <v>2945</v>
      </c>
      <c r="B48" s="2879" t="str">
        <f>估价对象房地状况!C4</f>
        <v>估价对象周边商业氛围一般，人流量一般，商业繁华度一般</v>
      </c>
      <c r="C48" s="2768"/>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6" t="s">
        <v>2946</v>
      </c>
      <c r="B49" s="2880" t="str">
        <f>估价对象房地状况!C18</f>
        <v>估价对象周边道路状况、公共交通通达情况、停车便捷程度，综合评价交通便捷度较好</v>
      </c>
      <c r="C49" s="2768"/>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2947</v>
      </c>
      <c r="B50" s="2880">
        <f>估价对象房地状况!C19</f>
        <v>0</v>
      </c>
      <c r="C50" s="2768"/>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2948</v>
      </c>
      <c r="B51" s="2881" t="s">
        <v>2949</v>
      </c>
      <c r="C51" s="2768"/>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2950</v>
      </c>
      <c r="B52" s="2880">
        <f>估价对象房地状况!C24</f>
        <v>0</v>
      </c>
      <c r="C52" s="2768"/>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2951</v>
      </c>
      <c r="B53" s="2882" t="s">
        <v>2952</v>
      </c>
      <c r="C53" s="2768"/>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3" t="s">
        <v>2953</v>
      </c>
      <c r="B54" s="1723" t="str">
        <f>估价对象房地状况!C21</f>
        <v>估价对象所在区域公共配套设施齐备情况一般</v>
      </c>
      <c r="C54" s="2768"/>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3" t="s">
        <v>2954</v>
      </c>
      <c r="B55" s="2880" t="str">
        <f>估价对象房地状况!C22</f>
        <v>估价对象所在区域基础设施水平达六通</v>
      </c>
      <c r="C55" s="2768"/>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4" t="s">
        <v>2955</v>
      </c>
      <c r="B56" s="2885" t="str">
        <f>估价对象房地状况!C20</f>
        <v>区域自然环境：；人文环境；综合评价环境状况较好</v>
      </c>
      <c r="C56" s="2768"/>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2956</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2937</v>
      </c>
      <c r="B58" s="1806"/>
      <c r="C58" s="1806" t="s">
        <v>2939</v>
      </c>
      <c r="D58" s="1806" t="s">
        <v>2940</v>
      </c>
      <c r="E58" s="814" t="s">
        <v>2941</v>
      </c>
      <c r="F58" s="2877" t="s">
        <v>2957</v>
      </c>
      <c r="G58" s="1806" t="s">
        <v>754</v>
      </c>
      <c r="H58" s="2878" t="s">
        <v>2943</v>
      </c>
      <c r="I58" s="1806" t="s">
        <v>2944</v>
      </c>
      <c r="J58" s="603" t="s">
        <v>2591</v>
      </c>
      <c r="K58" s="603" t="s">
        <v>2592</v>
      </c>
      <c r="L58" s="603" t="s">
        <v>2593</v>
      </c>
      <c r="M58" s="603" t="s">
        <v>2594</v>
      </c>
      <c r="N58" s="603" t="s">
        <v>2595</v>
      </c>
      <c r="AA58" s="1369"/>
      <c r="AB58" s="1369"/>
      <c r="AC58" s="1369"/>
      <c r="AD58" s="1369"/>
      <c r="AE58" s="1369"/>
      <c r="AF58" s="1369"/>
      <c r="AG58" s="1369"/>
      <c r="AH58" s="1369"/>
      <c r="AI58" s="1369"/>
      <c r="AJ58" s="1369"/>
      <c r="AK58" s="1369"/>
    </row>
    <row r="59" spans="1:37" s="1368" customFormat="1" ht="38.25">
      <c r="A59" s="2876" t="s">
        <v>2958</v>
      </c>
      <c r="B59" s="2879" t="str">
        <f>估价对象房地状况!C17</f>
        <v>估价对象周边办公楼项目集聚度一般，入驻率一般，办公集聚程度一般</v>
      </c>
      <c r="C59" s="2768"/>
      <c r="D59" s="1284">
        <f t="shared" ref="D59:D67" si="15">SUMIF($J$58:$N$58,C59,J59:N59)</f>
        <v>0</v>
      </c>
      <c r="E59" s="816">
        <f>ROUND(SUM(D59:D67),4)</f>
        <v>0</v>
      </c>
      <c r="F59" s="2499"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6" t="s">
        <v>2946</v>
      </c>
      <c r="B60" s="2880" t="str">
        <f>估价对象房地状况!C18</f>
        <v>估价对象周边道路状况、公共交通通达情况、停车便捷程度，综合评价交通便捷度较好</v>
      </c>
      <c r="C60" s="2768"/>
      <c r="D60" s="1284">
        <f t="shared" si="15"/>
        <v>0</v>
      </c>
      <c r="E60" s="817"/>
      <c r="F60" s="2499"/>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2947</v>
      </c>
      <c r="B61" s="2880">
        <f>估价对象房地状况!C19</f>
        <v>0</v>
      </c>
      <c r="C61" s="2768"/>
      <c r="D61" s="1284">
        <f t="shared" si="15"/>
        <v>0</v>
      </c>
      <c r="E61" s="817"/>
      <c r="F61" s="2499"/>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2948</v>
      </c>
      <c r="B62" s="2881" t="s">
        <v>2949</v>
      </c>
      <c r="C62" s="2768"/>
      <c r="D62" s="1284">
        <f t="shared" si="15"/>
        <v>0</v>
      </c>
      <c r="E62" s="817"/>
      <c r="F62" s="2499"/>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2950</v>
      </c>
      <c r="B63" s="2880">
        <f>估价对象房地状况!C24</f>
        <v>0</v>
      </c>
      <c r="C63" s="2768"/>
      <c r="D63" s="1284">
        <f t="shared" si="15"/>
        <v>0</v>
      </c>
      <c r="E63" s="817"/>
      <c r="F63" s="2499"/>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2951</v>
      </c>
      <c r="B64" s="2882" t="s">
        <v>2952</v>
      </c>
      <c r="C64" s="2768"/>
      <c r="D64" s="1284">
        <f t="shared" si="15"/>
        <v>0</v>
      </c>
      <c r="E64" s="817"/>
      <c r="F64" s="2499"/>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6" t="s">
        <v>2953</v>
      </c>
      <c r="B65" s="1723" t="str">
        <f>估价对象房地状况!C21</f>
        <v>估价对象所在区域公共配套设施齐备情况一般</v>
      </c>
      <c r="C65" s="2768"/>
      <c r="D65" s="1284">
        <f t="shared" si="15"/>
        <v>0</v>
      </c>
      <c r="E65" s="817"/>
      <c r="F65" s="2499"/>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6" t="s">
        <v>2954</v>
      </c>
      <c r="B66" s="1723" t="str">
        <f>估价对象房地状况!C22</f>
        <v>估价对象所在区域基础设施水平达六通</v>
      </c>
      <c r="C66" s="2768"/>
      <c r="D66" s="1284">
        <f t="shared" si="15"/>
        <v>0</v>
      </c>
      <c r="E66" s="817"/>
      <c r="F66" s="2499"/>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4" t="s">
        <v>2955</v>
      </c>
      <c r="B67" s="2886" t="str">
        <f>估价对象房地状况!C20</f>
        <v>区域自然环境：；人文环境；综合评价环境状况较好</v>
      </c>
      <c r="C67" s="2768"/>
      <c r="D67" s="1284">
        <f t="shared" si="15"/>
        <v>0</v>
      </c>
      <c r="E67" s="820"/>
      <c r="F67" s="2499"/>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2959</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2937</v>
      </c>
      <c r="B69" s="1806"/>
      <c r="C69" s="1806" t="s">
        <v>2939</v>
      </c>
      <c r="D69" s="1806" t="s">
        <v>2940</v>
      </c>
      <c r="E69" s="814" t="s">
        <v>2941</v>
      </c>
      <c r="F69" s="2877" t="s">
        <v>2957</v>
      </c>
      <c r="G69" s="1806" t="s">
        <v>754</v>
      </c>
      <c r="H69" s="2878" t="s">
        <v>2943</v>
      </c>
      <c r="I69" s="1806" t="s">
        <v>2944</v>
      </c>
      <c r="J69" s="603" t="s">
        <v>2591</v>
      </c>
      <c r="K69" s="603" t="s">
        <v>2592</v>
      </c>
      <c r="L69" s="603" t="s">
        <v>2593</v>
      </c>
      <c r="M69" s="603" t="s">
        <v>2594</v>
      </c>
      <c r="N69" s="603" t="s">
        <v>2595</v>
      </c>
      <c r="AA69" s="1369"/>
      <c r="AB69" s="1369"/>
      <c r="AC69" s="1369"/>
      <c r="AD69" s="1369"/>
      <c r="AE69" s="1369"/>
      <c r="AF69" s="1369"/>
      <c r="AG69" s="1369"/>
      <c r="AH69" s="1369"/>
      <c r="AI69" s="1369"/>
      <c r="AJ69" s="1369"/>
      <c r="AK69" s="1369"/>
    </row>
    <row r="70" spans="1:37" s="1368" customFormat="1" ht="24">
      <c r="A70" s="2876" t="s">
        <v>2960</v>
      </c>
      <c r="B70" s="2879">
        <f>估价对象房地状况!C15</f>
        <v>0</v>
      </c>
      <c r="C70" s="2768"/>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6" t="s">
        <v>2946</v>
      </c>
      <c r="B71" s="2880" t="str">
        <f>估价对象房地状况!C18</f>
        <v>估价对象周边道路状况、公共交通通达情况、停车便捷程度，综合评价交通便捷度较好</v>
      </c>
      <c r="C71" s="2768"/>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2947</v>
      </c>
      <c r="B72" s="2880">
        <f>估价对象房地状况!C19</f>
        <v>0</v>
      </c>
      <c r="C72" s="2768"/>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2961</v>
      </c>
      <c r="B73" s="2880">
        <f>估价对象房地状况!C24</f>
        <v>0</v>
      </c>
      <c r="C73" s="2768"/>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6" t="s">
        <v>2953</v>
      </c>
      <c r="B74" s="1723" t="str">
        <f>估价对象房地状况!C21</f>
        <v>估价对象所在区域公共配套设施齐备情况一般</v>
      </c>
      <c r="C74" s="2768"/>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6" t="s">
        <v>2954</v>
      </c>
      <c r="B75" s="1723" t="str">
        <f>估价对象房地状况!C22</f>
        <v>估价对象所在区域基础设施水平达六通</v>
      </c>
      <c r="C75" s="2768"/>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2951</v>
      </c>
      <c r="B76" s="2882" t="s">
        <v>2952</v>
      </c>
      <c r="C76" s="2768"/>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38.25">
      <c r="A77" s="2876" t="s">
        <v>2955</v>
      </c>
      <c r="B77" s="2879" t="str">
        <f>估价对象房地状况!C20</f>
        <v>区域自然环境：；人文环境；综合评价环境状况较好</v>
      </c>
      <c r="C77" s="2768"/>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8"/>
      <c r="AA77" s="2794"/>
      <c r="AG77" s="1370"/>
      <c r="AK77" s="2794"/>
    </row>
    <row r="78" spans="1:37" ht="24.75" thickBot="1">
      <c r="A78" s="2884" t="s">
        <v>2962</v>
      </c>
      <c r="B78" s="2888"/>
      <c r="C78" s="2768"/>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8"/>
      <c r="AA78" s="2794"/>
      <c r="AG78" s="1370"/>
      <c r="AK78" s="2794"/>
    </row>
    <row r="79" spans="1:37" ht="15">
      <c r="A79" s="2872" t="s">
        <v>2963</v>
      </c>
      <c r="B79" s="2873">
        <f>1+E81</f>
        <v>1</v>
      </c>
      <c r="C79" s="809"/>
      <c r="D79" s="809"/>
      <c r="E79" s="810"/>
      <c r="F79" s="2875"/>
      <c r="G79" s="6"/>
      <c r="H79" s="6"/>
      <c r="I79" s="6"/>
      <c r="J79" s="7"/>
      <c r="K79" s="7"/>
      <c r="L79" s="7"/>
      <c r="M79" s="7"/>
      <c r="N79" s="7"/>
      <c r="Z79" s="2718"/>
      <c r="AA79" s="2794"/>
      <c r="AG79" s="1370"/>
      <c r="AK79" s="2794"/>
    </row>
    <row r="80" spans="1:37" ht="24.75">
      <c r="A80" s="2876" t="s">
        <v>2937</v>
      </c>
      <c r="B80" s="1806"/>
      <c r="C80" s="1806" t="s">
        <v>2939</v>
      </c>
      <c r="D80" s="1806" t="s">
        <v>2940</v>
      </c>
      <c r="E80" s="814" t="s">
        <v>2941</v>
      </c>
      <c r="F80" s="2877" t="s">
        <v>2957</v>
      </c>
      <c r="G80" s="1806" t="s">
        <v>754</v>
      </c>
      <c r="H80" s="2878" t="s">
        <v>2943</v>
      </c>
      <c r="I80" s="1806" t="s">
        <v>2944</v>
      </c>
      <c r="J80" s="603" t="s">
        <v>2591</v>
      </c>
      <c r="K80" s="603" t="s">
        <v>2592</v>
      </c>
      <c r="L80" s="603" t="s">
        <v>2593</v>
      </c>
      <c r="M80" s="603" t="s">
        <v>2594</v>
      </c>
      <c r="N80" s="603" t="s">
        <v>2595</v>
      </c>
      <c r="Z80" s="2718"/>
      <c r="AA80" s="2794"/>
      <c r="AG80" s="1370"/>
      <c r="AK80" s="2794"/>
    </row>
    <row r="81" spans="1:37" ht="38.25">
      <c r="A81" s="2876" t="s">
        <v>2964</v>
      </c>
      <c r="B81" s="2880" t="str">
        <f>估价对象房地状况!G15</f>
        <v>估价对象位于XX开发区，园区建设成熟度XX，产业集聚程度XX</v>
      </c>
      <c r="C81" s="2768"/>
      <c r="D81" s="1284">
        <f t="shared" ref="D81:D88" si="25">SUMIF($J$80:$N$80,C81,J81:N81)</f>
        <v>0</v>
      </c>
      <c r="E81" s="816">
        <f>ROUND(SUM(D81:D88),4)</f>
        <v>0</v>
      </c>
      <c r="F81" s="2499"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51">
      <c r="A82" s="2876" t="s">
        <v>2946</v>
      </c>
      <c r="B82" s="2880" t="str">
        <f>估价对象房地状况!G16</f>
        <v>估价对象周边道路状况、公共交通通达情况、停车便捷程度，综合评价交通便捷度较好</v>
      </c>
      <c r="C82" s="2768"/>
      <c r="D82" s="1284">
        <f t="shared" si="25"/>
        <v>0</v>
      </c>
      <c r="E82" s="821"/>
      <c r="F82" s="2499"/>
      <c r="G82" s="1282"/>
      <c r="H82" s="1286" t="str">
        <f t="shared" si="26"/>
        <v>——</v>
      </c>
      <c r="I82" s="815">
        <v>0.33</v>
      </c>
      <c r="J82" s="1283">
        <f t="shared" si="27"/>
        <v>0</v>
      </c>
      <c r="K82" s="1283">
        <f t="shared" si="28"/>
        <v>0</v>
      </c>
      <c r="L82" s="1283">
        <v>0</v>
      </c>
      <c r="M82" s="1283">
        <f t="shared" si="29"/>
        <v>0</v>
      </c>
      <c r="N82" s="1283">
        <f t="shared" si="29"/>
        <v>0</v>
      </c>
      <c r="Z82" s="2718"/>
      <c r="AA82" s="2794"/>
      <c r="AG82" s="1370"/>
      <c r="AK82" s="2794"/>
    </row>
    <row r="83" spans="1:37" ht="24">
      <c r="A83" s="2876" t="s">
        <v>2947</v>
      </c>
      <c r="B83" s="2880">
        <f>估价对象房地状况!G17</f>
        <v>0</v>
      </c>
      <c r="C83" s="2768"/>
      <c r="D83" s="1284">
        <f t="shared" si="25"/>
        <v>0</v>
      </c>
      <c r="E83" s="821"/>
      <c r="F83" s="2499"/>
      <c r="G83" s="1282"/>
      <c r="H83" s="1286" t="str">
        <f t="shared" si="26"/>
        <v>——</v>
      </c>
      <c r="I83" s="815">
        <v>0.05</v>
      </c>
      <c r="J83" s="1283">
        <f t="shared" si="27"/>
        <v>0</v>
      </c>
      <c r="K83" s="1283">
        <f t="shared" si="28"/>
        <v>0</v>
      </c>
      <c r="L83" s="1283">
        <v>0</v>
      </c>
      <c r="M83" s="1283">
        <f t="shared" si="29"/>
        <v>0</v>
      </c>
      <c r="N83" s="1283">
        <f t="shared" si="29"/>
        <v>0</v>
      </c>
      <c r="Z83" s="2718"/>
      <c r="AA83" s="2794"/>
      <c r="AG83" s="1370"/>
      <c r="AK83" s="2794"/>
    </row>
    <row r="84" spans="1:37" ht="14.25">
      <c r="A84" s="2876" t="s">
        <v>2961</v>
      </c>
      <c r="B84" s="2880">
        <f>估价对象房地状况!G22</f>
        <v>0</v>
      </c>
      <c r="C84" s="2768"/>
      <c r="D84" s="1284">
        <f t="shared" si="25"/>
        <v>0</v>
      </c>
      <c r="E84" s="821"/>
      <c r="F84" s="2499"/>
      <c r="G84" s="1282"/>
      <c r="H84" s="1286" t="str">
        <f t="shared" si="26"/>
        <v>——</v>
      </c>
      <c r="I84" s="815">
        <v>0.04</v>
      </c>
      <c r="J84" s="1283">
        <f t="shared" si="27"/>
        <v>0</v>
      </c>
      <c r="K84" s="1283">
        <f t="shared" si="28"/>
        <v>0</v>
      </c>
      <c r="L84" s="1283">
        <v>0</v>
      </c>
      <c r="M84" s="1283">
        <f t="shared" si="29"/>
        <v>0</v>
      </c>
      <c r="N84" s="1283">
        <f t="shared" si="29"/>
        <v>0</v>
      </c>
      <c r="Z84" s="2718"/>
      <c r="AA84" s="2794"/>
      <c r="AG84" s="1370"/>
      <c r="AK84" s="2794"/>
    </row>
    <row r="85" spans="1:37" ht="25.5">
      <c r="A85" s="2876" t="s">
        <v>2953</v>
      </c>
      <c r="B85" s="1723" t="str">
        <f>估价对象房地状况!G19</f>
        <v>估价对象所在区域公共配套设施齐备情况</v>
      </c>
      <c r="C85" s="2768"/>
      <c r="D85" s="1284">
        <f t="shared" si="25"/>
        <v>0</v>
      </c>
      <c r="E85" s="821"/>
      <c r="F85" s="2499"/>
      <c r="G85" s="1282"/>
      <c r="H85" s="1286" t="str">
        <f t="shared" si="26"/>
        <v>——</v>
      </c>
      <c r="I85" s="815">
        <v>0.06</v>
      </c>
      <c r="J85" s="1283">
        <f t="shared" si="27"/>
        <v>0</v>
      </c>
      <c r="K85" s="1283">
        <f t="shared" si="28"/>
        <v>0</v>
      </c>
      <c r="L85" s="1283">
        <v>0</v>
      </c>
      <c r="M85" s="1283">
        <f t="shared" si="29"/>
        <v>0</v>
      </c>
      <c r="N85" s="1283">
        <f t="shared" si="29"/>
        <v>0</v>
      </c>
      <c r="Z85" s="2718"/>
      <c r="AA85" s="2794"/>
      <c r="AG85" s="1370"/>
      <c r="AK85" s="2794"/>
    </row>
    <row r="86" spans="1:37" ht="25.5">
      <c r="A86" s="2876" t="s">
        <v>2954</v>
      </c>
      <c r="B86" s="1723" t="str">
        <f>估价对象房地状况!G20</f>
        <v>估价对象所在区域基础设施水平</v>
      </c>
      <c r="C86" s="2768"/>
      <c r="D86" s="1284">
        <f t="shared" si="25"/>
        <v>0</v>
      </c>
      <c r="E86" s="821"/>
      <c r="F86" s="2499"/>
      <c r="G86" s="1282"/>
      <c r="H86" s="1286" t="str">
        <f t="shared" si="26"/>
        <v>——</v>
      </c>
      <c r="I86" s="815">
        <v>0.15</v>
      </c>
      <c r="J86" s="1283">
        <f t="shared" si="27"/>
        <v>0</v>
      </c>
      <c r="K86" s="1283">
        <f t="shared" si="28"/>
        <v>0</v>
      </c>
      <c r="L86" s="1283">
        <v>0</v>
      </c>
      <c r="M86" s="1283">
        <f t="shared" si="29"/>
        <v>0</v>
      </c>
      <c r="N86" s="1283">
        <f t="shared" si="29"/>
        <v>0</v>
      </c>
      <c r="Z86" s="2718"/>
      <c r="AA86" s="2794"/>
      <c r="AG86" s="1370"/>
      <c r="AK86" s="2794"/>
    </row>
    <row r="87" spans="1:37" ht="24">
      <c r="A87" s="2876" t="s">
        <v>2951</v>
      </c>
      <c r="B87" s="2882" t="s">
        <v>2965</v>
      </c>
      <c r="C87" s="2768"/>
      <c r="D87" s="1284">
        <f t="shared" si="25"/>
        <v>0</v>
      </c>
      <c r="E87" s="821"/>
      <c r="F87" s="2499"/>
      <c r="G87" s="1282"/>
      <c r="H87" s="1286" t="str">
        <f t="shared" si="26"/>
        <v>——</v>
      </c>
      <c r="I87" s="815">
        <v>0.05</v>
      </c>
      <c r="J87" s="1283">
        <f t="shared" si="27"/>
        <v>0</v>
      </c>
      <c r="K87" s="1283">
        <f t="shared" si="28"/>
        <v>0</v>
      </c>
      <c r="L87" s="1283">
        <v>0</v>
      </c>
      <c r="M87" s="1283">
        <f t="shared" si="29"/>
        <v>0</v>
      </c>
      <c r="N87" s="1283">
        <f t="shared" si="29"/>
        <v>0</v>
      </c>
      <c r="Z87" s="2718"/>
      <c r="AA87" s="2794"/>
      <c r="AG87" s="1370"/>
      <c r="AK87" s="2794"/>
    </row>
    <row r="88" spans="1:37" ht="39" thickBot="1">
      <c r="A88" s="2884" t="s">
        <v>2966</v>
      </c>
      <c r="B88" s="2889" t="str">
        <f>估价对象房地状况!G18</f>
        <v>该园区内是否有污染型企业，绿化情况，卫生条件，整体环境状况判断</v>
      </c>
      <c r="C88" s="2768"/>
      <c r="D88" s="1284">
        <f t="shared" si="25"/>
        <v>0</v>
      </c>
      <c r="E88" s="822"/>
      <c r="F88" s="2499"/>
      <c r="G88" s="1282"/>
      <c r="H88" s="1286" t="str">
        <f t="shared" si="26"/>
        <v>——</v>
      </c>
      <c r="I88" s="819">
        <v>0.06</v>
      </c>
      <c r="J88" s="1283">
        <f t="shared" si="27"/>
        <v>0</v>
      </c>
      <c r="K88" s="1283">
        <f t="shared" si="28"/>
        <v>0</v>
      </c>
      <c r="L88" s="1283">
        <v>0</v>
      </c>
      <c r="M88" s="1283">
        <f t="shared" si="29"/>
        <v>0</v>
      </c>
      <c r="N88" s="1283">
        <f t="shared" si="29"/>
        <v>0</v>
      </c>
      <c r="Z88" s="2718"/>
      <c r="AA88" s="2794"/>
      <c r="AG88" s="1370"/>
      <c r="AK88" s="2794"/>
    </row>
    <row r="90" spans="1:37">
      <c r="A90" s="3308" t="s">
        <v>2967</v>
      </c>
      <c r="B90" s="3308"/>
      <c r="C90" s="3308"/>
      <c r="D90" s="3308"/>
      <c r="E90" s="3308"/>
      <c r="F90" s="3308"/>
      <c r="G90" s="3308"/>
      <c r="H90" s="3308"/>
      <c r="I90" s="3308"/>
      <c r="J90" s="3308"/>
      <c r="K90" s="2890"/>
      <c r="L90" s="2890"/>
      <c r="M90" s="2890"/>
      <c r="N90" s="2890"/>
    </row>
    <row r="91" spans="1:37">
      <c r="A91" s="3310" t="s">
        <v>2968</v>
      </c>
      <c r="B91" s="3310" t="s">
        <v>2969</v>
      </c>
      <c r="C91" s="2844" t="s">
        <v>2970</v>
      </c>
      <c r="D91" s="2845"/>
      <c r="E91" s="2845"/>
      <c r="F91" s="2845"/>
      <c r="G91" s="2845"/>
      <c r="H91" s="2845"/>
      <c r="I91" s="2845"/>
      <c r="J91" s="2891"/>
      <c r="K91" s="2892"/>
      <c r="L91" s="2892"/>
      <c r="M91" s="2892"/>
      <c r="N91" s="2892"/>
    </row>
    <row r="92" spans="1:37">
      <c r="A92" s="3310"/>
      <c r="B92" s="3310"/>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311" t="s">
        <v>2971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1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1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1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1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1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12"/>
      <c r="B99" s="2893" t="s">
        <v>2850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1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11" t="s">
        <v>2972</v>
      </c>
      <c r="B101" s="2897" t="s">
        <v>2973</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312"/>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312"/>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312"/>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312"/>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312"/>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312"/>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312"/>
      <c r="B108" s="3222" t="s">
        <v>2974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13"/>
      <c r="B109" s="3223"/>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309" t="s">
        <v>2975</v>
      </c>
      <c r="B110" s="3309"/>
      <c r="C110" s="3309"/>
      <c r="D110" s="3309"/>
      <c r="E110" s="3309"/>
      <c r="F110" s="3309"/>
      <c r="G110" s="3309"/>
      <c r="H110" s="3309"/>
      <c r="I110" s="3309"/>
      <c r="J110" s="3309"/>
      <c r="K110" s="2899"/>
      <c r="L110" s="2899"/>
      <c r="M110" s="2899"/>
      <c r="N110" s="2899"/>
    </row>
    <row r="112" spans="1:14" ht="13.5" thickBot="1"/>
    <row r="113" spans="1:13" ht="25.5" thickBot="1">
      <c r="A113" s="898" t="s">
        <v>2976</v>
      </c>
      <c r="B113" s="1285" t="e">
        <f>G3</f>
        <v>#DIV/0!</v>
      </c>
      <c r="C113" s="899" t="s">
        <v>2977</v>
      </c>
      <c r="D113" s="900" t="e">
        <f>SUMPRODUCT((A115:A118=F113)*(B114:M114=H113)*B115:M118)</f>
        <v>#DIV/0!</v>
      </c>
      <c r="E113" s="2722" t="s">
        <v>2807</v>
      </c>
      <c r="F113" s="2901">
        <f>E2</f>
        <v>0</v>
      </c>
      <c r="G113" s="2722" t="s">
        <v>2808</v>
      </c>
      <c r="H113" s="2901">
        <f>G2</f>
        <v>0</v>
      </c>
      <c r="I113" s="2722"/>
      <c r="J113" s="2902"/>
      <c r="K113" s="2902"/>
      <c r="L113" s="2902"/>
      <c r="M113" s="2902"/>
    </row>
    <row r="114" spans="1:13">
      <c r="A114" s="903"/>
      <c r="B114" s="2903" t="s">
        <v>2978</v>
      </c>
      <c r="C114" s="2903" t="s">
        <v>2979</v>
      </c>
      <c r="D114" s="2903" t="s">
        <v>2980</v>
      </c>
      <c r="E114" s="2904" t="s">
        <v>2981</v>
      </c>
      <c r="F114" s="2904" t="s">
        <v>2982</v>
      </c>
      <c r="G114" s="2904" t="s">
        <v>2983</v>
      </c>
      <c r="H114" s="2905" t="s">
        <v>2984</v>
      </c>
      <c r="I114" s="2905" t="s">
        <v>2985</v>
      </c>
      <c r="J114" s="2906" t="s">
        <v>2986</v>
      </c>
      <c r="K114" s="2906" t="s">
        <v>2987</v>
      </c>
      <c r="L114" s="2906" t="s">
        <v>2988</v>
      </c>
      <c r="M114" s="2907" t="s">
        <v>2989</v>
      </c>
    </row>
    <row r="115" spans="1:13">
      <c r="A115" s="904" t="s">
        <v>2872</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2873</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2874</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4" t="s">
        <v>2875</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58"/>
      <c r="B4" s="3007" t="s">
        <v>1626</v>
      </c>
      <c r="C4" s="3007"/>
      <c r="D4" s="3007"/>
      <c r="E4" s="1958"/>
    </row>
    <row r="5" spans="1:5" ht="16.5" thickTop="1">
      <c r="A5" s="1956"/>
      <c r="B5" s="3005" t="s">
        <v>1618</v>
      </c>
      <c r="C5" s="1959" t="s">
        <v>1619</v>
      </c>
      <c r="D5" s="1038">
        <f ca="1">'结果表-车库'!H101</f>
        <v>18830</v>
      </c>
      <c r="E5" s="1956"/>
    </row>
    <row r="6" spans="1:5" ht="15.75">
      <c r="A6" s="1956"/>
      <c r="B6" s="3005"/>
      <c r="C6" s="1959" t="s">
        <v>1620</v>
      </c>
      <c r="D6" s="1038" t="str">
        <f ca="1">NUMBERSTRING(INT(D5*10000),2)&amp;"元整"</f>
        <v>壹亿捌仟捌佰叁拾万元整</v>
      </c>
      <c r="E6" s="1956"/>
    </row>
    <row r="7" spans="1:5" ht="15.75">
      <c r="A7" s="1956"/>
      <c r="B7" s="3010"/>
      <c r="C7" s="1960" t="s">
        <v>1621</v>
      </c>
      <c r="D7" s="1039">
        <f ca="1">'结果表-车库'!H102</f>
        <v>3752</v>
      </c>
      <c r="E7" s="1956"/>
    </row>
    <row r="8" spans="1:5" ht="15.75">
      <c r="A8" s="1956"/>
      <c r="B8" s="3011" t="str">
        <f>'结果表-车库'!E103</f>
        <v>2.估价师知悉的法定优先受偿款</v>
      </c>
      <c r="C8" s="1961" t="s">
        <v>1622</v>
      </c>
      <c r="D8" s="1039">
        <f>'结果表-车库'!H103</f>
        <v>0</v>
      </c>
      <c r="E8" s="1956"/>
    </row>
    <row r="9" spans="1:5" ht="15.75">
      <c r="A9" s="1956"/>
      <c r="B9" s="3013"/>
      <c r="C9" s="1959" t="s">
        <v>1620</v>
      </c>
      <c r="D9" s="1038" t="str">
        <f>NUMBERSTRING(INT(D8*10000),2)&amp;"元整"</f>
        <v>零元整</v>
      </c>
      <c r="E9" s="1956"/>
    </row>
    <row r="10" spans="1:5" ht="15">
      <c r="A10" s="1956"/>
      <c r="B10" s="1962" t="s">
        <v>1625</v>
      </c>
      <c r="C10" s="1963" t="s">
        <v>1623</v>
      </c>
      <c r="D10" s="1040">
        <f>'结果表-车库'!H104</f>
        <v>0</v>
      </c>
      <c r="E10" s="1956"/>
    </row>
    <row r="11" spans="1:5" ht="15">
      <c r="A11" s="1956"/>
      <c r="B11" s="1962" t="s">
        <v>1627</v>
      </c>
      <c r="C11" s="1963" t="s">
        <v>1628</v>
      </c>
      <c r="D11" s="1040">
        <f>'结果表-车库'!H105</f>
        <v>0</v>
      </c>
      <c r="E11" s="1956"/>
    </row>
    <row r="12" spans="1:5" ht="15">
      <c r="A12" s="1956"/>
      <c r="B12" s="1962" t="s">
        <v>1629</v>
      </c>
      <c r="C12" s="1963" t="s">
        <v>1628</v>
      </c>
      <c r="D12" s="1040">
        <f>'结果表-车库'!H106</f>
        <v>0</v>
      </c>
      <c r="E12" s="1956"/>
    </row>
    <row r="13" spans="1:5" ht="15.75">
      <c r="A13" s="1956"/>
      <c r="B13" s="3004" t="str">
        <f>'结果表-车库'!E107</f>
        <v>3.房地产抵押价值</v>
      </c>
      <c r="C13" s="1964" t="s">
        <v>1619</v>
      </c>
      <c r="D13" s="1041">
        <f ca="1">'结果表-车库'!H107</f>
        <v>18830</v>
      </c>
      <c r="E13" s="1956"/>
    </row>
    <row r="14" spans="1:5" ht="15.75">
      <c r="A14" s="1956"/>
      <c r="B14" s="3005"/>
      <c r="C14" s="1959" t="s">
        <v>1620</v>
      </c>
      <c r="D14" s="1038" t="str">
        <f ca="1">NUMBERSTRING(INT(D13*10000),2)&amp;"元整"</f>
        <v>壹亿捌仟捌佰叁拾万元整</v>
      </c>
      <c r="E14" s="1956"/>
    </row>
    <row r="15" spans="1:5" ht="15">
      <c r="A15" s="1956"/>
      <c r="B15" s="3010"/>
      <c r="C15" s="1960" t="s">
        <v>1630</v>
      </c>
      <c r="D15" s="1050">
        <f ca="1">'结果表-车库'!H108</f>
        <v>3068</v>
      </c>
      <c r="E15" s="1956"/>
    </row>
    <row r="16" spans="1:5" ht="15">
      <c r="A16" s="1956"/>
      <c r="B16" s="3011" t="str">
        <f>'结果表-车库'!E109</f>
        <v>——</v>
      </c>
      <c r="C16" s="1964" t="s">
        <v>1631</v>
      </c>
      <c r="D16" s="1965" t="str">
        <f>'结果表-车库'!H109</f>
        <v>——</v>
      </c>
      <c r="E16" s="1956"/>
    </row>
    <row r="17" spans="1:5" ht="15.75">
      <c r="A17" s="1956"/>
      <c r="B17" s="3012"/>
      <c r="C17" s="1959" t="s">
        <v>1632</v>
      </c>
      <c r="D17" s="1038" t="e">
        <f>NUMBERSTRING(INT(D16*10000),2)&amp;"元整"</f>
        <v>#VALUE!</v>
      </c>
      <c r="E17" s="1956"/>
    </row>
    <row r="18" spans="1:5" ht="15">
      <c r="A18" s="1956"/>
      <c r="B18" s="3013"/>
      <c r="C18" s="1960" t="s">
        <v>1621</v>
      </c>
      <c r="D18" s="1050" t="str">
        <f>'结果表-车库'!H110</f>
        <v>——</v>
      </c>
      <c r="E18" s="1956"/>
    </row>
    <row r="19" spans="1:5" ht="15.75">
      <c r="A19" s="1956"/>
      <c r="B19" s="3004" t="str">
        <f>'结果表-车库'!E111</f>
        <v>——</v>
      </c>
      <c r="C19" s="1964" t="s">
        <v>1619</v>
      </c>
      <c r="D19" s="1039" t="str">
        <f>'结果表-车库'!H111</f>
        <v>——</v>
      </c>
      <c r="E19" s="1956"/>
    </row>
    <row r="20" spans="1:5" ht="15.75">
      <c r="A20" s="1956"/>
      <c r="B20" s="3005"/>
      <c r="C20" s="1959" t="s">
        <v>1632</v>
      </c>
      <c r="D20" s="1038" t="e">
        <f>NUMBERSTRING(INT(D19*10000),2)&amp;"元整"</f>
        <v>#VALUE!</v>
      </c>
      <c r="E20" s="1956"/>
    </row>
    <row r="21" spans="1:5" ht="15.75" thickBot="1">
      <c r="A21" s="1956"/>
      <c r="B21" s="3006"/>
      <c r="C21" s="1966" t="s">
        <v>1630</v>
      </c>
      <c r="D21" s="1051" t="str">
        <f>'结果表-车库'!H112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17" t="s">
        <v>183</v>
      </c>
      <c r="B18" s="877" t="s">
        <v>560</v>
      </c>
      <c r="C18" s="878" t="s">
        <v>561</v>
      </c>
      <c r="D18" s="879"/>
      <c r="E18" s="877">
        <v>1</v>
      </c>
      <c r="F18" s="880" t="s">
        <v>562</v>
      </c>
      <c r="G18" s="881"/>
      <c r="H18" s="873"/>
      <c r="I18" s="873"/>
    </row>
    <row r="19" spans="1:9" s="882" customFormat="1" ht="19.5" customHeight="1">
      <c r="A19" s="3317"/>
      <c r="B19" s="3317" t="s">
        <v>563</v>
      </c>
      <c r="C19" s="878" t="s">
        <v>564</v>
      </c>
      <c r="D19" s="879"/>
      <c r="E19" s="877">
        <v>0.9</v>
      </c>
      <c r="F19" s="880" t="s">
        <v>565</v>
      </c>
      <c r="G19" s="881"/>
      <c r="H19" s="873"/>
      <c r="I19" s="873"/>
    </row>
    <row r="20" spans="1:9" s="882" customFormat="1" ht="19.5" customHeight="1">
      <c r="A20" s="3317"/>
      <c r="B20" s="3317"/>
      <c r="C20" s="878" t="s">
        <v>566</v>
      </c>
      <c r="D20" s="879"/>
      <c r="E20" s="877">
        <v>1.1000000000000001</v>
      </c>
      <c r="F20" s="880" t="s">
        <v>567</v>
      </c>
      <c r="G20" s="881"/>
      <c r="H20" s="873"/>
      <c r="I20" s="873"/>
    </row>
    <row r="21" spans="1:9" s="882" customFormat="1" ht="19.5" customHeight="1">
      <c r="A21" s="3317"/>
      <c r="B21" s="3317"/>
      <c r="C21" s="878" t="s">
        <v>568</v>
      </c>
      <c r="D21" s="879"/>
      <c r="E21" s="877">
        <v>0.8</v>
      </c>
      <c r="F21" s="880" t="s">
        <v>569</v>
      </c>
      <c r="G21" s="881"/>
      <c r="H21" s="873"/>
      <c r="I21" s="873"/>
    </row>
    <row r="22" spans="1:9" s="882" customFormat="1" ht="19.5" customHeight="1">
      <c r="A22" s="3317"/>
      <c r="B22" s="3317"/>
      <c r="C22" s="878" t="s">
        <v>570</v>
      </c>
      <c r="D22" s="879"/>
      <c r="E22" s="877">
        <v>0.5</v>
      </c>
      <c r="F22" s="880"/>
      <c r="G22" s="881"/>
      <c r="H22" s="873"/>
      <c r="I22" s="873"/>
    </row>
    <row r="23" spans="1:9" s="882" customFormat="1" ht="19.5" customHeight="1">
      <c r="A23" s="3317" t="s">
        <v>184</v>
      </c>
      <c r="B23" s="877" t="s">
        <v>560</v>
      </c>
      <c r="C23" s="878" t="s">
        <v>571</v>
      </c>
      <c r="D23" s="879"/>
      <c r="E23" s="877">
        <v>1</v>
      </c>
      <c r="F23" s="880" t="s">
        <v>572</v>
      </c>
      <c r="G23" s="881"/>
      <c r="H23" s="873"/>
      <c r="I23" s="873"/>
    </row>
    <row r="24" spans="1:9" s="882" customFormat="1" ht="19.5" customHeight="1">
      <c r="A24" s="3317"/>
      <c r="B24" s="3317" t="s">
        <v>563</v>
      </c>
      <c r="C24" s="878" t="s">
        <v>573</v>
      </c>
      <c r="D24" s="879"/>
      <c r="E24" s="877">
        <v>0.5</v>
      </c>
      <c r="F24" s="880"/>
      <c r="G24" s="881"/>
      <c r="H24" s="873"/>
      <c r="I24" s="873"/>
    </row>
    <row r="25" spans="1:9" s="882" customFormat="1" ht="19.5" customHeight="1">
      <c r="A25" s="3317"/>
      <c r="B25" s="3317"/>
      <c r="C25" s="878" t="s">
        <v>574</v>
      </c>
      <c r="D25" s="879"/>
      <c r="E25" s="877">
        <v>1.1000000000000001</v>
      </c>
      <c r="F25" s="880"/>
      <c r="G25" s="881"/>
      <c r="H25" s="873"/>
      <c r="I25" s="873"/>
    </row>
    <row r="26" spans="1:9" s="882" customFormat="1" ht="19.5" customHeight="1">
      <c r="A26" s="3317"/>
      <c r="B26" s="3317"/>
      <c r="C26" s="878" t="s">
        <v>575</v>
      </c>
      <c r="D26" s="879"/>
      <c r="E26" s="877">
        <v>1.1000000000000001</v>
      </c>
      <c r="F26" s="880"/>
      <c r="G26" s="881"/>
      <c r="H26" s="873"/>
      <c r="I26" s="873"/>
    </row>
    <row r="27" spans="1:9" s="882" customFormat="1" ht="19.5" customHeight="1">
      <c r="A27" s="3317"/>
      <c r="B27" s="3317"/>
      <c r="C27" s="878" t="s">
        <v>576</v>
      </c>
      <c r="D27" s="879"/>
      <c r="E27" s="877">
        <v>0.9</v>
      </c>
      <c r="F27" s="880" t="s">
        <v>577</v>
      </c>
      <c r="G27" s="881"/>
      <c r="H27" s="873"/>
      <c r="I27" s="873"/>
    </row>
    <row r="28" spans="1:9" s="882" customFormat="1" ht="19.5" customHeight="1">
      <c r="A28" s="3317"/>
      <c r="B28" s="3317"/>
      <c r="C28" s="878" t="s">
        <v>578</v>
      </c>
      <c r="D28" s="879"/>
      <c r="E28" s="877">
        <v>0.9</v>
      </c>
      <c r="F28" s="880" t="s">
        <v>579</v>
      </c>
      <c r="G28" s="881"/>
      <c r="H28" s="873"/>
      <c r="I28" s="873"/>
    </row>
    <row r="29" spans="1:9" s="882" customFormat="1" ht="19.5" customHeight="1">
      <c r="A29" s="3317"/>
      <c r="B29" s="3317"/>
      <c r="C29" s="878" t="s">
        <v>580</v>
      </c>
      <c r="D29" s="879"/>
      <c r="E29" s="877">
        <v>0.9</v>
      </c>
      <c r="F29" s="880" t="s">
        <v>581</v>
      </c>
      <c r="G29" s="881"/>
      <c r="H29" s="873"/>
      <c r="I29" s="873"/>
    </row>
    <row r="30" spans="1:9" s="882" customFormat="1" ht="19.5" customHeight="1">
      <c r="A30" s="3317"/>
      <c r="B30" s="3317"/>
      <c r="C30" s="878" t="s">
        <v>582</v>
      </c>
      <c r="D30" s="879"/>
      <c r="E30" s="877">
        <v>0.9</v>
      </c>
      <c r="F30" s="880" t="s">
        <v>583</v>
      </c>
      <c r="G30" s="881"/>
      <c r="H30" s="873"/>
      <c r="I30" s="873"/>
    </row>
    <row r="31" spans="1:9" s="882" customFormat="1" ht="19.5" customHeight="1">
      <c r="A31" s="3317"/>
      <c r="B31" s="3317"/>
      <c r="C31" s="878" t="s">
        <v>584</v>
      </c>
      <c r="D31" s="879"/>
      <c r="E31" s="877">
        <v>0.8</v>
      </c>
      <c r="F31" s="880" t="s">
        <v>585</v>
      </c>
      <c r="G31" s="881"/>
      <c r="H31" s="873"/>
      <c r="I31" s="873"/>
    </row>
    <row r="32" spans="1:9" s="882" customFormat="1" ht="19.5" customHeight="1">
      <c r="A32" s="3317"/>
      <c r="B32" s="3317"/>
      <c r="C32" s="878" t="s">
        <v>586</v>
      </c>
      <c r="D32" s="879"/>
      <c r="E32" s="877">
        <v>0.8</v>
      </c>
      <c r="F32" s="880" t="s">
        <v>587</v>
      </c>
      <c r="G32" s="881"/>
      <c r="H32" s="873"/>
      <c r="I32" s="873"/>
    </row>
    <row r="33" spans="1:9" s="882" customFormat="1" ht="19.5" customHeight="1">
      <c r="A33" s="3317" t="s">
        <v>185</v>
      </c>
      <c r="B33" s="877" t="s">
        <v>560</v>
      </c>
      <c r="C33" s="878" t="s">
        <v>588</v>
      </c>
      <c r="D33" s="879"/>
      <c r="E33" s="877">
        <v>1</v>
      </c>
      <c r="F33" s="880" t="s">
        <v>589</v>
      </c>
      <c r="G33" s="881"/>
      <c r="H33" s="873"/>
      <c r="I33" s="873"/>
    </row>
    <row r="34" spans="1:9" s="882" customFormat="1" ht="19.5" customHeight="1">
      <c r="A34" s="3317"/>
      <c r="B34" s="877" t="s">
        <v>563</v>
      </c>
      <c r="C34" s="878" t="s">
        <v>590</v>
      </c>
      <c r="D34" s="879"/>
      <c r="E34" s="877">
        <v>1.5</v>
      </c>
      <c r="F34" s="880" t="s">
        <v>591</v>
      </c>
      <c r="G34" s="881"/>
      <c r="H34" s="873"/>
      <c r="I34" s="873"/>
    </row>
    <row r="35" spans="1:9" s="882" customFormat="1" ht="19.5" customHeight="1">
      <c r="A35" s="3317" t="s">
        <v>186</v>
      </c>
      <c r="B35" s="877" t="s">
        <v>560</v>
      </c>
      <c r="C35" s="878" t="s">
        <v>592</v>
      </c>
      <c r="D35" s="879"/>
      <c r="E35" s="877">
        <v>1</v>
      </c>
      <c r="F35" s="880" t="s">
        <v>593</v>
      </c>
      <c r="G35" s="881"/>
      <c r="H35" s="873"/>
      <c r="I35" s="873"/>
    </row>
    <row r="36" spans="1:9" s="882" customFormat="1" ht="19.5" customHeight="1">
      <c r="A36" s="3317"/>
      <c r="B36" s="3317" t="s">
        <v>563</v>
      </c>
      <c r="C36" s="878" t="s">
        <v>594</v>
      </c>
      <c r="D36" s="879"/>
      <c r="E36" s="877">
        <v>1</v>
      </c>
      <c r="F36" s="880" t="s">
        <v>595</v>
      </c>
      <c r="G36" s="881"/>
      <c r="H36" s="873"/>
      <c r="I36" s="873"/>
    </row>
    <row r="37" spans="1:9" s="882" customFormat="1" ht="19.5" customHeight="1">
      <c r="A37" s="3317"/>
      <c r="B37" s="3317"/>
      <c r="C37" s="878" t="s">
        <v>596</v>
      </c>
      <c r="D37" s="879"/>
      <c r="E37" s="877">
        <v>1.5</v>
      </c>
      <c r="F37" s="880" t="s">
        <v>597</v>
      </c>
      <c r="G37" s="881"/>
      <c r="H37" s="873"/>
      <c r="I37" s="873"/>
    </row>
    <row r="38" spans="1:9" s="882" customFormat="1" ht="19.5" customHeight="1">
      <c r="A38" s="3317"/>
      <c r="B38" s="3317"/>
      <c r="C38" s="878" t="s">
        <v>598</v>
      </c>
      <c r="D38" s="879"/>
      <c r="E38" s="877">
        <v>1</v>
      </c>
      <c r="F38" s="880" t="s">
        <v>599</v>
      </c>
      <c r="G38" s="881"/>
      <c r="H38" s="873"/>
      <c r="I38" s="873"/>
    </row>
    <row r="39" spans="1:9" s="882" customFormat="1" ht="19.5" customHeight="1">
      <c r="A39" s="3317"/>
      <c r="B39" s="331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17" t="s">
        <v>614</v>
      </c>
      <c r="C61" s="813" t="s">
        <v>615</v>
      </c>
      <c r="D61" s="813" t="s">
        <v>616</v>
      </c>
      <c r="E61" s="890">
        <v>0.5</v>
      </c>
      <c r="F61" s="877">
        <v>80</v>
      </c>
    </row>
    <row r="62" spans="1:8" s="873" customFormat="1" ht="24">
      <c r="A62" s="877">
        <v>2</v>
      </c>
      <c r="B62" s="3317"/>
      <c r="C62" s="813" t="s">
        <v>617</v>
      </c>
      <c r="D62" s="813" t="s">
        <v>618</v>
      </c>
      <c r="E62" s="890">
        <v>0.5</v>
      </c>
      <c r="F62" s="877">
        <v>80</v>
      </c>
    </row>
    <row r="63" spans="1:8" s="873" customFormat="1" ht="36">
      <c r="A63" s="877">
        <v>3</v>
      </c>
      <c r="B63" s="3317"/>
      <c r="C63" s="813" t="s">
        <v>619</v>
      </c>
      <c r="D63" s="813" t="s">
        <v>620</v>
      </c>
      <c r="E63" s="890">
        <v>0.5</v>
      </c>
      <c r="F63" s="877">
        <v>80</v>
      </c>
    </row>
    <row r="64" spans="1:8" s="873" customFormat="1" ht="36">
      <c r="A64" s="877">
        <v>4</v>
      </c>
      <c r="B64" s="3317"/>
      <c r="C64" s="813" t="s">
        <v>621</v>
      </c>
      <c r="D64" s="813" t="s">
        <v>622</v>
      </c>
      <c r="E64" s="890">
        <v>0.4</v>
      </c>
      <c r="F64" s="877">
        <v>60</v>
      </c>
    </row>
    <row r="65" spans="1:6" s="873" customFormat="1" ht="36">
      <c r="A65" s="877">
        <v>5</v>
      </c>
      <c r="B65" s="3317"/>
      <c r="C65" s="813" t="s">
        <v>623</v>
      </c>
      <c r="D65" s="813" t="s">
        <v>624</v>
      </c>
      <c r="E65" s="890">
        <v>0.2</v>
      </c>
      <c r="F65" s="877">
        <v>30</v>
      </c>
    </row>
    <row r="66" spans="1:6" s="873" customFormat="1" ht="36">
      <c r="A66" s="877">
        <v>6</v>
      </c>
      <c r="B66" s="3317"/>
      <c r="C66" s="813" t="s">
        <v>625</v>
      </c>
      <c r="D66" s="813" t="s">
        <v>626</v>
      </c>
      <c r="E66" s="890">
        <v>0.3</v>
      </c>
      <c r="F66" s="877">
        <v>50</v>
      </c>
    </row>
    <row r="67" spans="1:6" s="873" customFormat="1" ht="36">
      <c r="A67" s="877">
        <v>7</v>
      </c>
      <c r="B67" s="3317"/>
      <c r="C67" s="813" t="s">
        <v>627</v>
      </c>
      <c r="D67" s="813" t="s">
        <v>628</v>
      </c>
      <c r="E67" s="890">
        <v>0.2</v>
      </c>
      <c r="F67" s="877">
        <v>30</v>
      </c>
    </row>
    <row r="68" spans="1:6" s="873" customFormat="1" ht="36">
      <c r="A68" s="877">
        <v>8</v>
      </c>
      <c r="B68" s="3317"/>
      <c r="C68" s="813" t="s">
        <v>629</v>
      </c>
      <c r="D68" s="813" t="s">
        <v>630</v>
      </c>
      <c r="E68" s="890">
        <v>0.2</v>
      </c>
      <c r="F68" s="877">
        <v>30</v>
      </c>
    </row>
    <row r="69" spans="1:6" s="873" customFormat="1" ht="36">
      <c r="A69" s="877">
        <v>9</v>
      </c>
      <c r="B69" s="3317"/>
      <c r="C69" s="813" t="s">
        <v>631</v>
      </c>
      <c r="D69" s="813" t="s">
        <v>632</v>
      </c>
      <c r="E69" s="890">
        <v>0.2</v>
      </c>
      <c r="F69" s="877">
        <v>30</v>
      </c>
    </row>
    <row r="70" spans="1:6" s="873" customFormat="1" ht="48">
      <c r="A70" s="877">
        <v>10</v>
      </c>
      <c r="B70" s="3317"/>
      <c r="C70" s="813" t="s">
        <v>633</v>
      </c>
      <c r="D70" s="813" t="s">
        <v>634</v>
      </c>
      <c r="E70" s="890">
        <v>0.2</v>
      </c>
      <c r="F70" s="877">
        <v>30</v>
      </c>
    </row>
    <row r="71" spans="1:6" s="873" customFormat="1" ht="48">
      <c r="A71" s="877">
        <v>11</v>
      </c>
      <c r="B71" s="3317"/>
      <c r="C71" s="813" t="s">
        <v>635</v>
      </c>
      <c r="D71" s="813" t="s">
        <v>636</v>
      </c>
      <c r="E71" s="890">
        <v>0.2</v>
      </c>
      <c r="F71" s="877">
        <v>30</v>
      </c>
    </row>
    <row r="72" spans="1:6" s="873" customFormat="1" ht="36">
      <c r="A72" s="877">
        <v>12</v>
      </c>
      <c r="B72" s="3317"/>
      <c r="C72" s="813" t="s">
        <v>637</v>
      </c>
      <c r="D72" s="813" t="s">
        <v>638</v>
      </c>
      <c r="E72" s="890">
        <v>0.5</v>
      </c>
      <c r="F72" s="877">
        <v>80</v>
      </c>
    </row>
    <row r="73" spans="1:6" s="873" customFormat="1" ht="24">
      <c r="A73" s="877">
        <v>13</v>
      </c>
      <c r="B73" s="3317"/>
      <c r="C73" s="813" t="s">
        <v>639</v>
      </c>
      <c r="D73" s="813" t="s">
        <v>640</v>
      </c>
      <c r="E73" s="890">
        <v>0.4</v>
      </c>
      <c r="F73" s="877">
        <v>60</v>
      </c>
    </row>
    <row r="74" spans="1:6" s="873" customFormat="1" ht="24">
      <c r="A74" s="877">
        <v>14</v>
      </c>
      <c r="B74" s="3317"/>
      <c r="C74" s="813" t="s">
        <v>641</v>
      </c>
      <c r="D74" s="813" t="s">
        <v>642</v>
      </c>
      <c r="E74" s="890">
        <v>0.2</v>
      </c>
      <c r="F74" s="877">
        <v>30</v>
      </c>
    </row>
    <row r="75" spans="1:6" s="873" customFormat="1" ht="24">
      <c r="A75" s="877">
        <v>15</v>
      </c>
      <c r="B75" s="3317"/>
      <c r="C75" s="813" t="s">
        <v>643</v>
      </c>
      <c r="D75" s="813" t="s">
        <v>644</v>
      </c>
      <c r="E75" s="890">
        <v>0.2</v>
      </c>
      <c r="F75" s="877">
        <v>30</v>
      </c>
    </row>
    <row r="76" spans="1:6" s="873" customFormat="1" ht="24">
      <c r="A76" s="877">
        <v>16</v>
      </c>
      <c r="B76" s="3317" t="s">
        <v>645</v>
      </c>
      <c r="C76" s="813" t="s">
        <v>646</v>
      </c>
      <c r="D76" s="813" t="s">
        <v>647</v>
      </c>
      <c r="E76" s="890">
        <v>0.5</v>
      </c>
      <c r="F76" s="877">
        <v>80</v>
      </c>
    </row>
    <row r="77" spans="1:6" s="873" customFormat="1" ht="24">
      <c r="A77" s="877">
        <v>17</v>
      </c>
      <c r="B77" s="3317"/>
      <c r="C77" s="813" t="s">
        <v>648</v>
      </c>
      <c r="D77" s="813" t="s">
        <v>649</v>
      </c>
      <c r="E77" s="890">
        <v>0.5</v>
      </c>
      <c r="F77" s="877">
        <v>80</v>
      </c>
    </row>
    <row r="78" spans="1:6" s="873" customFormat="1" ht="24">
      <c r="A78" s="877">
        <v>18</v>
      </c>
      <c r="B78" s="3317"/>
      <c r="C78" s="813" t="s">
        <v>650</v>
      </c>
      <c r="D78" s="813" t="s">
        <v>651</v>
      </c>
      <c r="E78" s="890">
        <v>0.2</v>
      </c>
      <c r="F78" s="877">
        <v>30</v>
      </c>
    </row>
    <row r="79" spans="1:6" s="873" customFormat="1" ht="24">
      <c r="A79" s="877">
        <v>19</v>
      </c>
      <c r="B79" s="3317"/>
      <c r="C79" s="813" t="s">
        <v>652</v>
      </c>
      <c r="D79" s="813" t="s">
        <v>653</v>
      </c>
      <c r="E79" s="890">
        <v>0.5</v>
      </c>
      <c r="F79" s="877">
        <v>80</v>
      </c>
    </row>
    <row r="80" spans="1:6" s="873" customFormat="1" ht="36">
      <c r="A80" s="877">
        <v>20</v>
      </c>
      <c r="B80" s="3317"/>
      <c r="C80" s="813" t="s">
        <v>654</v>
      </c>
      <c r="D80" s="813" t="s">
        <v>655</v>
      </c>
      <c r="E80" s="890">
        <v>0.2</v>
      </c>
      <c r="F80" s="877">
        <v>30</v>
      </c>
    </row>
    <row r="81" spans="1:6" s="873" customFormat="1" ht="36">
      <c r="A81" s="877">
        <v>21</v>
      </c>
      <c r="B81" s="3317"/>
      <c r="C81" s="813" t="s">
        <v>656</v>
      </c>
      <c r="D81" s="813" t="s">
        <v>657</v>
      </c>
      <c r="E81" s="890">
        <v>0.2</v>
      </c>
      <c r="F81" s="877">
        <v>30</v>
      </c>
    </row>
    <row r="82" spans="1:6" s="873" customFormat="1" ht="48">
      <c r="A82" s="877">
        <v>22</v>
      </c>
      <c r="B82" s="3317"/>
      <c r="C82" s="813" t="s">
        <v>658</v>
      </c>
      <c r="D82" s="813" t="s">
        <v>659</v>
      </c>
      <c r="E82" s="890">
        <v>0.2</v>
      </c>
      <c r="F82" s="877">
        <v>30</v>
      </c>
    </row>
    <row r="83" spans="1:6" s="873" customFormat="1" ht="48">
      <c r="A83" s="877">
        <v>23</v>
      </c>
      <c r="B83" s="3317"/>
      <c r="C83" s="813" t="s">
        <v>660</v>
      </c>
      <c r="D83" s="813" t="s">
        <v>661</v>
      </c>
      <c r="E83" s="890">
        <v>0.2</v>
      </c>
      <c r="F83" s="877">
        <v>30</v>
      </c>
    </row>
    <row r="84" spans="1:6" s="873" customFormat="1" ht="36">
      <c r="A84" s="877">
        <v>24</v>
      </c>
      <c r="B84" s="3317"/>
      <c r="C84" s="813" t="s">
        <v>662</v>
      </c>
      <c r="D84" s="813" t="s">
        <v>663</v>
      </c>
      <c r="E84" s="890">
        <v>0.2</v>
      </c>
      <c r="F84" s="877">
        <v>30</v>
      </c>
    </row>
    <row r="85" spans="1:6" s="873" customFormat="1" ht="36">
      <c r="A85" s="877">
        <v>25</v>
      </c>
      <c r="B85" s="3317"/>
      <c r="C85" s="813" t="s">
        <v>664</v>
      </c>
      <c r="D85" s="813" t="s">
        <v>665</v>
      </c>
      <c r="E85" s="890">
        <v>0.5</v>
      </c>
      <c r="F85" s="877">
        <v>80</v>
      </c>
    </row>
    <row r="86" spans="1:6" s="873" customFormat="1" ht="36">
      <c r="A86" s="877">
        <v>26</v>
      </c>
      <c r="B86" s="3317"/>
      <c r="C86" s="813" t="s">
        <v>666</v>
      </c>
      <c r="D86" s="813" t="s">
        <v>667</v>
      </c>
      <c r="E86" s="890">
        <v>0.2</v>
      </c>
      <c r="F86" s="877">
        <v>30</v>
      </c>
    </row>
    <row r="87" spans="1:6" s="873" customFormat="1" ht="36">
      <c r="A87" s="877">
        <v>27</v>
      </c>
      <c r="B87" s="3317"/>
      <c r="C87" s="813" t="s">
        <v>668</v>
      </c>
      <c r="D87" s="813" t="s">
        <v>669</v>
      </c>
      <c r="E87" s="890">
        <v>0.2</v>
      </c>
      <c r="F87" s="877">
        <v>30</v>
      </c>
    </row>
    <row r="88" spans="1:6" s="873" customFormat="1" ht="36">
      <c r="A88" s="877">
        <v>28</v>
      </c>
      <c r="B88" s="3317"/>
      <c r="C88" s="813" t="s">
        <v>670</v>
      </c>
      <c r="D88" s="813" t="s">
        <v>671</v>
      </c>
      <c r="E88" s="890">
        <v>0.2</v>
      </c>
      <c r="F88" s="877">
        <v>30</v>
      </c>
    </row>
    <row r="89" spans="1:6" s="873" customFormat="1" ht="24">
      <c r="A89" s="877">
        <v>29</v>
      </c>
      <c r="B89" s="3317"/>
      <c r="C89" s="813" t="s">
        <v>672</v>
      </c>
      <c r="D89" s="813" t="s">
        <v>673</v>
      </c>
      <c r="E89" s="890">
        <v>0.2</v>
      </c>
      <c r="F89" s="877">
        <v>30</v>
      </c>
    </row>
    <row r="90" spans="1:6" s="873" customFormat="1" ht="24">
      <c r="A90" s="877">
        <v>30</v>
      </c>
      <c r="B90" s="3317"/>
      <c r="C90" s="813" t="s">
        <v>674</v>
      </c>
      <c r="D90" s="813" t="s">
        <v>675</v>
      </c>
      <c r="E90" s="890">
        <v>0.2</v>
      </c>
      <c r="F90" s="877">
        <v>30</v>
      </c>
    </row>
    <row r="91" spans="1:6" s="873" customFormat="1" ht="36">
      <c r="A91" s="877">
        <v>31</v>
      </c>
      <c r="B91" s="3317"/>
      <c r="C91" s="813" t="s">
        <v>676</v>
      </c>
      <c r="D91" s="813" t="s">
        <v>677</v>
      </c>
      <c r="E91" s="890">
        <v>0.2</v>
      </c>
      <c r="F91" s="877">
        <v>30</v>
      </c>
    </row>
    <row r="92" spans="1:6" s="873" customFormat="1" ht="24">
      <c r="A92" s="877">
        <v>32</v>
      </c>
      <c r="B92" s="3317" t="s">
        <v>678</v>
      </c>
      <c r="C92" s="877" t="s">
        <v>679</v>
      </c>
      <c r="D92" s="813" t="s">
        <v>680</v>
      </c>
      <c r="E92" s="890">
        <v>0.2</v>
      </c>
      <c r="F92" s="877">
        <v>30</v>
      </c>
    </row>
    <row r="93" spans="1:6" s="873" customFormat="1" ht="36">
      <c r="A93" s="877">
        <v>33</v>
      </c>
      <c r="B93" s="3317"/>
      <c r="C93" s="877" t="s">
        <v>681</v>
      </c>
      <c r="D93" s="813" t="s">
        <v>682</v>
      </c>
      <c r="E93" s="890">
        <v>0.2</v>
      </c>
      <c r="F93" s="877">
        <v>30</v>
      </c>
    </row>
    <row r="94" spans="1:6" s="873" customFormat="1" ht="48">
      <c r="A94" s="877">
        <v>34</v>
      </c>
      <c r="B94" s="3317"/>
      <c r="C94" s="877" t="s">
        <v>683</v>
      </c>
      <c r="D94" s="813" t="s">
        <v>684</v>
      </c>
      <c r="E94" s="890">
        <v>0.2</v>
      </c>
      <c r="F94" s="877">
        <v>30</v>
      </c>
    </row>
    <row r="95" spans="1:6" s="873" customFormat="1" ht="36">
      <c r="A95" s="877">
        <v>35</v>
      </c>
      <c r="B95" s="3317"/>
      <c r="C95" s="877" t="s">
        <v>685</v>
      </c>
      <c r="D95" s="813" t="s">
        <v>686</v>
      </c>
      <c r="E95" s="890">
        <v>0.2</v>
      </c>
      <c r="F95" s="877">
        <v>30</v>
      </c>
    </row>
    <row r="96" spans="1:6" s="873" customFormat="1" ht="48">
      <c r="A96" s="877">
        <v>36</v>
      </c>
      <c r="B96" s="3317"/>
      <c r="C96" s="813" t="s">
        <v>687</v>
      </c>
      <c r="D96" s="813" t="s">
        <v>688</v>
      </c>
      <c r="E96" s="890">
        <v>0.2</v>
      </c>
      <c r="F96" s="877">
        <v>30</v>
      </c>
    </row>
    <row r="97" spans="1:6" s="873" customFormat="1" ht="36">
      <c r="A97" s="877">
        <v>37</v>
      </c>
      <c r="B97" s="3317"/>
      <c r="C97" s="877" t="s">
        <v>689</v>
      </c>
      <c r="D97" s="813" t="s">
        <v>690</v>
      </c>
      <c r="E97" s="890">
        <v>0.2</v>
      </c>
      <c r="F97" s="877">
        <v>30</v>
      </c>
    </row>
    <row r="98" spans="1:6" s="873" customFormat="1" ht="36">
      <c r="A98" s="877">
        <v>38</v>
      </c>
      <c r="B98" s="3317"/>
      <c r="C98" s="877" t="s">
        <v>691</v>
      </c>
      <c r="D98" s="813" t="s">
        <v>692</v>
      </c>
      <c r="E98" s="890">
        <v>0.2</v>
      </c>
      <c r="F98" s="877">
        <v>30</v>
      </c>
    </row>
    <row r="99" spans="1:6" s="873" customFormat="1" ht="36">
      <c r="A99" s="877">
        <v>39</v>
      </c>
      <c r="B99" s="3317" t="s">
        <v>693</v>
      </c>
      <c r="C99" s="877" t="s">
        <v>694</v>
      </c>
      <c r="D99" s="813" t="s">
        <v>695</v>
      </c>
      <c r="E99" s="890">
        <v>0.3</v>
      </c>
      <c r="F99" s="877">
        <v>50</v>
      </c>
    </row>
    <row r="100" spans="1:6" s="873" customFormat="1" ht="24">
      <c r="A100" s="877">
        <v>40</v>
      </c>
      <c r="B100" s="3317"/>
      <c r="C100" s="877" t="s">
        <v>696</v>
      </c>
      <c r="D100" s="813" t="s">
        <v>697</v>
      </c>
      <c r="E100" s="890">
        <v>0.2</v>
      </c>
      <c r="F100" s="877">
        <v>30</v>
      </c>
    </row>
    <row r="101" spans="1:6" s="873" customFormat="1" ht="36">
      <c r="A101" s="877">
        <v>41</v>
      </c>
      <c r="B101" s="3317"/>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17" t="s">
        <v>708</v>
      </c>
      <c r="C105" s="877" t="s">
        <v>709</v>
      </c>
      <c r="D105" s="813" t="s">
        <v>710</v>
      </c>
      <c r="E105" s="890">
        <v>0.2</v>
      </c>
      <c r="F105" s="877">
        <v>30</v>
      </c>
    </row>
    <row r="106" spans="1:6" s="873" customFormat="1" ht="36">
      <c r="A106" s="877">
        <v>46</v>
      </c>
      <c r="B106" s="3317"/>
      <c r="C106" s="877" t="s">
        <v>711</v>
      </c>
      <c r="D106" s="813" t="s">
        <v>712</v>
      </c>
      <c r="E106" s="890">
        <v>0.2</v>
      </c>
      <c r="F106" s="877">
        <v>30</v>
      </c>
    </row>
    <row r="107" spans="1:6" s="873" customFormat="1" ht="36">
      <c r="A107" s="877">
        <v>47</v>
      </c>
      <c r="B107" s="3317" t="s">
        <v>713</v>
      </c>
      <c r="C107" s="877" t="s">
        <v>714</v>
      </c>
      <c r="D107" s="813" t="s">
        <v>715</v>
      </c>
      <c r="E107" s="890">
        <v>0.3</v>
      </c>
      <c r="F107" s="877">
        <v>50</v>
      </c>
    </row>
    <row r="108" spans="1:6" s="873" customFormat="1" ht="36">
      <c r="A108" s="877">
        <v>48</v>
      </c>
      <c r="B108" s="3317"/>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17" t="s">
        <v>724</v>
      </c>
      <c r="C111" s="877" t="s">
        <v>725</v>
      </c>
      <c r="D111" s="813" t="s">
        <v>726</v>
      </c>
      <c r="E111" s="890">
        <v>0.2</v>
      </c>
      <c r="F111" s="877">
        <v>30</v>
      </c>
    </row>
    <row r="112" spans="1:6" s="873" customFormat="1" ht="24">
      <c r="A112" s="877">
        <v>52</v>
      </c>
      <c r="B112" s="3317"/>
      <c r="C112" s="877" t="s">
        <v>727</v>
      </c>
      <c r="D112" s="813" t="s">
        <v>728</v>
      </c>
      <c r="E112" s="890">
        <v>0.2</v>
      </c>
      <c r="F112" s="877">
        <v>30</v>
      </c>
    </row>
    <row r="113" spans="1:6" s="873" customFormat="1" ht="24">
      <c r="A113" s="877">
        <v>53</v>
      </c>
      <c r="B113" s="3317"/>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17" t="s">
        <v>737</v>
      </c>
      <c r="C116" s="877" t="s">
        <v>738</v>
      </c>
      <c r="D116" s="813" t="s">
        <v>739</v>
      </c>
      <c r="E116" s="890">
        <v>0.2</v>
      </c>
      <c r="F116" s="877">
        <v>30</v>
      </c>
    </row>
    <row r="117" spans="1:6" ht="36">
      <c r="A117" s="877">
        <v>57</v>
      </c>
      <c r="B117" s="3317"/>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2998</v>
      </c>
    </row>
    <row r="2" spans="1:5" ht="15.75">
      <c r="A2" s="2908" t="s">
        <v>2990</v>
      </c>
      <c r="B2" s="2909" t="e">
        <f ca="1">SUMIF(B6:B13,"&lt;&gt;#ref!",B6:B13)</f>
        <v>#DIV/0!</v>
      </c>
      <c r="C2" s="2908" t="s">
        <v>2991</v>
      </c>
      <c r="D2" s="2908" t="s">
        <v>2992</v>
      </c>
      <c r="E2" s="2909">
        <f ca="1">SUMIF(E6:E13,"&lt;&gt;#ref!",E6:E13)</f>
        <v>0</v>
      </c>
    </row>
    <row r="3" spans="1:5" ht="15.75">
      <c r="A3" s="2908" t="s">
        <v>2993</v>
      </c>
      <c r="B3" s="2909" t="e">
        <f ca="1">ROUND(B2*10000/E2,0)</f>
        <v>#DIV/0!</v>
      </c>
      <c r="C3" s="2908" t="s">
        <v>2999</v>
      </c>
      <c r="D3" s="2910"/>
      <c r="E3" s="2910"/>
    </row>
    <row r="4" spans="1:5" ht="15.75">
      <c r="A4" s="2911"/>
      <c r="B4" s="2910"/>
      <c r="C4" s="2910"/>
      <c r="D4" s="2910"/>
      <c r="E4" s="2910"/>
    </row>
    <row r="5" spans="1:5" ht="28.5">
      <c r="A5" s="2912" t="s">
        <v>2994</v>
      </c>
      <c r="B5" s="2908" t="s">
        <v>2995</v>
      </c>
      <c r="C5" s="2909"/>
      <c r="D5" s="2910"/>
      <c r="E5" s="2908" t="s">
        <v>2996</v>
      </c>
    </row>
    <row r="6" spans="1:5" ht="15.75">
      <c r="A6" s="2913" t="s">
        <v>2997</v>
      </c>
      <c r="B6" s="2909" t="e">
        <f ca="1">SUMIF(INDIRECT("'"&amp;A6&amp;"'"&amp;"!A:A"),"总价",INDIRECT("'"&amp;A6&amp;"'"&amp;"!B:B"))</f>
        <v>#DIV/0!</v>
      </c>
      <c r="C6" s="2908" t="s">
        <v>2991</v>
      </c>
      <c r="D6" s="2910"/>
      <c r="E6" s="2573">
        <f ca="1">SUMIF(INDIRECT("'"&amp;A6&amp;"'"&amp;"!C:C"),"建筑面积",INDIRECT("'"&amp;A6&amp;"'"&amp;"!D:D"))</f>
        <v>0</v>
      </c>
    </row>
    <row r="7" spans="1:5" ht="15.75">
      <c r="A7" s="2913"/>
      <c r="B7" s="2909" t="e">
        <f ca="1">SUMIF(INDIRECT("'"&amp;A7&amp;"'"&amp;"!A:A"),"总价",INDIRECT("'"&amp;A7&amp;"'"&amp;"!B:B"))</f>
        <v>#REF!</v>
      </c>
      <c r="C7" s="2908" t="s">
        <v>2991</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2991</v>
      </c>
      <c r="D8" s="2910"/>
      <c r="E8" s="2573" t="e">
        <f t="shared" ca="1" si="0"/>
        <v>#REF!</v>
      </c>
    </row>
    <row r="9" spans="1:5" ht="15.75">
      <c r="A9" s="2913"/>
      <c r="B9" s="2909" t="e">
        <f t="shared" ca="1" si="1"/>
        <v>#REF!</v>
      </c>
      <c r="C9" s="2908" t="s">
        <v>2991</v>
      </c>
      <c r="D9" s="2910"/>
      <c r="E9" s="2573" t="e">
        <f t="shared" ca="1" si="0"/>
        <v>#REF!</v>
      </c>
    </row>
    <row r="10" spans="1:5" ht="15.75">
      <c r="A10" s="2913"/>
      <c r="B10" s="2909" t="e">
        <f t="shared" ca="1" si="1"/>
        <v>#REF!</v>
      </c>
      <c r="C10" s="2908" t="s">
        <v>2991</v>
      </c>
      <c r="D10" s="2910"/>
      <c r="E10" s="2573" t="e">
        <f t="shared" ca="1" si="0"/>
        <v>#REF!</v>
      </c>
    </row>
    <row r="11" spans="1:5" ht="15.75">
      <c r="A11" s="2913"/>
      <c r="B11" s="2909" t="e">
        <f t="shared" ca="1" si="1"/>
        <v>#REF!</v>
      </c>
      <c r="C11" s="2908" t="s">
        <v>2991</v>
      </c>
      <c r="D11" s="2910"/>
      <c r="E11" s="2573" t="e">
        <f t="shared" ca="1" si="0"/>
        <v>#REF!</v>
      </c>
    </row>
    <row r="12" spans="1:5" ht="15.75">
      <c r="A12" s="2913"/>
      <c r="B12" s="2909" t="e">
        <f t="shared" ca="1" si="1"/>
        <v>#REF!</v>
      </c>
      <c r="C12" s="2908" t="s">
        <v>2991</v>
      </c>
      <c r="D12" s="2910"/>
      <c r="E12" s="2573" t="e">
        <f t="shared" ca="1" si="0"/>
        <v>#REF!</v>
      </c>
    </row>
    <row r="13" spans="1:5" ht="15.75">
      <c r="A13" s="2913"/>
      <c r="B13" s="2909" t="e">
        <f t="shared" ca="1" si="1"/>
        <v>#REF!</v>
      </c>
      <c r="C13" s="2908" t="s">
        <v>2991</v>
      </c>
      <c r="D13" s="2910"/>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3" t="s">
        <v>1146</v>
      </c>
      <c r="C1" s="3323"/>
      <c r="D1" s="3323"/>
      <c r="E1" s="3323"/>
      <c r="F1" s="3323"/>
      <c r="G1" s="3322" t="s">
        <v>1147</v>
      </c>
      <c r="H1" s="3322"/>
      <c r="I1" s="3322"/>
      <c r="J1" s="3322"/>
      <c r="K1" s="3322"/>
      <c r="L1" s="3322"/>
      <c r="N1" s="3322" t="s">
        <v>1148</v>
      </c>
      <c r="O1" s="3322"/>
      <c r="P1" s="3322"/>
      <c r="Q1" s="3322"/>
      <c r="R1" s="1444"/>
      <c r="S1" s="3322" t="s">
        <v>1149</v>
      </c>
      <c r="T1" s="3322"/>
      <c r="U1" s="3322"/>
      <c r="V1" s="3322"/>
      <c r="X1" s="3321" t="s">
        <v>1150</v>
      </c>
      <c r="Y1" s="3322"/>
      <c r="Z1" s="3322"/>
      <c r="AA1" s="3322"/>
      <c r="AB1" s="3322"/>
      <c r="AD1" s="3321" t="s">
        <v>1151</v>
      </c>
      <c r="AE1" s="3322"/>
      <c r="AF1" s="3322"/>
      <c r="AG1" s="3322"/>
      <c r="AH1" s="3322"/>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4" customFormat="1" ht="14.25">
      <c r="A3" s="2933" t="s">
        <v>3028</v>
      </c>
      <c r="B3" s="2925"/>
      <c r="C3" s="2925"/>
      <c r="D3" s="2926"/>
      <c r="E3" s="2926"/>
      <c r="F3" s="2925"/>
      <c r="G3" s="2927"/>
      <c r="H3" s="2928"/>
      <c r="I3" s="2929">
        <f>ROUND(AVERAGE($I4:$I25),2)</f>
        <v>2.13</v>
      </c>
      <c r="J3" s="2929">
        <f>ROUND(AVERAGE($J4:$J25),2)</f>
        <v>1.51</v>
      </c>
      <c r="K3" s="2929">
        <f>ROUND(AVERAGE($K4:$K25),2)</f>
        <v>2.34</v>
      </c>
      <c r="L3" s="2929">
        <f>ROUND(AVERAGE($L4:$L25),2)</f>
        <v>1.42</v>
      </c>
      <c r="N3" s="2927"/>
      <c r="O3" s="2930"/>
      <c r="P3" s="2930"/>
      <c r="Q3" s="2930"/>
      <c r="R3" s="2930"/>
      <c r="S3" s="2927"/>
      <c r="T3" s="2930"/>
      <c r="U3" s="2930"/>
      <c r="V3" s="2930"/>
      <c r="W3" s="2922"/>
      <c r="X3" s="2931">
        <f>ROUND(SUMPRODUCT(PRODUCT(1+N3:N$24)),4)</f>
        <v>1.5099</v>
      </c>
      <c r="Y3" s="2931">
        <f>ROUND(SUMPRODUCT(PRODUCT(1+O3:O$24)),4)</f>
        <v>1.3372999999999999</v>
      </c>
      <c r="Z3" s="2931">
        <f t="shared" ref="Z3:Z22" si="0">Y3</f>
        <v>1.3372999999999999</v>
      </c>
      <c r="AA3" s="2931">
        <f>ROUND(SUMPRODUCT(PRODUCT(1+P3:P$24)),4)</f>
        <v>1.5683</v>
      </c>
      <c r="AB3" s="2931">
        <f>ROUND(SUMPRODUCT(PRODUCT(1+Q3:Q$24)),4)</f>
        <v>1.3255999999999999</v>
      </c>
      <c r="AD3" s="2932">
        <f>ROUND(AVERAGE(I3:I$25)/100,4)</f>
        <v>2.1299999999999999E-2</v>
      </c>
      <c r="AE3" s="2932">
        <f>ROUND(AVERAGE(J3:J$25)/100,4)</f>
        <v>1.5100000000000001E-2</v>
      </c>
      <c r="AF3" s="2932">
        <f t="shared" ref="AF3:AF23" si="1">AE3</f>
        <v>1.5100000000000001E-2</v>
      </c>
      <c r="AG3" s="2932">
        <f>ROUND(AVERAGE(K3:K$25)/100,4)</f>
        <v>2.3400000000000001E-2</v>
      </c>
      <c r="AH3" s="2932">
        <f>ROUND(AVERAGE(L3:L$25)/100,4)</f>
        <v>1.4200000000000001E-2</v>
      </c>
    </row>
    <row r="4" spans="1:34" s="1451" customFormat="1" ht="14.25">
      <c r="B4" s="1452"/>
      <c r="C4" s="1452"/>
      <c r="D4" s="1453"/>
      <c r="E4" s="1453"/>
      <c r="F4" s="1452"/>
      <c r="G4" s="1454"/>
      <c r="H4" s="1455"/>
      <c r="I4" s="2919"/>
      <c r="J4" s="2919"/>
      <c r="K4" s="2919"/>
      <c r="L4" s="291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3041</v>
      </c>
      <c r="B5" s="1788">
        <f t="shared" ref="B5" si="2">B6*(1+N5)</f>
        <v>464.37293017158942</v>
      </c>
      <c r="C5" s="1788">
        <f t="shared" ref="C5" si="3">C6*(1+O5)</f>
        <v>344.73679941385956</v>
      </c>
      <c r="D5" s="1788">
        <f t="shared" ref="D5" si="4">C5</f>
        <v>344.73679941385956</v>
      </c>
      <c r="E5" s="1788">
        <f t="shared" ref="E5" si="5">E6*(1+P5)</f>
        <v>663.2377795103107</v>
      </c>
      <c r="F5" s="1788">
        <f t="shared" ref="F5" si="6">F6*(1+Q5)</f>
        <v>304.75936311478398</v>
      </c>
      <c r="G5" s="2937">
        <v>2019</v>
      </c>
      <c r="H5" s="1728">
        <v>1</v>
      </c>
      <c r="I5" s="2920">
        <v>0</v>
      </c>
      <c r="J5" s="2920">
        <v>0</v>
      </c>
      <c r="K5" s="2920">
        <v>0</v>
      </c>
      <c r="L5" s="2920">
        <v>0</v>
      </c>
      <c r="N5" s="1465">
        <f>I5/100</f>
        <v>0</v>
      </c>
      <c r="O5" s="1465">
        <f t="shared" ref="O5" si="7">J5/100</f>
        <v>0</v>
      </c>
      <c r="P5" s="1465">
        <f t="shared" ref="P5" si="8">K5/100</f>
        <v>0</v>
      </c>
      <c r="Q5" s="1465">
        <f t="shared" ref="Q5" si="9">L5/100</f>
        <v>0</v>
      </c>
      <c r="R5" s="1730"/>
      <c r="S5" s="1731"/>
      <c r="T5" s="1730"/>
      <c r="U5" s="1730"/>
      <c r="V5" s="1730"/>
      <c r="W5" s="2923" t="s">
        <v>3029</v>
      </c>
      <c r="X5" s="1724">
        <f>ROUND(IF(项目基本情况!B8="出让",SUMPRODUCT(PRODUCT(1+N5:N$25)),SUMPRODUCT(PRODUCT(1+N5:N$24))),4)</f>
        <v>1.5099</v>
      </c>
      <c r="Y5" s="1724">
        <f>ROUND(IF(项目基本情况!B8="出让",SUMPRODUCT(PRODUCT(1+O5:O$25)),SUMPRODUCT(PRODUCT(1+O5:O$24))),4)</f>
        <v>1.3372999999999999</v>
      </c>
      <c r="Z5" s="1724">
        <f t="shared" ref="Z5" si="10">Y5</f>
        <v>1.3372999999999999</v>
      </c>
      <c r="AA5" s="1724">
        <f>ROUND(IF(项目基本情况!B8="出让",SUMPRODUCT(PRODUCT(1+P5:P$25)),SUMPRODUCT(PRODUCT(1+P5:P$24))),4)</f>
        <v>1.5683</v>
      </c>
      <c r="AB5" s="1724">
        <f>ROUND(IF(项目基本情况!B8="出让",SUMPRODUCT(PRODUCT(1+Q5:Q$25)),SUMPRODUCT(PRODUCT(1+Q5:Q$24))),4)</f>
        <v>1.3255999999999999</v>
      </c>
      <c r="AD5" s="1466">
        <f>ROUND(AVERAGE(I5:I$25)/100,4)</f>
        <v>2.1299999999999999E-2</v>
      </c>
      <c r="AE5" s="1466">
        <f>ROUND(AVERAGE(J5:J$25)/100,4)</f>
        <v>1.5100000000000001E-2</v>
      </c>
      <c r="AF5" s="1466">
        <f t="shared" ref="AF5" si="11">AE5</f>
        <v>1.5100000000000001E-2</v>
      </c>
      <c r="AG5" s="1466">
        <f>ROUND(AVERAGE(K5:K$25)/100,4)</f>
        <v>2.3400000000000001E-2</v>
      </c>
      <c r="AH5" s="1466">
        <f>ROUND(AVERAGE(L5:L$25)/100,4)</f>
        <v>1.4200000000000001E-2</v>
      </c>
    </row>
    <row r="6" spans="1:34" s="1464" customFormat="1">
      <c r="A6" s="1459" t="s">
        <v>3042</v>
      </c>
      <c r="B6" s="1475">
        <f t="shared" ref="B6" si="12">B7*(1+N6)</f>
        <v>464.37293017158942</v>
      </c>
      <c r="C6" s="1475">
        <f t="shared" ref="C6" si="13">C7*(1+O6)</f>
        <v>344.73679941385956</v>
      </c>
      <c r="D6" s="1475">
        <f t="shared" ref="D6" si="14">C6</f>
        <v>344.73679941385956</v>
      </c>
      <c r="E6" s="1475">
        <f t="shared" ref="E6" si="15">E7*(1+P6)</f>
        <v>663.2377795103107</v>
      </c>
      <c r="F6" s="1475">
        <f t="shared" ref="F6" si="16">F7*(1+Q6)</f>
        <v>304.75936311478398</v>
      </c>
      <c r="G6" s="3319">
        <v>2018</v>
      </c>
      <c r="H6" s="1462">
        <v>4</v>
      </c>
      <c r="I6" s="2938">
        <v>0.96</v>
      </c>
      <c r="J6" s="2938">
        <v>1.03</v>
      </c>
      <c r="K6" s="2938">
        <v>0.92</v>
      </c>
      <c r="L6" s="2939">
        <v>1.29</v>
      </c>
      <c r="M6" s="1469"/>
      <c r="N6" s="1470">
        <f>I6/100</f>
        <v>9.5999999999999992E-3</v>
      </c>
      <c r="O6" s="1471">
        <f t="shared" ref="O6" si="17">J6/100</f>
        <v>1.03E-2</v>
      </c>
      <c r="P6" s="1471">
        <f t="shared" ref="P6" si="18">K6/100</f>
        <v>9.1999999999999998E-3</v>
      </c>
      <c r="Q6" s="1471">
        <f t="shared" ref="Q6" si="19">L6/100</f>
        <v>1.29E-2</v>
      </c>
      <c r="R6" s="1472"/>
      <c r="S6" s="1470"/>
      <c r="T6" s="1471"/>
      <c r="U6" s="1471"/>
      <c r="V6" s="1471"/>
      <c r="W6" s="1787"/>
      <c r="X6" s="1785">
        <f>ROUND(SUMPRODUCT(PRODUCT(1+N6:N$24)),4)</f>
        <v>1.5099</v>
      </c>
      <c r="Y6" s="1785">
        <f>ROUND(SUMPRODUCT(PRODUCT(1+O6:O$24)),4)</f>
        <v>1.3372999999999999</v>
      </c>
      <c r="Z6" s="1785">
        <f t="shared" ref="Z6" si="20">Y6</f>
        <v>1.3372999999999999</v>
      </c>
      <c r="AA6" s="1785">
        <f>ROUND(SUMPRODUCT(PRODUCT(1+P6:P$24)),4)</f>
        <v>1.5683</v>
      </c>
      <c r="AB6" s="1785">
        <f>ROUND(SUMPRODUCT(PRODUCT(1+Q6:Q$24)),4)</f>
        <v>1.3255999999999999</v>
      </c>
      <c r="AC6" s="1787"/>
      <c r="AD6" s="1786">
        <f>ROUND(AVERAGE(I6:I$25)/100,4)</f>
        <v>2.24E-2</v>
      </c>
      <c r="AE6" s="1786">
        <f>ROUND(AVERAGE(J6:J$25)/100,4)</f>
        <v>1.5800000000000002E-2</v>
      </c>
      <c r="AF6" s="1786">
        <f t="shared" ref="AF6" si="21">AE6</f>
        <v>1.5800000000000002E-2</v>
      </c>
      <c r="AG6" s="1786">
        <f>ROUND(AVERAGE(K6:K$25)/100,4)</f>
        <v>2.4500000000000001E-2</v>
      </c>
      <c r="AH6" s="1786">
        <f>ROUND(AVERAGE(L6:L$25)/100,4)</f>
        <v>1.49E-2</v>
      </c>
    </row>
    <row r="7" spans="1:34" s="1464" customFormat="1" ht="14.45" customHeight="1">
      <c r="A7" s="1459" t="s">
        <v>3035</v>
      </c>
      <c r="B7" s="1475">
        <f t="shared" ref="B7" si="22">B8*(1+N7)</f>
        <v>459.95733971036987</v>
      </c>
      <c r="C7" s="1475">
        <f t="shared" ref="C7" si="23">C8*(1+O7)</f>
        <v>341.22221064422405</v>
      </c>
      <c r="D7" s="1475">
        <f t="shared" ref="D7" si="24">C7</f>
        <v>341.22221064422405</v>
      </c>
      <c r="E7" s="1475">
        <f t="shared" ref="E7" si="25">E8*(1+P7)</f>
        <v>657.19161663724799</v>
      </c>
      <c r="F7" s="1475">
        <f t="shared" ref="F7" si="26">F8*(1+Q7)</f>
        <v>300.87803644464805</v>
      </c>
      <c r="G7" s="3319"/>
      <c r="H7" s="1462">
        <v>3</v>
      </c>
      <c r="I7" s="1462">
        <v>1.51</v>
      </c>
      <c r="J7" s="1462">
        <v>1.41</v>
      </c>
      <c r="K7" s="1462">
        <v>1.52</v>
      </c>
      <c r="L7" s="1476">
        <v>1.74</v>
      </c>
      <c r="M7" s="1469"/>
      <c r="N7" s="1470">
        <f>I7/100</f>
        <v>1.5100000000000001E-2</v>
      </c>
      <c r="O7" s="1471">
        <f t="shared" ref="O7" si="27">J7/100</f>
        <v>1.41E-2</v>
      </c>
      <c r="P7" s="1471">
        <f t="shared" ref="P7" si="28">K7/100</f>
        <v>1.52E-2</v>
      </c>
      <c r="Q7" s="1471">
        <f t="shared" ref="Q7" si="29">L7/100</f>
        <v>1.7399999999999999E-2</v>
      </c>
      <c r="R7" s="1472"/>
      <c r="S7" s="1470"/>
      <c r="T7" s="1471"/>
      <c r="U7" s="1471"/>
      <c r="V7" s="1471"/>
      <c r="W7" s="1787"/>
      <c r="X7" s="1785">
        <f>ROUND(SUMPRODUCT(PRODUCT(1+N7:N$24)),4)</f>
        <v>1.4956</v>
      </c>
      <c r="Y7" s="1785">
        <f>ROUND(SUMPRODUCT(PRODUCT(1+O7:O$24)),4)</f>
        <v>1.3237000000000001</v>
      </c>
      <c r="Z7" s="1785">
        <f t="shared" ref="Z7" si="30">Y7</f>
        <v>1.3237000000000001</v>
      </c>
      <c r="AA7" s="1785">
        <f>ROUND(SUMPRODUCT(PRODUCT(1+P7:P$24)),4)</f>
        <v>1.554</v>
      </c>
      <c r="AB7" s="1785">
        <f>ROUND(SUMPRODUCT(PRODUCT(1+Q7:Q$24)),4)</f>
        <v>1.3087</v>
      </c>
      <c r="AC7" s="1787"/>
      <c r="AD7" s="1786">
        <f>ROUND(AVERAGE(I7:I$25)/100,4)</f>
        <v>2.3099999999999999E-2</v>
      </c>
      <c r="AE7" s="1786">
        <f>ROUND(AVERAGE(J7:J$25)/100,4)</f>
        <v>1.61E-2</v>
      </c>
      <c r="AF7" s="1786">
        <f t="shared" ref="AF7" si="31">AE7</f>
        <v>1.61E-2</v>
      </c>
      <c r="AG7" s="1786">
        <f>ROUND(AVERAGE(K7:K$25)/100,4)</f>
        <v>2.53E-2</v>
      </c>
      <c r="AH7" s="1786">
        <f>ROUND(AVERAGE(L7:L$25)/100,4)</f>
        <v>1.4999999999999999E-2</v>
      </c>
    </row>
    <row r="8" spans="1:34" s="1464" customFormat="1" ht="14.45" customHeight="1">
      <c r="A8" s="1459" t="s">
        <v>3034</v>
      </c>
      <c r="B8" s="1475">
        <f t="shared" ref="B8" si="32">B9*(1+N8)</f>
        <v>453.11529869999993</v>
      </c>
      <c r="C8" s="1475">
        <f t="shared" ref="C8" si="33">C9*(1+O8)</f>
        <v>336.47787264000004</v>
      </c>
      <c r="D8" s="1475">
        <f t="shared" ref="D8" si="34">C8</f>
        <v>336.47787264000004</v>
      </c>
      <c r="E8" s="1475">
        <f t="shared" ref="E8" si="35">E9*(1+P8)</f>
        <v>647.35186823999993</v>
      </c>
      <c r="F8" s="1475">
        <f t="shared" ref="F8" si="36">F9*(1+Q8)</f>
        <v>295.73229452000004</v>
      </c>
      <c r="G8" s="3319"/>
      <c r="H8" s="1462">
        <v>2</v>
      </c>
      <c r="I8" s="1462">
        <v>1.49</v>
      </c>
      <c r="J8" s="1462">
        <v>0.96</v>
      </c>
      <c r="K8" s="1462">
        <v>1.58</v>
      </c>
      <c r="L8" s="1476">
        <v>2.44</v>
      </c>
      <c r="M8" s="1469"/>
      <c r="N8" s="1470">
        <f t="shared" ref="N8" si="37">I8/100</f>
        <v>1.49E-2</v>
      </c>
      <c r="O8" s="1471">
        <f t="shared" ref="O8" si="38">J8/100</f>
        <v>9.5999999999999992E-3</v>
      </c>
      <c r="P8" s="1471">
        <f t="shared" ref="P8" si="39">K8/100</f>
        <v>1.5800000000000002E-2</v>
      </c>
      <c r="Q8" s="1471">
        <f t="shared" ref="Q8" si="40">L8/100</f>
        <v>2.4399999999999998E-2</v>
      </c>
      <c r="R8" s="1472"/>
      <c r="S8" s="1470"/>
      <c r="T8" s="1471"/>
      <c r="U8" s="1471"/>
      <c r="V8" s="1471"/>
      <c r="W8" s="1787"/>
      <c r="X8" s="1785">
        <f>ROUND(SUMPRODUCT(PRODUCT(1+N8:N$24)),4)</f>
        <v>1.4733000000000001</v>
      </c>
      <c r="Y8" s="1785">
        <f>ROUND(SUMPRODUCT(PRODUCT(1+O8:O$24)),4)</f>
        <v>1.3052999999999999</v>
      </c>
      <c r="Z8" s="1785">
        <f t="shared" ref="Z8" si="41">Y8</f>
        <v>1.3052999999999999</v>
      </c>
      <c r="AA8" s="1785">
        <f>ROUND(SUMPRODUCT(PRODUCT(1+P8:P$24)),4)</f>
        <v>1.5306999999999999</v>
      </c>
      <c r="AB8" s="1785">
        <f>ROUND(SUMPRODUCT(PRODUCT(1+Q8:Q$24)),4)</f>
        <v>1.2863</v>
      </c>
      <c r="AC8" s="1787"/>
      <c r="AD8" s="1786">
        <f>ROUND(AVERAGE(I8:I$25)/100,4)</f>
        <v>2.35E-2</v>
      </c>
      <c r="AE8" s="1786">
        <f>ROUND(AVERAGE(J8:J$25)/100,4)</f>
        <v>1.6199999999999999E-2</v>
      </c>
      <c r="AF8" s="1786">
        <f t="shared" ref="AF8" si="42">AE8</f>
        <v>1.6199999999999999E-2</v>
      </c>
      <c r="AG8" s="1786">
        <f>ROUND(AVERAGE(K8:K$25)/100,4)</f>
        <v>2.5899999999999999E-2</v>
      </c>
      <c r="AH8" s="1786">
        <f>ROUND(AVERAGE(L8:L$25)/100,4)</f>
        <v>1.49E-2</v>
      </c>
    </row>
    <row r="9" spans="1:34" s="1464" customFormat="1" ht="15" customHeight="1" thickBot="1">
      <c r="A9" s="1459" t="s">
        <v>3027</v>
      </c>
      <c r="B9" s="1475">
        <f t="shared" ref="B9" si="43">B10*(1+N9)</f>
        <v>446.46299999999997</v>
      </c>
      <c r="C9" s="1475">
        <f t="shared" ref="C9" si="44">C10*(1+O9)</f>
        <v>333.27840000000003</v>
      </c>
      <c r="D9" s="1475">
        <f t="shared" ref="D9" si="45">C9</f>
        <v>333.27840000000003</v>
      </c>
      <c r="E9" s="1475">
        <f t="shared" ref="E9" si="46">E10*(1+P9)</f>
        <v>637.28279999999995</v>
      </c>
      <c r="F9" s="1475">
        <f t="shared" ref="F9" si="47">F10*(1+Q9)</f>
        <v>288.68830000000003</v>
      </c>
      <c r="G9" s="3328"/>
      <c r="H9" s="1462">
        <v>1</v>
      </c>
      <c r="I9" s="1462">
        <v>1.7</v>
      </c>
      <c r="J9" s="1462">
        <v>1.92</v>
      </c>
      <c r="K9" s="1462">
        <v>1.64</v>
      </c>
      <c r="L9" s="1476">
        <v>2.0099999999999998</v>
      </c>
      <c r="M9" s="1469"/>
      <c r="N9" s="1470">
        <f t="shared" ref="N9:N14" si="48">I9/100</f>
        <v>1.7000000000000001E-2</v>
      </c>
      <c r="O9" s="1471">
        <f t="shared" ref="O9" si="49">J9/100</f>
        <v>1.9199999999999998E-2</v>
      </c>
      <c r="P9" s="1471">
        <f t="shared" ref="P9" si="50">K9/100</f>
        <v>1.6399999999999998E-2</v>
      </c>
      <c r="Q9" s="1471">
        <f t="shared" ref="Q9" si="51">L9/100</f>
        <v>2.0099999999999996E-2</v>
      </c>
      <c r="R9" s="1472"/>
      <c r="S9" s="1470">
        <f>B9/B10-1</f>
        <v>1.6999999999999904E-2</v>
      </c>
      <c r="T9" s="1471">
        <f t="shared" ref="T9" si="52">C9/C10-1</f>
        <v>1.9200000000000106E-2</v>
      </c>
      <c r="U9" s="1471">
        <f t="shared" ref="U9" si="53">D9/D10-1</f>
        <v>1.9200000000000106E-2</v>
      </c>
      <c r="V9" s="1471">
        <f t="shared" ref="V9" si="54">E9/E10-1</f>
        <v>1.639999999999997E-2</v>
      </c>
      <c r="W9" s="1787"/>
      <c r="X9" s="1785">
        <f>ROUND(SUMPRODUCT(PRODUCT(1+N9:N$24)),4)</f>
        <v>1.4517</v>
      </c>
      <c r="Y9" s="1785">
        <f>ROUND(SUMPRODUCT(PRODUCT(1+O9:O$24)),4)</f>
        <v>1.2928999999999999</v>
      </c>
      <c r="Z9" s="1785">
        <f t="shared" ref="Z9" si="55">Y9</f>
        <v>1.2928999999999999</v>
      </c>
      <c r="AA9" s="1785">
        <f>ROUND(SUMPRODUCT(PRODUCT(1+P9:P$24)),4)</f>
        <v>1.5068999999999999</v>
      </c>
      <c r="AB9" s="1785">
        <f>ROUND(SUMPRODUCT(PRODUCT(1+Q9:Q$24)),4)</f>
        <v>1.2557</v>
      </c>
      <c r="AC9" s="1787"/>
      <c r="AD9" s="1786">
        <f>ROUND(AVERAGE(I9:I$25)/100,4)</f>
        <v>2.4E-2</v>
      </c>
      <c r="AE9" s="1786">
        <f>ROUND(AVERAGE(J9:J$25)/100,4)</f>
        <v>1.66E-2</v>
      </c>
      <c r="AF9" s="1786">
        <f t="shared" ref="AF9" si="56">AE9</f>
        <v>1.66E-2</v>
      </c>
      <c r="AG9" s="1786">
        <f>ROUND(AVERAGE(K9:K$25)/100,4)</f>
        <v>2.6499999999999999E-2</v>
      </c>
      <c r="AH9" s="1786">
        <f>ROUND(AVERAGE(L9:L$25)/100,4)</f>
        <v>1.43E-2</v>
      </c>
    </row>
    <row r="10" spans="1:34">
      <c r="A10" s="1459" t="s">
        <v>3024</v>
      </c>
      <c r="B10" s="1467">
        <v>439</v>
      </c>
      <c r="C10" s="1467">
        <v>327</v>
      </c>
      <c r="D10" s="1467">
        <f>C10</f>
        <v>327</v>
      </c>
      <c r="E10" s="1467">
        <v>627</v>
      </c>
      <c r="F10" s="1468">
        <v>283</v>
      </c>
      <c r="G10" s="3324">
        <v>2017</v>
      </c>
      <c r="H10" s="1460">
        <v>4</v>
      </c>
      <c r="I10" s="1460">
        <v>1.71</v>
      </c>
      <c r="J10" s="1460">
        <v>1.78</v>
      </c>
      <c r="K10" s="1460">
        <v>1.71</v>
      </c>
      <c r="L10" s="1461">
        <v>1.43</v>
      </c>
      <c r="N10" s="1470">
        <f t="shared" si="48"/>
        <v>1.7100000000000001E-2</v>
      </c>
      <c r="O10" s="1471">
        <f t="shared" ref="O10" si="57">J10/100</f>
        <v>1.78E-2</v>
      </c>
      <c r="P10" s="1471">
        <f t="shared" ref="P10" si="58">K10/100</f>
        <v>1.7100000000000001E-2</v>
      </c>
      <c r="Q10" s="1471">
        <f t="shared" ref="Q10" si="59">L10/100</f>
        <v>1.43E-2</v>
      </c>
      <c r="R10" s="1472"/>
      <c r="S10" s="1473"/>
      <c r="T10" s="1474"/>
      <c r="U10" s="1474"/>
      <c r="V10" s="1474"/>
      <c r="X10" s="1457">
        <f>ROUND(SUMPRODUCT(PRODUCT(1+N10:N$24)),4)</f>
        <v>1.4274</v>
      </c>
      <c r="Y10" s="1457">
        <f>ROUND(SUMPRODUCT(PRODUCT(1+O10:O$24)),4)</f>
        <v>1.2685</v>
      </c>
      <c r="Z10" s="1457">
        <f t="shared" si="0"/>
        <v>1.2685</v>
      </c>
      <c r="AA10" s="1457">
        <f>ROUND(SUMPRODUCT(PRODUCT(1+P10:P$24)),4)</f>
        <v>1.4825999999999999</v>
      </c>
      <c r="AB10" s="1457">
        <f>ROUND(SUMPRODUCT(PRODUCT(1+Q10:Q$24)),4)</f>
        <v>1.2309000000000001</v>
      </c>
      <c r="AD10" s="1458">
        <f>ROUND(AVERAGE(I10:I$25)/100,4)</f>
        <v>2.4500000000000001E-2</v>
      </c>
      <c r="AE10" s="1458">
        <f>ROUND(AVERAGE(J10:J$25)/100,4)</f>
        <v>1.6500000000000001E-2</v>
      </c>
      <c r="AF10" s="1458">
        <f t="shared" si="1"/>
        <v>1.6500000000000001E-2</v>
      </c>
      <c r="AG10" s="1458">
        <f>ROUND(AVERAGE(K10:K$25)/100,4)</f>
        <v>2.7099999999999999E-2</v>
      </c>
      <c r="AH10" s="1458">
        <f>ROUND(AVERAGE(L10:L$25)/100,4)</f>
        <v>1.3899999999999999E-2</v>
      </c>
    </row>
    <row r="11" spans="1:34" s="1464" customFormat="1" ht="14.45" customHeight="1">
      <c r="A11" s="1459" t="s">
        <v>3025</v>
      </c>
      <c r="B11" s="1475">
        <f t="shared" ref="B11:B12" si="60">B12*(1+N11)</f>
        <v>431.80730811680002</v>
      </c>
      <c r="C11" s="1475">
        <f t="shared" ref="C11:C12" si="61">C12*(1+O11)</f>
        <v>320.57880516480003</v>
      </c>
      <c r="D11" s="1475">
        <f t="shared" ref="D11:D12" si="62">C11</f>
        <v>320.57880516480003</v>
      </c>
      <c r="E11" s="1475">
        <f t="shared" ref="E11:E12" si="63">E12*(1+P11)</f>
        <v>615.96110553196797</v>
      </c>
      <c r="F11" s="1475">
        <f t="shared" ref="F11:F12" si="64">F12*(1+Q11)</f>
        <v>279.46777300108801</v>
      </c>
      <c r="G11" s="3319"/>
      <c r="H11" s="1462">
        <v>3</v>
      </c>
      <c r="I11" s="1462">
        <v>2.98</v>
      </c>
      <c r="J11" s="1462">
        <v>2.11</v>
      </c>
      <c r="K11" s="1462">
        <v>3.24</v>
      </c>
      <c r="L11" s="1476">
        <v>1.72</v>
      </c>
      <c r="M11" s="1469"/>
      <c r="N11" s="1470">
        <f t="shared" si="48"/>
        <v>2.98E-2</v>
      </c>
      <c r="O11" s="1471">
        <f t="shared" ref="O11" si="65">J11/100</f>
        <v>2.1099999999999997E-2</v>
      </c>
      <c r="P11" s="1471">
        <f t="shared" ref="P11" si="66">K11/100</f>
        <v>3.2400000000000005E-2</v>
      </c>
      <c r="Q11" s="1471">
        <f t="shared" ref="Q11" si="67">L11/100</f>
        <v>1.72E-2</v>
      </c>
      <c r="R11" s="1472"/>
      <c r="S11" s="1470"/>
      <c r="T11" s="1471"/>
      <c r="U11" s="1471"/>
      <c r="V11" s="1471"/>
      <c r="W11" s="1787"/>
      <c r="X11" s="1785">
        <f>ROUND(SUMPRODUCT(PRODUCT(1+N11:N$24)),4)</f>
        <v>1.4034</v>
      </c>
      <c r="Y11" s="1785">
        <f>ROUND(SUMPRODUCT(PRODUCT(1+O11:O$24)),4)</f>
        <v>1.2463</v>
      </c>
      <c r="Z11" s="1785">
        <f t="shared" si="0"/>
        <v>1.2463</v>
      </c>
      <c r="AA11" s="1785">
        <f>ROUND(SUMPRODUCT(PRODUCT(1+P11:P$24)),4)</f>
        <v>1.4577</v>
      </c>
      <c r="AB11" s="1785">
        <f>ROUND(SUMPRODUCT(PRODUCT(1+Q11:Q$24)),4)</f>
        <v>1.2136</v>
      </c>
      <c r="AC11" s="1787"/>
      <c r="AD11" s="1786">
        <f>ROUND(AVERAGE(I11:I$25)/100,4)</f>
        <v>2.4899999999999999E-2</v>
      </c>
      <c r="AE11" s="1786">
        <f>ROUND(AVERAGE(J11:J$25)/100,4)</f>
        <v>1.6400000000000001E-2</v>
      </c>
      <c r="AF11" s="1786">
        <f t="shared" si="1"/>
        <v>1.6400000000000001E-2</v>
      </c>
      <c r="AG11" s="1786">
        <f>ROUND(AVERAGE(K11:K$25)/100,4)</f>
        <v>2.7799999999999998E-2</v>
      </c>
      <c r="AH11" s="1786">
        <f>ROUND(AVERAGE(L11:L$25)/100,4)</f>
        <v>1.3899999999999999E-2</v>
      </c>
    </row>
    <row r="12" spans="1:34" s="1729" customFormat="1" ht="14.45" customHeight="1">
      <c r="A12" s="1459" t="s">
        <v>1382</v>
      </c>
      <c r="B12" s="1475">
        <f t="shared" si="60"/>
        <v>419.31181600000002</v>
      </c>
      <c r="C12" s="1475">
        <f t="shared" si="61"/>
        <v>313.95436800000004</v>
      </c>
      <c r="D12" s="1475">
        <f t="shared" si="62"/>
        <v>313.95436800000004</v>
      </c>
      <c r="E12" s="1475">
        <f t="shared" si="63"/>
        <v>596.63028431999999</v>
      </c>
      <c r="F12" s="1475">
        <f t="shared" si="64"/>
        <v>274.74220703999998</v>
      </c>
      <c r="G12" s="3319"/>
      <c r="H12" s="1463">
        <v>2</v>
      </c>
      <c r="I12" s="1463">
        <v>3.4</v>
      </c>
      <c r="J12" s="1463">
        <v>2</v>
      </c>
      <c r="K12" s="1463">
        <v>3.82</v>
      </c>
      <c r="L12" s="1477">
        <v>1.68</v>
      </c>
      <c r="M12" s="1469"/>
      <c r="N12" s="1470">
        <f t="shared" si="48"/>
        <v>3.4000000000000002E-2</v>
      </c>
      <c r="O12" s="1471">
        <f t="shared" ref="O12" si="68">J12/100</f>
        <v>0.02</v>
      </c>
      <c r="P12" s="1471">
        <f t="shared" ref="P12" si="69">K12/100</f>
        <v>3.8199999999999998E-2</v>
      </c>
      <c r="Q12" s="1471">
        <f t="shared" ref="Q12" si="70">L12/100</f>
        <v>1.6799999999999999E-2</v>
      </c>
      <c r="R12" s="1472"/>
      <c r="S12" s="1473"/>
      <c r="T12" s="1474"/>
      <c r="U12" s="1474"/>
      <c r="V12" s="1474"/>
      <c r="W12" s="1451"/>
      <c r="X12" s="1785">
        <f>ROUND(SUMPRODUCT(PRODUCT(1+N12:N$24)),4)</f>
        <v>1.3628</v>
      </c>
      <c r="Y12" s="1785">
        <f>ROUND(SUMPRODUCT(PRODUCT(1+O12:O$24)),4)</f>
        <v>1.2205999999999999</v>
      </c>
      <c r="Z12" s="1785">
        <f t="shared" si="0"/>
        <v>1.2205999999999999</v>
      </c>
      <c r="AA12" s="1785">
        <f>ROUND(SUMPRODUCT(PRODUCT(1+P12:P$24)),4)</f>
        <v>1.4118999999999999</v>
      </c>
      <c r="AB12" s="1785">
        <f>ROUND(SUMPRODUCT(PRODUCT(1+Q12:Q$24)),4)</f>
        <v>1.1930000000000001</v>
      </c>
      <c r="AC12" s="1451"/>
      <c r="AD12" s="1786">
        <f>ROUND(AVERAGE(I12:I$25)/100,4)</f>
        <v>2.46E-2</v>
      </c>
      <c r="AE12" s="1786">
        <f>ROUND(AVERAGE(J12:J$25)/100,4)</f>
        <v>1.6E-2</v>
      </c>
      <c r="AF12" s="1786">
        <f t="shared" si="1"/>
        <v>1.6E-2</v>
      </c>
      <c r="AG12" s="1786">
        <f>ROUND(AVERAGE(K12:K$25)/100,4)</f>
        <v>2.75E-2</v>
      </c>
      <c r="AH12" s="1786">
        <f>ROUND(AVERAGE(L12:L$25)/100,4)</f>
        <v>1.37E-2</v>
      </c>
    </row>
    <row r="13" spans="1:34" s="1464" customFormat="1" ht="15" customHeight="1" thickBot="1">
      <c r="A13" s="1459" t="s">
        <v>1157</v>
      </c>
      <c r="B13" s="1475">
        <f>B14*(1+N13)</f>
        <v>405.524</v>
      </c>
      <c r="C13" s="1475">
        <f>C14*(1+O13)</f>
        <v>307.79840000000002</v>
      </c>
      <c r="D13" s="1475">
        <f>C13</f>
        <v>307.79840000000002</v>
      </c>
      <c r="E13" s="1475">
        <f>E14*(1+P13)</f>
        <v>574.67759999999998</v>
      </c>
      <c r="F13" s="1475">
        <f>F14*(1+Q13)</f>
        <v>270.20280000000002</v>
      </c>
      <c r="G13" s="3328"/>
      <c r="H13" s="1462">
        <v>1</v>
      </c>
      <c r="I13" s="1462">
        <v>3.45</v>
      </c>
      <c r="J13" s="1462">
        <v>1.92</v>
      </c>
      <c r="K13" s="1462">
        <v>3.92</v>
      </c>
      <c r="L13" s="1476">
        <v>1.58</v>
      </c>
      <c r="M13" s="1469"/>
      <c r="N13" s="1470">
        <f t="shared" si="48"/>
        <v>3.4500000000000003E-2</v>
      </c>
      <c r="O13" s="1471">
        <f t="shared" ref="O13:Q28" si="71">J13/100</f>
        <v>1.9199999999999998E-2</v>
      </c>
      <c r="P13" s="1471">
        <f t="shared" si="71"/>
        <v>3.9199999999999999E-2</v>
      </c>
      <c r="Q13" s="1471">
        <f t="shared" si="71"/>
        <v>1.5800000000000002E-2</v>
      </c>
      <c r="R13" s="1472"/>
      <c r="S13" s="1470">
        <f>B13/B14-1</f>
        <v>3.4499999999999975E-2</v>
      </c>
      <c r="T13" s="1471">
        <f t="shared" ref="T13:V13" si="72">C13/C14-1</f>
        <v>1.9200000000000106E-2</v>
      </c>
      <c r="U13" s="1471">
        <f t="shared" si="72"/>
        <v>1.9200000000000106E-2</v>
      </c>
      <c r="V13" s="1471">
        <f t="shared" si="72"/>
        <v>3.9199999999999902E-2</v>
      </c>
      <c r="W13" s="1787"/>
      <c r="X13" s="1785">
        <f>ROUND(SUMPRODUCT(PRODUCT(1+N13:N$24)),4)</f>
        <v>1.3180000000000001</v>
      </c>
      <c r="Y13" s="1785">
        <f>ROUND(SUMPRODUCT(PRODUCT(1+O13:O$24)),4)</f>
        <v>1.1966000000000001</v>
      </c>
      <c r="Z13" s="1785">
        <f t="shared" si="0"/>
        <v>1.1966000000000001</v>
      </c>
      <c r="AA13" s="1785">
        <f>ROUND(SUMPRODUCT(PRODUCT(1+P13:P$24)),4)</f>
        <v>1.36</v>
      </c>
      <c r="AB13" s="1785">
        <f>ROUND(SUMPRODUCT(PRODUCT(1+Q13:Q$24)),4)</f>
        <v>1.1733</v>
      </c>
      <c r="AC13" s="1787"/>
      <c r="AD13" s="1786">
        <f>ROUND(AVERAGE(I13:I$25)/100,4)</f>
        <v>2.3900000000000001E-2</v>
      </c>
      <c r="AE13" s="1786">
        <f>ROUND(AVERAGE(J13:J$25)/100,4)</f>
        <v>1.5699999999999999E-2</v>
      </c>
      <c r="AF13" s="1786">
        <f t="shared" si="1"/>
        <v>1.5699999999999999E-2</v>
      </c>
      <c r="AG13" s="1786">
        <f>ROUND(AVERAGE(K13:K$25)/100,4)</f>
        <v>2.6599999999999999E-2</v>
      </c>
      <c r="AH13" s="1786">
        <f>ROUND(AVERAGE(L13:L$25)/100,4)</f>
        <v>1.34E-2</v>
      </c>
    </row>
    <row r="14" spans="1:34">
      <c r="A14" s="1459" t="s">
        <v>154</v>
      </c>
      <c r="B14" s="1467">
        <v>392</v>
      </c>
      <c r="C14" s="1467">
        <v>302</v>
      </c>
      <c r="D14" s="1467">
        <f>C14</f>
        <v>302</v>
      </c>
      <c r="E14" s="1467">
        <v>553</v>
      </c>
      <c r="F14" s="1468">
        <v>266</v>
      </c>
      <c r="G14" s="3324">
        <v>2016</v>
      </c>
      <c r="H14" s="1460">
        <v>4</v>
      </c>
      <c r="I14" s="1460">
        <v>4.5599999999999996</v>
      </c>
      <c r="J14" s="1460">
        <v>2.15</v>
      </c>
      <c r="K14" s="1460">
        <v>5.32</v>
      </c>
      <c r="L14" s="1461">
        <v>1.57</v>
      </c>
      <c r="N14" s="1470">
        <f t="shared" si="48"/>
        <v>4.5599999999999995E-2</v>
      </c>
      <c r="O14" s="1471">
        <f t="shared" si="71"/>
        <v>2.1499999999999998E-2</v>
      </c>
      <c r="P14" s="1471">
        <f t="shared" si="71"/>
        <v>5.3200000000000004E-2</v>
      </c>
      <c r="Q14" s="1471">
        <f t="shared" si="71"/>
        <v>1.5700000000000002E-2</v>
      </c>
      <c r="R14" s="1472"/>
      <c r="S14" s="1473"/>
      <c r="T14" s="1474"/>
      <c r="U14" s="1474"/>
      <c r="V14" s="1474"/>
      <c r="X14" s="1457">
        <f>ROUND(SUMPRODUCT(PRODUCT(1+N14:N$24)),4)</f>
        <v>1.274</v>
      </c>
      <c r="Y14" s="1457">
        <f>ROUND(SUMPRODUCT(PRODUCT(1+O14:O$24)),4)</f>
        <v>1.1740999999999999</v>
      </c>
      <c r="Z14" s="1457">
        <f t="shared" si="0"/>
        <v>1.1740999999999999</v>
      </c>
      <c r="AA14" s="1457">
        <f>ROUND(SUMPRODUCT(PRODUCT(1+P14:P$24)),4)</f>
        <v>1.3087</v>
      </c>
      <c r="AB14" s="1457">
        <f>ROUND(SUMPRODUCT(PRODUCT(1+Q14:Q$24)),4)</f>
        <v>1.1551</v>
      </c>
      <c r="AD14" s="1458">
        <f>ROUND(AVERAGE(I14:I$25)/100,4)</f>
        <v>2.3E-2</v>
      </c>
      <c r="AE14" s="1458">
        <f>ROUND(AVERAGE(J14:J$25)/100,4)</f>
        <v>1.55E-2</v>
      </c>
      <c r="AF14" s="1458">
        <f t="shared" si="1"/>
        <v>1.55E-2</v>
      </c>
      <c r="AG14" s="1458">
        <f>ROUND(AVERAGE(K14:K$25)/100,4)</f>
        <v>2.5600000000000001E-2</v>
      </c>
      <c r="AH14" s="1458">
        <f>ROUND(AVERAGE(L14:L$25)/100,4)</f>
        <v>1.32E-2</v>
      </c>
    </row>
    <row r="15" spans="1:34">
      <c r="A15" s="1459" t="s">
        <v>153</v>
      </c>
      <c r="B15" s="1475">
        <f t="shared" ref="B15:C17" si="73">B14/(1+N14)</f>
        <v>374.90436113236416</v>
      </c>
      <c r="C15" s="1475">
        <f t="shared" si="73"/>
        <v>295.64366128242779</v>
      </c>
      <c r="D15" s="1475">
        <f t="shared" ref="D15:D74" si="74">C15</f>
        <v>295.64366128242779</v>
      </c>
      <c r="E15" s="1475">
        <f t="shared" ref="E15:F17" si="75">E14/(1+P14)</f>
        <v>525.06646410938095</v>
      </c>
      <c r="F15" s="1475">
        <f t="shared" si="75"/>
        <v>261.88835286009646</v>
      </c>
      <c r="G15" s="3319"/>
      <c r="H15" s="1462">
        <v>3</v>
      </c>
      <c r="I15" s="1462">
        <v>4.12</v>
      </c>
      <c r="J15" s="1462">
        <v>2</v>
      </c>
      <c r="K15" s="1462">
        <v>4.79</v>
      </c>
      <c r="L15" s="1476">
        <v>1.97</v>
      </c>
      <c r="N15" s="1470">
        <f t="shared" ref="N15:Q49" si="76">I15/100</f>
        <v>4.1200000000000001E-2</v>
      </c>
      <c r="O15" s="1471">
        <f t="shared" si="71"/>
        <v>0.02</v>
      </c>
      <c r="P15" s="1471">
        <f t="shared" si="71"/>
        <v>4.7899999999999998E-2</v>
      </c>
      <c r="Q15" s="1471">
        <f t="shared" si="71"/>
        <v>1.9699999999999999E-2</v>
      </c>
      <c r="R15" s="1472"/>
      <c r="S15" s="1470"/>
      <c r="T15" s="1471"/>
      <c r="U15" s="1471"/>
      <c r="V15" s="1471"/>
      <c r="X15" s="1457">
        <f>ROUND(SUMPRODUCT(PRODUCT(1+N15:N$24)),4)</f>
        <v>1.2184999999999999</v>
      </c>
      <c r="Y15" s="1457">
        <f>ROUND(SUMPRODUCT(PRODUCT(1+O15:O$24)),4)</f>
        <v>1.1494</v>
      </c>
      <c r="Z15" s="1457">
        <f t="shared" si="0"/>
        <v>1.1494</v>
      </c>
      <c r="AA15" s="1457">
        <f>ROUND(SUMPRODUCT(PRODUCT(1+P15:P$24)),4)</f>
        <v>1.2425999999999999</v>
      </c>
      <c r="AB15" s="1457">
        <f>ROUND(SUMPRODUCT(PRODUCT(1+Q15:Q$24)),4)</f>
        <v>1.1372</v>
      </c>
      <c r="AD15" s="1458">
        <f>ROUND(AVERAGE(I15:I$25)/100,4)</f>
        <v>2.0899999999999998E-2</v>
      </c>
      <c r="AE15" s="1458">
        <f>ROUND(AVERAGE(J15:J$25)/100,4)</f>
        <v>1.49E-2</v>
      </c>
      <c r="AF15" s="1458">
        <f t="shared" si="1"/>
        <v>1.49E-2</v>
      </c>
      <c r="AG15" s="1458">
        <f>ROUND(AVERAGE(K15:K$25)/100,4)</f>
        <v>2.3099999999999999E-2</v>
      </c>
      <c r="AH15" s="1458">
        <f>ROUND(AVERAGE(L15:L$25)/100,4)</f>
        <v>1.2999999999999999E-2</v>
      </c>
    </row>
    <row r="16" spans="1:34">
      <c r="A16" s="1459" t="s">
        <v>143</v>
      </c>
      <c r="B16" s="1475">
        <f t="shared" si="73"/>
        <v>360.06949782209392</v>
      </c>
      <c r="C16" s="1475">
        <f t="shared" si="73"/>
        <v>289.84672674747821</v>
      </c>
      <c r="D16" s="1475">
        <f t="shared" si="74"/>
        <v>289.84672674747821</v>
      </c>
      <c r="E16" s="1475">
        <f t="shared" si="75"/>
        <v>501.06543001181495</v>
      </c>
      <c r="F16" s="1475">
        <f t="shared" si="75"/>
        <v>256.82882500744967</v>
      </c>
      <c r="G16" s="3319"/>
      <c r="H16" s="1463">
        <v>2</v>
      </c>
      <c r="I16" s="1463">
        <v>3.85</v>
      </c>
      <c r="J16" s="1463">
        <v>1.95</v>
      </c>
      <c r="K16" s="1463">
        <v>4.4800000000000004</v>
      </c>
      <c r="L16" s="1477">
        <v>1.41</v>
      </c>
      <c r="N16" s="1470">
        <f t="shared" si="76"/>
        <v>3.85E-2</v>
      </c>
      <c r="O16" s="1471">
        <f t="shared" si="71"/>
        <v>1.95E-2</v>
      </c>
      <c r="P16" s="1471">
        <f t="shared" si="71"/>
        <v>4.4800000000000006E-2</v>
      </c>
      <c r="Q16" s="1471">
        <f t="shared" si="71"/>
        <v>1.41E-2</v>
      </c>
      <c r="R16" s="1472"/>
      <c r="S16" s="1470"/>
      <c r="T16" s="1471"/>
      <c r="U16" s="1471"/>
      <c r="V16" s="1471"/>
      <c r="X16" s="1457">
        <f>ROUND(SUMPRODUCT(PRODUCT(1+N16:N$24)),4)</f>
        <v>1.1702999999999999</v>
      </c>
      <c r="Y16" s="1457">
        <f>ROUND(SUMPRODUCT(PRODUCT(1+O16:O$24)),4)</f>
        <v>1.1269</v>
      </c>
      <c r="Z16" s="1457">
        <f t="shared" si="0"/>
        <v>1.1269</v>
      </c>
      <c r="AA16" s="1457">
        <f>ROUND(SUMPRODUCT(PRODUCT(1+P16:P$24)),4)</f>
        <v>1.1858</v>
      </c>
      <c r="AB16" s="1457">
        <f>ROUND(SUMPRODUCT(PRODUCT(1+Q16:Q$24)),4)</f>
        <v>1.1152</v>
      </c>
      <c r="AD16" s="1458">
        <f>ROUND(AVERAGE(I16:I$25)/100,4)</f>
        <v>1.89E-2</v>
      </c>
      <c r="AE16" s="1458">
        <f>ROUND(AVERAGE(J16:J$25)/100,4)</f>
        <v>1.44E-2</v>
      </c>
      <c r="AF16" s="1458">
        <f t="shared" si="1"/>
        <v>1.44E-2</v>
      </c>
      <c r="AG16" s="1458">
        <f>ROUND(AVERAGE(K16:K$25)/100,4)</f>
        <v>2.06E-2</v>
      </c>
      <c r="AH16" s="1458">
        <f>ROUND(AVERAGE(L16:L$25)/100,4)</f>
        <v>1.23E-2</v>
      </c>
    </row>
    <row r="17" spans="1:34" ht="13.5" thickBot="1">
      <c r="A17" s="1459" t="s">
        <v>152</v>
      </c>
      <c r="B17" s="1475">
        <f t="shared" si="73"/>
        <v>346.720748986128</v>
      </c>
      <c r="C17" s="1475">
        <f t="shared" si="73"/>
        <v>284.30282172386285</v>
      </c>
      <c r="D17" s="1475">
        <f t="shared" si="74"/>
        <v>284.30282172386285</v>
      </c>
      <c r="E17" s="1475">
        <f t="shared" si="75"/>
        <v>479.58023546306947</v>
      </c>
      <c r="F17" s="1475">
        <f t="shared" si="75"/>
        <v>253.25788877571213</v>
      </c>
      <c r="G17" s="3320"/>
      <c r="H17" s="1462">
        <v>1</v>
      </c>
      <c r="I17" s="1462">
        <v>4.09</v>
      </c>
      <c r="J17" s="1462">
        <v>2.93</v>
      </c>
      <c r="K17" s="1462">
        <v>4.54</v>
      </c>
      <c r="L17" s="1476">
        <v>1.48</v>
      </c>
      <c r="N17" s="1470">
        <f t="shared" si="76"/>
        <v>4.0899999999999999E-2</v>
      </c>
      <c r="O17" s="1471">
        <f t="shared" si="71"/>
        <v>2.9300000000000003E-2</v>
      </c>
      <c r="P17" s="1471">
        <f t="shared" si="71"/>
        <v>4.5400000000000003E-2</v>
      </c>
      <c r="Q17" s="1471">
        <f t="shared" si="71"/>
        <v>1.4800000000000001E-2</v>
      </c>
      <c r="R17" s="1472"/>
      <c r="S17" s="1478">
        <f>B17/B18-1</f>
        <v>4.1203450408792808E-2</v>
      </c>
      <c r="T17" s="1479">
        <f>C17/C18-1</f>
        <v>2.6363977342465095E-2</v>
      </c>
      <c r="U17" s="1479">
        <f>E17/E18-1</f>
        <v>4.4837114298626357E-2</v>
      </c>
      <c r="V17" s="1479">
        <f>F17/F18-1</f>
        <v>1.7099954922538574E-2</v>
      </c>
      <c r="X17" s="1457">
        <f>ROUND(SUMPRODUCT(PRODUCT(1+N17:N$24)),4)</f>
        <v>1.1269</v>
      </c>
      <c r="Y17" s="1457">
        <f>ROUND(SUMPRODUCT(PRODUCT(1+O17:O$24)),4)</f>
        <v>1.1052999999999999</v>
      </c>
      <c r="Z17" s="1457">
        <f t="shared" si="0"/>
        <v>1.1052999999999999</v>
      </c>
      <c r="AA17" s="1457">
        <f>ROUND(SUMPRODUCT(PRODUCT(1+P17:P$24)),4)</f>
        <v>1.1349</v>
      </c>
      <c r="AB17" s="1457">
        <f>ROUND(SUMPRODUCT(PRODUCT(1+Q17:Q$24)),4)</f>
        <v>1.0996999999999999</v>
      </c>
      <c r="AD17" s="1458">
        <f>ROUND(AVERAGE(I17:I$25)/100,4)</f>
        <v>1.67E-2</v>
      </c>
      <c r="AE17" s="1458">
        <f>ROUND(AVERAGE(J17:J$25)/100,4)</f>
        <v>1.38E-2</v>
      </c>
      <c r="AF17" s="1458">
        <f t="shared" si="1"/>
        <v>1.38E-2</v>
      </c>
      <c r="AG17" s="1458">
        <f>ROUND(AVERAGE(K17:K$25)/100,4)</f>
        <v>1.7899999999999999E-2</v>
      </c>
      <c r="AH17" s="1458">
        <f>ROUND(AVERAGE(L17:L$25)/100,4)</f>
        <v>1.21E-2</v>
      </c>
    </row>
    <row r="18" spans="1:34" ht="13.5" thickBot="1">
      <c r="A18" s="1459" t="s">
        <v>151</v>
      </c>
      <c r="B18" s="1467">
        <v>333</v>
      </c>
      <c r="C18" s="1467">
        <v>277</v>
      </c>
      <c r="D18" s="1467">
        <f t="shared" si="74"/>
        <v>277</v>
      </c>
      <c r="E18" s="1467">
        <v>459</v>
      </c>
      <c r="F18" s="1468">
        <v>249</v>
      </c>
      <c r="G18" s="3318">
        <v>2015</v>
      </c>
      <c r="H18" s="1480">
        <v>4</v>
      </c>
      <c r="I18" s="1480">
        <v>1.63</v>
      </c>
      <c r="J18" s="1480">
        <v>1.1100000000000001</v>
      </c>
      <c r="K18" s="1480">
        <v>1.77</v>
      </c>
      <c r="L18" s="1481">
        <v>1.89</v>
      </c>
      <c r="N18" s="1482">
        <f t="shared" si="76"/>
        <v>1.6299999999999999E-2</v>
      </c>
      <c r="O18" s="1483">
        <f t="shared" si="71"/>
        <v>1.11E-2</v>
      </c>
      <c r="P18" s="1483">
        <f t="shared" si="71"/>
        <v>1.77E-2</v>
      </c>
      <c r="Q18" s="1483">
        <f t="shared" si="71"/>
        <v>1.89E-2</v>
      </c>
      <c r="R18" s="1472"/>
      <c r="X18" s="1457">
        <f>ROUND(SUMPRODUCT(PRODUCT(1+N18:N$24)),4)</f>
        <v>1.0826</v>
      </c>
      <c r="Y18" s="1457">
        <f>ROUND(SUMPRODUCT(PRODUCT(1+O18:O$24)),4)</f>
        <v>1.0738000000000001</v>
      </c>
      <c r="Z18" s="1457">
        <f t="shared" si="0"/>
        <v>1.0738000000000001</v>
      </c>
      <c r="AA18" s="1457">
        <f>ROUND(SUMPRODUCT(PRODUCT(1+P18:P$24)),4)</f>
        <v>1.0855999999999999</v>
      </c>
      <c r="AB18" s="1457">
        <f>ROUND(SUMPRODUCT(PRODUCT(1+Q18:Q$24)),4)</f>
        <v>1.0837000000000001</v>
      </c>
      <c r="AD18" s="1458">
        <f>ROUND(AVERAGE(I18:I$25)/100,4)</f>
        <v>1.37E-2</v>
      </c>
      <c r="AE18" s="1458">
        <f>ROUND(AVERAGE(J18:J$25)/100,4)</f>
        <v>1.1900000000000001E-2</v>
      </c>
      <c r="AF18" s="1458">
        <f t="shared" si="1"/>
        <v>1.1900000000000001E-2</v>
      </c>
      <c r="AG18" s="1458">
        <f>ROUND(AVERAGE(K18:K$25)/100,4)</f>
        <v>1.4500000000000001E-2</v>
      </c>
      <c r="AH18" s="1458">
        <f>ROUND(AVERAGE(L18:L$25)/100,4)</f>
        <v>1.18E-2</v>
      </c>
    </row>
    <row r="19" spans="1:34">
      <c r="A19" s="1459" t="s">
        <v>150</v>
      </c>
      <c r="B19" s="1475">
        <f t="shared" ref="B19:C21" si="77">B18/(1+N18)</f>
        <v>327.65915576109415</v>
      </c>
      <c r="C19" s="1475">
        <f t="shared" si="77"/>
        <v>273.95905449510434</v>
      </c>
      <c r="D19" s="1475">
        <f t="shared" si="74"/>
        <v>273.95905449510434</v>
      </c>
      <c r="E19" s="1475">
        <f t="shared" ref="E19:F21" si="78">E18/(1+P18)</f>
        <v>451.01699911565294</v>
      </c>
      <c r="F19" s="1475">
        <f t="shared" si="78"/>
        <v>244.38119540681129</v>
      </c>
      <c r="G19" s="3319"/>
      <c r="H19" s="1485">
        <v>3</v>
      </c>
      <c r="I19" s="1485">
        <v>1.65</v>
      </c>
      <c r="J19" s="1485">
        <v>0.92</v>
      </c>
      <c r="K19" s="1485">
        <v>1.88</v>
      </c>
      <c r="L19" s="1486">
        <v>1.26</v>
      </c>
      <c r="N19" s="1470">
        <f t="shared" si="76"/>
        <v>1.6500000000000001E-2</v>
      </c>
      <c r="O19" s="1487">
        <f t="shared" si="71"/>
        <v>9.1999999999999998E-3</v>
      </c>
      <c r="P19" s="1487">
        <f t="shared" si="71"/>
        <v>1.8799999999999997E-2</v>
      </c>
      <c r="Q19" s="1487">
        <f t="shared" si="71"/>
        <v>1.26E-2</v>
      </c>
      <c r="R19" s="1472"/>
      <c r="S19" s="1470"/>
      <c r="T19" s="1471"/>
      <c r="U19" s="1471"/>
      <c r="V19" s="1471"/>
      <c r="X19" s="1457">
        <f>ROUND(SUMPRODUCT(PRODUCT(1+N19:N$24)),4)</f>
        <v>1.0651999999999999</v>
      </c>
      <c r="Y19" s="1457">
        <f>ROUND(SUMPRODUCT(PRODUCT(1+O19:O$24)),4)</f>
        <v>1.0621</v>
      </c>
      <c r="Z19" s="1457">
        <f t="shared" si="0"/>
        <v>1.0621</v>
      </c>
      <c r="AA19" s="1457">
        <f>ROUND(SUMPRODUCT(PRODUCT(1+P19:P$24)),4)</f>
        <v>1.0668</v>
      </c>
      <c r="AB19" s="1457">
        <f>ROUND(SUMPRODUCT(PRODUCT(1+Q19:Q$24)),4)</f>
        <v>1.0636000000000001</v>
      </c>
      <c r="AD19" s="1458">
        <f>ROUND(AVERAGE(I19:I$25)/100,4)</f>
        <v>1.3299999999999999E-2</v>
      </c>
      <c r="AE19" s="1458">
        <f>ROUND(AVERAGE(J19:J$25)/100,4)</f>
        <v>1.2E-2</v>
      </c>
      <c r="AF19" s="1458">
        <f t="shared" si="1"/>
        <v>1.2E-2</v>
      </c>
      <c r="AG19" s="1458">
        <f>ROUND(AVERAGE(K19:K$25)/100,4)</f>
        <v>1.4E-2</v>
      </c>
      <c r="AH19" s="1458">
        <f>ROUND(AVERAGE(L19:L$25)/100,4)</f>
        <v>1.0800000000000001E-2</v>
      </c>
    </row>
    <row r="20" spans="1:34">
      <c r="A20" s="1459" t="s">
        <v>149</v>
      </c>
      <c r="B20" s="1475">
        <f t="shared" si="77"/>
        <v>322.34053690220776</v>
      </c>
      <c r="C20" s="1475">
        <f t="shared" si="77"/>
        <v>271.46160770422546</v>
      </c>
      <c r="D20" s="1475">
        <f t="shared" si="74"/>
        <v>271.46160770422546</v>
      </c>
      <c r="E20" s="1475">
        <f t="shared" si="78"/>
        <v>442.69434542172456</v>
      </c>
      <c r="F20" s="1475">
        <f t="shared" si="78"/>
        <v>241.34030753190925</v>
      </c>
      <c r="G20" s="3319"/>
      <c r="H20" s="1463">
        <v>2</v>
      </c>
      <c r="I20" s="1463">
        <v>0.77</v>
      </c>
      <c r="J20" s="1463">
        <v>0.69</v>
      </c>
      <c r="K20" s="1463">
        <v>0.8</v>
      </c>
      <c r="L20" s="1477">
        <v>0.88</v>
      </c>
      <c r="N20" s="1470">
        <f t="shared" si="76"/>
        <v>7.7000000000000002E-3</v>
      </c>
      <c r="O20" s="1487">
        <f t="shared" si="71"/>
        <v>6.8999999999999999E-3</v>
      </c>
      <c r="P20" s="1487">
        <f t="shared" si="71"/>
        <v>8.0000000000000002E-3</v>
      </c>
      <c r="Q20" s="1487">
        <f t="shared" si="71"/>
        <v>8.8000000000000005E-3</v>
      </c>
      <c r="R20" s="1472"/>
      <c r="S20" s="1470"/>
      <c r="T20" s="1471"/>
      <c r="U20" s="1471"/>
      <c r="V20" s="1471"/>
      <c r="X20" s="1457">
        <f>ROUND(SUMPRODUCT(PRODUCT(1+N20:N$24)),4)</f>
        <v>1.048</v>
      </c>
      <c r="Y20" s="1457">
        <f>ROUND(SUMPRODUCT(PRODUCT(1+O20:O$24)),4)</f>
        <v>1.0524</v>
      </c>
      <c r="Z20" s="1457">
        <f t="shared" si="0"/>
        <v>1.0524</v>
      </c>
      <c r="AA20" s="1457">
        <f>ROUND(SUMPRODUCT(PRODUCT(1+P20:P$24)),4)</f>
        <v>1.0470999999999999</v>
      </c>
      <c r="AB20" s="1457">
        <f>ROUND(SUMPRODUCT(PRODUCT(1+Q20:Q$24)),4)</f>
        <v>1.0504</v>
      </c>
      <c r="AD20" s="1458">
        <f>ROUND(AVERAGE(I20:I$25)/100,4)</f>
        <v>1.2800000000000001E-2</v>
      </c>
      <c r="AE20" s="1458">
        <f>ROUND(AVERAGE(J20:J$25)/100,4)</f>
        <v>1.2500000000000001E-2</v>
      </c>
      <c r="AF20" s="1458">
        <f t="shared" si="1"/>
        <v>1.2500000000000001E-2</v>
      </c>
      <c r="AG20" s="1458">
        <f>ROUND(AVERAGE(K20:K$25)/100,4)</f>
        <v>1.32E-2</v>
      </c>
      <c r="AH20" s="1458">
        <f>ROUND(AVERAGE(L20:L$25)/100,4)</f>
        <v>1.0500000000000001E-2</v>
      </c>
    </row>
    <row r="21" spans="1:34">
      <c r="A21" s="1459" t="s">
        <v>148</v>
      </c>
      <c r="B21" s="1475">
        <f t="shared" si="77"/>
        <v>319.87748030386797</v>
      </c>
      <c r="C21" s="1475">
        <f t="shared" si="77"/>
        <v>269.60135833173649</v>
      </c>
      <c r="D21" s="1475">
        <f t="shared" si="74"/>
        <v>269.60135833173649</v>
      </c>
      <c r="E21" s="1475">
        <f t="shared" si="78"/>
        <v>439.18089823583784</v>
      </c>
      <c r="F21" s="1475">
        <f t="shared" si="78"/>
        <v>239.23503918706311</v>
      </c>
      <c r="G21" s="3320"/>
      <c r="H21" s="1462">
        <v>1</v>
      </c>
      <c r="I21" s="1462">
        <v>0.51</v>
      </c>
      <c r="J21" s="1462">
        <v>0.54</v>
      </c>
      <c r="K21" s="1462">
        <v>0.48</v>
      </c>
      <c r="L21" s="1476">
        <v>0.93</v>
      </c>
      <c r="N21" s="1478">
        <f t="shared" si="76"/>
        <v>5.1000000000000004E-3</v>
      </c>
      <c r="O21" s="1479">
        <f t="shared" si="71"/>
        <v>5.4000000000000003E-3</v>
      </c>
      <c r="P21" s="1479">
        <f t="shared" si="71"/>
        <v>4.7999999999999996E-3</v>
      </c>
      <c r="Q21" s="1479">
        <f t="shared" si="71"/>
        <v>9.300000000000001E-3</v>
      </c>
      <c r="R21" s="1472"/>
      <c r="S21" s="1478">
        <f>B21/B22-1</f>
        <v>5.9040261127922822E-3</v>
      </c>
      <c r="T21" s="1479">
        <f>C21/C22-1</f>
        <v>5.9752176557332781E-3</v>
      </c>
      <c r="U21" s="1479">
        <f>E21/E22-1</f>
        <v>4.9906138119859556E-3</v>
      </c>
      <c r="V21" s="1479">
        <f>F21/F22-1</f>
        <v>9.4305450930933787E-3</v>
      </c>
      <c r="X21" s="1457">
        <f>ROUND(SUMPRODUCT(PRODUCT(1+N21:N$24)),4)</f>
        <v>1.0399</v>
      </c>
      <c r="Y21" s="1457">
        <f>ROUND(SUMPRODUCT(PRODUCT(1+O21:O$24)),4)</f>
        <v>1.0451999999999999</v>
      </c>
      <c r="Z21" s="1457">
        <f t="shared" si="0"/>
        <v>1.0451999999999999</v>
      </c>
      <c r="AA21" s="1457">
        <f>ROUND(SUMPRODUCT(PRODUCT(1+P21:P$24)),4)</f>
        <v>1.0387999999999999</v>
      </c>
      <c r="AB21" s="1457">
        <f>ROUND(SUMPRODUCT(PRODUCT(1+Q21:Q$24)),4)</f>
        <v>1.0411999999999999</v>
      </c>
      <c r="AD21" s="1458">
        <f>ROUND(AVERAGE(I21:I$25)/100,4)</f>
        <v>1.38E-2</v>
      </c>
      <c r="AE21" s="1458">
        <f>ROUND(AVERAGE(J21:J$25)/100,4)</f>
        <v>1.3599999999999999E-2</v>
      </c>
      <c r="AF21" s="1458">
        <f t="shared" si="1"/>
        <v>1.3599999999999999E-2</v>
      </c>
      <c r="AG21" s="1458">
        <f>ROUND(AVERAGE(K21:K$25)/100,4)</f>
        <v>1.4200000000000001E-2</v>
      </c>
      <c r="AH21" s="1458">
        <f>ROUND(AVERAGE(L21:L$25)/100,4)</f>
        <v>1.0800000000000001E-2</v>
      </c>
    </row>
    <row r="22" spans="1:34" ht="13.5" thickBot="1">
      <c r="A22" s="1459" t="s">
        <v>147</v>
      </c>
      <c r="B22" s="1488">
        <v>318</v>
      </c>
      <c r="C22" s="1488">
        <v>268</v>
      </c>
      <c r="D22" s="1488">
        <f t="shared" si="74"/>
        <v>268</v>
      </c>
      <c r="E22" s="1488">
        <v>437</v>
      </c>
      <c r="F22" s="1489">
        <v>237</v>
      </c>
      <c r="G22" s="3318">
        <v>2014</v>
      </c>
      <c r="H22" s="1480">
        <v>4</v>
      </c>
      <c r="I22" s="1480">
        <v>0.21</v>
      </c>
      <c r="J22" s="1480">
        <v>0.41</v>
      </c>
      <c r="K22" s="1480">
        <v>0.12</v>
      </c>
      <c r="L22" s="1481">
        <v>0.89</v>
      </c>
      <c r="N22" s="1470">
        <f t="shared" si="76"/>
        <v>2.0999999999999999E-3</v>
      </c>
      <c r="O22" s="1471">
        <f t="shared" si="71"/>
        <v>4.0999999999999995E-3</v>
      </c>
      <c r="P22" s="1471">
        <f t="shared" si="71"/>
        <v>1.1999999999999999E-3</v>
      </c>
      <c r="Q22" s="1471">
        <f t="shared" si="71"/>
        <v>8.8999999999999999E-3</v>
      </c>
      <c r="R22" s="1472"/>
      <c r="S22" s="1473"/>
      <c r="T22" s="1474"/>
      <c r="U22" s="1474"/>
      <c r="V22" s="1474"/>
      <c r="X22" s="1457">
        <f>ROUND(SUMPRODUCT(PRODUCT(1+N22:N$24)),4)</f>
        <v>1.0347</v>
      </c>
      <c r="Y22" s="1457">
        <f>ROUND(SUMPRODUCT(PRODUCT(1+O22:O$24)),4)</f>
        <v>1.0395000000000001</v>
      </c>
      <c r="Z22" s="1457">
        <f t="shared" si="0"/>
        <v>1.0395000000000001</v>
      </c>
      <c r="AA22" s="1457">
        <f>ROUND(SUMPRODUCT(PRODUCT(1+P22:P$24)),4)</f>
        <v>1.0338000000000001</v>
      </c>
      <c r="AB22" s="1457">
        <f>ROUND(SUMPRODUCT(PRODUCT(1+Q22:Q$24)),4)</f>
        <v>1.0316000000000001</v>
      </c>
      <c r="AD22" s="1458">
        <f>ROUND(AVERAGE(I22:I$25)/100,4)</f>
        <v>1.6E-2</v>
      </c>
      <c r="AE22" s="1458">
        <f>ROUND(AVERAGE(J22:J$25)/100,4)</f>
        <v>1.5599999999999999E-2</v>
      </c>
      <c r="AF22" s="1458">
        <f t="shared" si="1"/>
        <v>1.5599999999999999E-2</v>
      </c>
      <c r="AG22" s="1458">
        <f>ROUND(AVERAGE(K22:K$25)/100,4)</f>
        <v>1.66E-2</v>
      </c>
      <c r="AH22" s="1458">
        <f>ROUND(AVERAGE(L22:L$25)/100,4)</f>
        <v>1.12E-2</v>
      </c>
    </row>
    <row r="23" spans="1:34">
      <c r="A23" s="1459" t="s">
        <v>146</v>
      </c>
      <c r="B23" s="1475">
        <f t="shared" ref="B23:C25" si="79">B22/(1+N22)</f>
        <v>317.33359944117353</v>
      </c>
      <c r="C23" s="1475">
        <f t="shared" si="79"/>
        <v>266.90568668459315</v>
      </c>
      <c r="D23" s="1475">
        <f t="shared" si="74"/>
        <v>266.90568668459315</v>
      </c>
      <c r="E23" s="1475">
        <f t="shared" ref="E23:F25" si="80">E22/(1+P22)</f>
        <v>436.47622852576905</v>
      </c>
      <c r="F23" s="1475">
        <f t="shared" si="80"/>
        <v>234.90930716622066</v>
      </c>
      <c r="G23" s="3319"/>
      <c r="H23" s="1490">
        <v>3</v>
      </c>
      <c r="I23" s="1490">
        <v>0.83</v>
      </c>
      <c r="J23" s="1490">
        <v>1.47</v>
      </c>
      <c r="K23" s="1490">
        <v>0.65</v>
      </c>
      <c r="L23" s="1491">
        <v>0.72</v>
      </c>
      <c r="N23" s="1470">
        <f t="shared" si="76"/>
        <v>8.3000000000000001E-3</v>
      </c>
      <c r="O23" s="1471">
        <f t="shared" si="71"/>
        <v>1.47E-2</v>
      </c>
      <c r="P23" s="1471">
        <f t="shared" si="71"/>
        <v>6.5000000000000006E-3</v>
      </c>
      <c r="Q23" s="1471">
        <f t="shared" si="71"/>
        <v>7.1999999999999998E-3</v>
      </c>
      <c r="R23" s="1472"/>
      <c r="S23" s="1470"/>
      <c r="T23" s="1471"/>
      <c r="U23" s="1471"/>
      <c r="V23" s="1471"/>
      <c r="X23" s="1457">
        <f>ROUND(SUMPRODUCT(PRODUCT(1+N23:N$24)),4)</f>
        <v>1.0325</v>
      </c>
      <c r="Y23" s="1457">
        <f>ROUND(SUMPRODUCT(PRODUCT(1+O23:O$24)),4)</f>
        <v>1.0353000000000001</v>
      </c>
      <c r="Z23" s="1457">
        <f t="shared" ref="Z23:Z24" si="81">Y23</f>
        <v>1.0353000000000001</v>
      </c>
      <c r="AA23" s="1457">
        <f>ROUND(SUMPRODUCT(PRODUCT(1+P23:P$24)),4)</f>
        <v>1.0326</v>
      </c>
      <c r="AB23" s="1457">
        <f>ROUND(SUMPRODUCT(PRODUCT(1+Q23:Q$24)),4)</f>
        <v>1.0225</v>
      </c>
      <c r="AD23" s="1458">
        <f>ROUND(AVERAGE(I23:I$25)/100,4)</f>
        <v>2.07E-2</v>
      </c>
      <c r="AE23" s="1458">
        <f>ROUND(AVERAGE(J23:J$25)/100,4)</f>
        <v>1.95E-2</v>
      </c>
      <c r="AF23" s="1458">
        <f t="shared" si="1"/>
        <v>1.95E-2</v>
      </c>
      <c r="AG23" s="1458">
        <f>ROUND(AVERAGE(K23:K$25)/100,4)</f>
        <v>2.1700000000000001E-2</v>
      </c>
      <c r="AH23" s="1458">
        <f>ROUND(AVERAGE(L23:L$25)/100,4)</f>
        <v>1.2E-2</v>
      </c>
    </row>
    <row r="24" spans="1:34" ht="13.5" thickBot="1">
      <c r="A24" s="1459" t="s">
        <v>145</v>
      </c>
      <c r="B24" s="1475">
        <f t="shared" si="79"/>
        <v>314.72141172386546</v>
      </c>
      <c r="C24" s="1475">
        <f t="shared" si="79"/>
        <v>263.03901319069001</v>
      </c>
      <c r="D24" s="1475">
        <f t="shared" si="74"/>
        <v>263.03901319069001</v>
      </c>
      <c r="E24" s="1475">
        <f t="shared" si="80"/>
        <v>433.65745506782821</v>
      </c>
      <c r="F24" s="1475">
        <f t="shared" si="80"/>
        <v>233.23005080045735</v>
      </c>
      <c r="G24" s="3319"/>
      <c r="H24" s="1480">
        <v>2</v>
      </c>
      <c r="I24" s="1480">
        <v>2.4</v>
      </c>
      <c r="J24" s="1480">
        <v>2.0299999999999998</v>
      </c>
      <c r="K24" s="1480">
        <v>2.59</v>
      </c>
      <c r="L24" s="1481">
        <v>1.52</v>
      </c>
      <c r="N24" s="1470">
        <f t="shared" si="76"/>
        <v>2.4E-2</v>
      </c>
      <c r="O24" s="1471">
        <f t="shared" si="71"/>
        <v>2.0299999999999999E-2</v>
      </c>
      <c r="P24" s="1471">
        <f t="shared" si="71"/>
        <v>2.5899999999999999E-2</v>
      </c>
      <c r="Q24" s="1471">
        <f t="shared" si="71"/>
        <v>1.52E-2</v>
      </c>
      <c r="R24" s="1472"/>
      <c r="S24" s="1470"/>
      <c r="T24" s="1471"/>
      <c r="U24" s="1471"/>
      <c r="V24" s="1471"/>
      <c r="X24" s="1457">
        <f>1+N24</f>
        <v>1.024</v>
      </c>
      <c r="Y24" s="1457">
        <f>1+O24</f>
        <v>1.0203</v>
      </c>
      <c r="Z24" s="1457">
        <f t="shared" si="81"/>
        <v>1.0203</v>
      </c>
      <c r="AA24" s="1457">
        <f>1+P24</f>
        <v>1.0259</v>
      </c>
      <c r="AB24" s="1457">
        <f>1+Q24</f>
        <v>1.0152000000000001</v>
      </c>
      <c r="AD24" s="1458">
        <f>ROUND(AVERAGE(I24:I$25)/100,4)</f>
        <v>2.69E-2</v>
      </c>
      <c r="AE24" s="1458">
        <f>ROUND(AVERAGE(J24:J$25)/100,4)</f>
        <v>2.1899999999999999E-2</v>
      </c>
      <c r="AF24" s="1458">
        <f t="shared" ref="AF24" si="82">AE24</f>
        <v>2.1899999999999999E-2</v>
      </c>
      <c r="AG24" s="1458">
        <f>ROUND(AVERAGE(K24:K$25)/100,4)</f>
        <v>2.9399999999999999E-2</v>
      </c>
      <c r="AH24" s="1458">
        <f>ROUND(AVERAGE(L24:L$25)/100,4)</f>
        <v>1.44E-2</v>
      </c>
    </row>
    <row r="25" spans="1:34" s="1496" customFormat="1" ht="13.5" thickBot="1">
      <c r="A25" s="1492" t="s">
        <v>144</v>
      </c>
      <c r="B25" s="1493">
        <f t="shared" si="79"/>
        <v>307.34512863658733</v>
      </c>
      <c r="C25" s="1493">
        <f t="shared" si="79"/>
        <v>257.80556031626975</v>
      </c>
      <c r="D25" s="1493">
        <f t="shared" si="74"/>
        <v>257.80556031626975</v>
      </c>
      <c r="E25" s="1493">
        <f t="shared" si="80"/>
        <v>422.70928459677179</v>
      </c>
      <c r="F25" s="1493">
        <f t="shared" si="80"/>
        <v>229.73803270336617</v>
      </c>
      <c r="G25" s="3320"/>
      <c r="H25" s="1494">
        <v>1</v>
      </c>
      <c r="I25" s="1494">
        <v>2.97</v>
      </c>
      <c r="J25" s="1494">
        <v>2.34</v>
      </c>
      <c r="K25" s="1494">
        <v>3.28</v>
      </c>
      <c r="L25" s="1495">
        <v>1.36</v>
      </c>
      <c r="N25" s="1497">
        <f t="shared" si="76"/>
        <v>2.9700000000000001E-2</v>
      </c>
      <c r="O25" s="1498">
        <f t="shared" si="71"/>
        <v>2.3399999999999997E-2</v>
      </c>
      <c r="P25" s="1498">
        <f t="shared" si="71"/>
        <v>3.2799999999999996E-2</v>
      </c>
      <c r="Q25" s="1498">
        <f t="shared" si="71"/>
        <v>1.3600000000000001E-2</v>
      </c>
      <c r="R25" s="1499"/>
      <c r="S25" s="1500">
        <f>B25/B26-1</f>
        <v>2.7910129219355539E-2</v>
      </c>
      <c r="T25" s="1501">
        <f>C25/C26-1</f>
        <v>2.3037937762975247E-2</v>
      </c>
      <c r="U25" s="1501">
        <f>E25/E26-1</f>
        <v>3.3519033243940788E-2</v>
      </c>
      <c r="V25" s="1501">
        <f>F25/F26-1</f>
        <v>1.2061818076502862E-2</v>
      </c>
      <c r="W25" s="1502" t="s">
        <v>1158</v>
      </c>
      <c r="X25" s="1503">
        <v>1</v>
      </c>
      <c r="Y25" s="1503">
        <v>1</v>
      </c>
      <c r="Z25" s="1503">
        <v>1</v>
      </c>
      <c r="AA25" s="1503">
        <v>1</v>
      </c>
      <c r="AB25" s="1503">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59" t="s">
        <v>1159</v>
      </c>
      <c r="B26" s="1467">
        <v>299</v>
      </c>
      <c r="C26" s="1467">
        <v>252</v>
      </c>
      <c r="D26" s="1467">
        <f t="shared" si="74"/>
        <v>252</v>
      </c>
      <c r="E26" s="1467">
        <v>409</v>
      </c>
      <c r="F26" s="1468">
        <v>227</v>
      </c>
      <c r="G26" s="3325">
        <v>2013</v>
      </c>
      <c r="H26" s="1504">
        <v>4</v>
      </c>
      <c r="I26" s="1504">
        <v>1.83</v>
      </c>
      <c r="J26" s="1504">
        <v>1.68</v>
      </c>
      <c r="K26" s="1504">
        <v>1.97</v>
      </c>
      <c r="L26" s="1505">
        <v>0.87</v>
      </c>
      <c r="N26" s="1482">
        <f t="shared" si="76"/>
        <v>1.83E-2</v>
      </c>
      <c r="O26" s="1483">
        <f t="shared" si="71"/>
        <v>1.6799999999999999E-2</v>
      </c>
      <c r="P26" s="1483">
        <f t="shared" si="71"/>
        <v>1.9699999999999999E-2</v>
      </c>
      <c r="Q26" s="1483">
        <f t="shared" si="71"/>
        <v>8.6999999999999994E-3</v>
      </c>
      <c r="R26" s="1472"/>
      <c r="S26" s="1473"/>
      <c r="T26" s="1474"/>
      <c r="U26" s="1474"/>
      <c r="V26" s="1474"/>
      <c r="X26" s="1474"/>
      <c r="Y26" s="1474"/>
      <c r="Z26" s="1474"/>
    </row>
    <row r="27" spans="1:34">
      <c r="A27" s="1459" t="s">
        <v>1160</v>
      </c>
      <c r="B27" s="1475">
        <f t="shared" ref="B27:C29" si="83">B26/(1+N26)</f>
        <v>293.62663262299913</v>
      </c>
      <c r="C27" s="1475">
        <f t="shared" si="83"/>
        <v>247.83634933123525</v>
      </c>
      <c r="D27" s="1475">
        <f t="shared" si="74"/>
        <v>247.83634933123525</v>
      </c>
      <c r="E27" s="1475">
        <f t="shared" ref="E27:F29" si="84">E26/(1+P26)</f>
        <v>401.09836226341076</v>
      </c>
      <c r="F27" s="1475">
        <f t="shared" si="84"/>
        <v>225.04213343908003</v>
      </c>
      <c r="G27" s="3326"/>
      <c r="H27" s="1485">
        <v>3</v>
      </c>
      <c r="I27" s="1485">
        <v>1.86</v>
      </c>
      <c r="J27" s="1485">
        <v>1.72</v>
      </c>
      <c r="K27" s="1485">
        <v>1.98</v>
      </c>
      <c r="L27" s="1486">
        <v>0.88</v>
      </c>
      <c r="N27" s="1470">
        <f t="shared" si="76"/>
        <v>1.8600000000000002E-2</v>
      </c>
      <c r="O27" s="1487">
        <f t="shared" si="71"/>
        <v>1.72E-2</v>
      </c>
      <c r="P27" s="1487">
        <f t="shared" si="71"/>
        <v>1.9799999999999998E-2</v>
      </c>
      <c r="Q27" s="1487">
        <f t="shared" si="71"/>
        <v>8.8000000000000005E-3</v>
      </c>
      <c r="R27" s="1472"/>
      <c r="S27" s="1470"/>
      <c r="T27" s="1471"/>
      <c r="U27" s="1471"/>
      <c r="V27" s="1471"/>
    </row>
    <row r="28" spans="1:34">
      <c r="A28" s="1459" t="s">
        <v>1161</v>
      </c>
      <c r="B28" s="1475">
        <f t="shared" si="83"/>
        <v>288.2649053828776</v>
      </c>
      <c r="C28" s="1475">
        <f t="shared" si="83"/>
        <v>243.64564425013293</v>
      </c>
      <c r="D28" s="1475">
        <f t="shared" si="74"/>
        <v>243.64564425013293</v>
      </c>
      <c r="E28" s="1475">
        <f t="shared" si="84"/>
        <v>393.31080825986544</v>
      </c>
      <c r="F28" s="1475">
        <f t="shared" si="84"/>
        <v>223.07903790551154</v>
      </c>
      <c r="G28" s="3326"/>
      <c r="H28" s="1463">
        <v>2</v>
      </c>
      <c r="I28" s="1463">
        <v>2.04</v>
      </c>
      <c r="J28" s="1463">
        <v>2.33</v>
      </c>
      <c r="K28" s="1463">
        <v>2.0699999999999998</v>
      </c>
      <c r="L28" s="1477">
        <v>0.69</v>
      </c>
      <c r="N28" s="1470">
        <f t="shared" si="76"/>
        <v>2.0400000000000001E-2</v>
      </c>
      <c r="O28" s="1487">
        <f t="shared" si="71"/>
        <v>2.3300000000000001E-2</v>
      </c>
      <c r="P28" s="1487">
        <f t="shared" si="71"/>
        <v>2.07E-2</v>
      </c>
      <c r="Q28" s="1487">
        <f t="shared" si="71"/>
        <v>6.8999999999999999E-3</v>
      </c>
      <c r="R28" s="1472"/>
      <c r="S28" s="1470"/>
      <c r="T28" s="1471"/>
      <c r="U28" s="1471"/>
      <c r="V28" s="1471"/>
      <c r="X28" s="1506"/>
      <c r="Y28" s="1507"/>
    </row>
    <row r="29" spans="1:34">
      <c r="A29" s="1459" t="s">
        <v>1162</v>
      </c>
      <c r="B29" s="1475">
        <f t="shared" si="83"/>
        <v>282.50186729015837</v>
      </c>
      <c r="C29" s="1475">
        <f t="shared" si="83"/>
        <v>238.09796174155468</v>
      </c>
      <c r="D29" s="1475">
        <f t="shared" si="74"/>
        <v>238.09796174155468</v>
      </c>
      <c r="E29" s="1475">
        <f t="shared" si="84"/>
        <v>385.33438646014054</v>
      </c>
      <c r="F29" s="1475">
        <f t="shared" si="84"/>
        <v>221.55034055567739</v>
      </c>
      <c r="G29" s="3327"/>
      <c r="H29" s="1462">
        <v>1</v>
      </c>
      <c r="I29" s="1462">
        <v>1.67</v>
      </c>
      <c r="J29" s="1462">
        <v>1.31</v>
      </c>
      <c r="K29" s="1462">
        <v>1.85</v>
      </c>
      <c r="L29" s="1476">
        <v>0.96</v>
      </c>
      <c r="N29" s="1478">
        <f t="shared" si="76"/>
        <v>1.67E-2</v>
      </c>
      <c r="O29" s="1479">
        <f t="shared" si="76"/>
        <v>1.3100000000000001E-2</v>
      </c>
      <c r="P29" s="1479">
        <f t="shared" si="76"/>
        <v>1.8500000000000003E-2</v>
      </c>
      <c r="Q29" s="1479">
        <f t="shared" si="76"/>
        <v>9.5999999999999992E-3</v>
      </c>
      <c r="R29" s="1472"/>
      <c r="S29" s="1478">
        <f>B29/B30-1</f>
        <v>1.6193767230785472E-2</v>
      </c>
      <c r="T29" s="1479">
        <f>C29/C30-1</f>
        <v>1.7512657015190891E-2</v>
      </c>
      <c r="U29" s="1479">
        <f>E29/E30-1</f>
        <v>1.6713420739157048E-2</v>
      </c>
      <c r="V29" s="1479">
        <f>F29/F30-1</f>
        <v>7.0470025258062563E-3</v>
      </c>
      <c r="X29" s="1508"/>
      <c r="Y29" s="1458"/>
      <c r="Z29" s="1458"/>
    </row>
    <row r="30" spans="1:34" ht="13.5" thickBot="1">
      <c r="A30" s="1459" t="s">
        <v>1163</v>
      </c>
      <c r="B30" s="1509">
        <v>278</v>
      </c>
      <c r="C30" s="1509">
        <v>234</v>
      </c>
      <c r="D30" s="1509">
        <f t="shared" si="74"/>
        <v>234</v>
      </c>
      <c r="E30" s="1509">
        <v>379</v>
      </c>
      <c r="F30" s="1510">
        <v>220</v>
      </c>
      <c r="G30" s="3318">
        <v>2012</v>
      </c>
      <c r="H30" s="1480">
        <v>4</v>
      </c>
      <c r="I30" s="1480">
        <v>0.91</v>
      </c>
      <c r="J30" s="1480">
        <v>0.68</v>
      </c>
      <c r="K30" s="1480">
        <v>0.98</v>
      </c>
      <c r="L30" s="1481">
        <v>0.9</v>
      </c>
      <c r="N30" s="1470">
        <f t="shared" si="76"/>
        <v>9.1000000000000004E-3</v>
      </c>
      <c r="O30" s="1471">
        <f t="shared" si="76"/>
        <v>6.8000000000000005E-3</v>
      </c>
      <c r="P30" s="1471">
        <f t="shared" si="76"/>
        <v>9.7999999999999997E-3</v>
      </c>
      <c r="Q30" s="1471">
        <f t="shared" si="76"/>
        <v>9.0000000000000011E-3</v>
      </c>
      <c r="R30" s="1472"/>
      <c r="S30" s="1473"/>
      <c r="T30" s="1474"/>
      <c r="U30" s="1474"/>
      <c r="V30" s="1474"/>
      <c r="X30" s="1474"/>
      <c r="Y30" s="1474"/>
      <c r="Z30" s="1474"/>
    </row>
    <row r="31" spans="1:34">
      <c r="A31" s="1459" t="s">
        <v>1164</v>
      </c>
      <c r="B31" s="1475">
        <f>B30/(1+N30)</f>
        <v>275.49301357645425</v>
      </c>
      <c r="C31" s="1475">
        <f>C30/(1+O30)</f>
        <v>232.41954707985698</v>
      </c>
      <c r="D31" s="1475">
        <f t="shared" si="74"/>
        <v>232.41954707985698</v>
      </c>
      <c r="E31" s="1475">
        <f t="shared" ref="E31:F33" si="85">E30/(1+P30)</f>
        <v>375.32184591008121</v>
      </c>
      <c r="F31" s="1475">
        <f t="shared" si="85"/>
        <v>218.03766105054513</v>
      </c>
      <c r="G31" s="3319"/>
      <c r="H31" s="1485">
        <v>3</v>
      </c>
      <c r="I31" s="1485">
        <v>0.09</v>
      </c>
      <c r="J31" s="1485">
        <v>0.28999999999999998</v>
      </c>
      <c r="K31" s="1485">
        <v>-0.01</v>
      </c>
      <c r="L31" s="1486">
        <v>0.57999999999999996</v>
      </c>
      <c r="N31" s="1470">
        <f t="shared" si="76"/>
        <v>8.9999999999999998E-4</v>
      </c>
      <c r="O31" s="1471">
        <f t="shared" si="76"/>
        <v>2.8999999999999998E-3</v>
      </c>
      <c r="P31" s="1471">
        <f t="shared" si="76"/>
        <v>-1E-4</v>
      </c>
      <c r="Q31" s="1471">
        <f t="shared" si="76"/>
        <v>5.7999999999999996E-3</v>
      </c>
      <c r="R31" s="1472"/>
      <c r="S31" s="1470"/>
      <c r="T31" s="1471"/>
      <c r="U31" s="1471"/>
      <c r="V31" s="1471"/>
    </row>
    <row r="32" spans="1:34">
      <c r="A32" s="1459" t="s">
        <v>1165</v>
      </c>
      <c r="B32" s="1475">
        <f>B31/(1+N31)</f>
        <v>275.24529281292263</v>
      </c>
      <c r="C32" s="1475">
        <f>C31/(1+O31)</f>
        <v>231.74747938962707</v>
      </c>
      <c r="D32" s="1475">
        <f t="shared" si="74"/>
        <v>231.74747938962707</v>
      </c>
      <c r="E32" s="1475">
        <f t="shared" si="85"/>
        <v>375.35938184826603</v>
      </c>
      <c r="F32" s="1475">
        <f t="shared" si="85"/>
        <v>216.78033510692495</v>
      </c>
      <c r="G32" s="3319"/>
      <c r="H32" s="1463">
        <v>2</v>
      </c>
      <c r="I32" s="1463">
        <v>0.02</v>
      </c>
      <c r="J32" s="1463">
        <v>0.12</v>
      </c>
      <c r="K32" s="1463">
        <v>-0.08</v>
      </c>
      <c r="L32" s="1477">
        <v>1.24</v>
      </c>
      <c r="N32" s="1470">
        <f t="shared" si="76"/>
        <v>2.0000000000000001E-4</v>
      </c>
      <c r="O32" s="1471">
        <f t="shared" si="76"/>
        <v>1.1999999999999999E-3</v>
      </c>
      <c r="P32" s="1471">
        <f t="shared" si="76"/>
        <v>-8.0000000000000004E-4</v>
      </c>
      <c r="Q32" s="1471">
        <f t="shared" si="76"/>
        <v>1.24E-2</v>
      </c>
      <c r="R32" s="1472"/>
      <c r="S32" s="1470"/>
      <c r="T32" s="1471"/>
      <c r="U32" s="1471"/>
      <c r="V32" s="1471"/>
    </row>
    <row r="33" spans="1:26" ht="13.5" thickBot="1">
      <c r="A33" s="1459" t="s">
        <v>1166</v>
      </c>
      <c r="B33" s="1475">
        <f>B32/(1+N32)</f>
        <v>275.19025476197027</v>
      </c>
      <c r="C33" s="1511">
        <v>232</v>
      </c>
      <c r="D33" s="1511">
        <f t="shared" si="74"/>
        <v>232</v>
      </c>
      <c r="E33" s="1475">
        <f t="shared" si="85"/>
        <v>375.65990977608692</v>
      </c>
      <c r="F33" s="1475">
        <f t="shared" si="85"/>
        <v>214.12518283971252</v>
      </c>
      <c r="G33" s="3320"/>
      <c r="H33" s="1462">
        <v>1</v>
      </c>
      <c r="I33" s="1462">
        <v>0.02</v>
      </c>
      <c r="J33" s="1462">
        <v>0.13</v>
      </c>
      <c r="K33" s="1462">
        <v>-0.04</v>
      </c>
      <c r="L33" s="1476">
        <v>0.46</v>
      </c>
      <c r="N33" s="1470">
        <f t="shared" si="76"/>
        <v>2.0000000000000001E-4</v>
      </c>
      <c r="O33" s="1471">
        <f t="shared" si="76"/>
        <v>1.2999999999999999E-3</v>
      </c>
      <c r="P33" s="1471">
        <f t="shared" si="76"/>
        <v>-4.0000000000000002E-4</v>
      </c>
      <c r="Q33" s="1471">
        <f t="shared" si="76"/>
        <v>4.5999999999999999E-3</v>
      </c>
      <c r="R33" s="1472"/>
      <c r="S33" s="1478">
        <f>B33/B34-1</f>
        <v>6.9183549807361189E-4</v>
      </c>
      <c r="T33" s="1479">
        <f>C33/C34-1</f>
        <v>0</v>
      </c>
      <c r="U33" s="1479">
        <f>E33/E34-1</f>
        <v>-9.0449527636460303E-4</v>
      </c>
      <c r="V33" s="1479">
        <f>F33/F34-1</f>
        <v>5.2825485432512753E-3</v>
      </c>
      <c r="X33" s="1458"/>
      <c r="Y33" s="1458"/>
      <c r="Z33" s="1458"/>
    </row>
    <row r="34" spans="1:26" ht="13.5" thickBot="1">
      <c r="A34" s="1459" t="s">
        <v>1167</v>
      </c>
      <c r="B34" s="1467">
        <v>275</v>
      </c>
      <c r="C34" s="1467">
        <v>232</v>
      </c>
      <c r="D34" s="1467">
        <f t="shared" si="74"/>
        <v>232</v>
      </c>
      <c r="E34" s="1467">
        <v>376</v>
      </c>
      <c r="F34" s="1468">
        <v>213</v>
      </c>
      <c r="G34" s="3318">
        <v>2011</v>
      </c>
      <c r="H34" s="1480">
        <v>4</v>
      </c>
      <c r="I34" s="1480">
        <v>-0.2</v>
      </c>
      <c r="J34" s="1480">
        <v>0.04</v>
      </c>
      <c r="K34" s="1480">
        <v>-0.34</v>
      </c>
      <c r="L34" s="1481">
        <v>0.46</v>
      </c>
      <c r="N34" s="1482">
        <f t="shared" si="76"/>
        <v>-2E-3</v>
      </c>
      <c r="O34" s="1483">
        <f t="shared" si="76"/>
        <v>4.0000000000000002E-4</v>
      </c>
      <c r="P34" s="1483">
        <f t="shared" si="76"/>
        <v>-3.4000000000000002E-3</v>
      </c>
      <c r="Q34" s="1483">
        <f t="shared" si="76"/>
        <v>4.5999999999999999E-3</v>
      </c>
      <c r="R34" s="1472"/>
      <c r="S34" s="1473"/>
      <c r="T34" s="1474"/>
      <c r="U34" s="1474"/>
      <c r="V34" s="1474"/>
      <c r="X34" s="1474"/>
      <c r="Y34" s="1474"/>
      <c r="Z34" s="1474"/>
    </row>
    <row r="35" spans="1:26">
      <c r="A35" s="1459" t="s">
        <v>1168</v>
      </c>
      <c r="B35" s="1475">
        <f t="shared" ref="B35:C37" si="86">B34/(1+N34)</f>
        <v>275.55110220440883</v>
      </c>
      <c r="C35" s="1475">
        <f t="shared" si="86"/>
        <v>231.90723710515795</v>
      </c>
      <c r="D35" s="1475">
        <f t="shared" si="74"/>
        <v>231.90723710515795</v>
      </c>
      <c r="E35" s="1475">
        <f t="shared" ref="E35:F37" si="87">E34/(1+P34)</f>
        <v>377.28276138872161</v>
      </c>
      <c r="F35" s="1475">
        <f t="shared" si="87"/>
        <v>212.02468644236512</v>
      </c>
      <c r="G35" s="3319">
        <v>2011</v>
      </c>
      <c r="H35" s="1485">
        <v>3</v>
      </c>
      <c r="I35" s="1485">
        <v>0.13</v>
      </c>
      <c r="J35" s="1485">
        <v>0.75</v>
      </c>
      <c r="K35" s="1485">
        <v>-0.08</v>
      </c>
      <c r="L35" s="1486">
        <v>0.53</v>
      </c>
      <c r="N35" s="1470">
        <f t="shared" si="76"/>
        <v>1.2999999999999999E-3</v>
      </c>
      <c r="O35" s="1487">
        <f t="shared" si="76"/>
        <v>7.4999999999999997E-3</v>
      </c>
      <c r="P35" s="1487">
        <f t="shared" si="76"/>
        <v>-8.0000000000000004E-4</v>
      </c>
      <c r="Q35" s="1487">
        <f t="shared" si="76"/>
        <v>5.3E-3</v>
      </c>
      <c r="R35" s="1472"/>
      <c r="S35" s="1470"/>
      <c r="T35" s="1471"/>
      <c r="U35" s="1471"/>
      <c r="V35" s="1471"/>
    </row>
    <row r="36" spans="1:26">
      <c r="A36" s="1459" t="s">
        <v>1169</v>
      </c>
      <c r="B36" s="1475">
        <f t="shared" si="86"/>
        <v>275.19335084830601</v>
      </c>
      <c r="C36" s="1475">
        <f t="shared" si="86"/>
        <v>230.18088050139744</v>
      </c>
      <c r="D36" s="1475">
        <f t="shared" si="74"/>
        <v>230.18088050139744</v>
      </c>
      <c r="E36" s="1475">
        <f t="shared" si="87"/>
        <v>377.58482925212331</v>
      </c>
      <c r="F36" s="1475">
        <f t="shared" si="87"/>
        <v>210.90687997847917</v>
      </c>
      <c r="G36" s="3319">
        <v>2011</v>
      </c>
      <c r="H36" s="1463">
        <v>2</v>
      </c>
      <c r="I36" s="1463">
        <v>-0.4</v>
      </c>
      <c r="J36" s="1463">
        <v>0.17</v>
      </c>
      <c r="K36" s="1463">
        <v>-0.57999999999999996</v>
      </c>
      <c r="L36" s="1477">
        <v>-0.2</v>
      </c>
      <c r="N36" s="1470">
        <f t="shared" si="76"/>
        <v>-4.0000000000000001E-3</v>
      </c>
      <c r="O36" s="1487">
        <f t="shared" si="76"/>
        <v>1.7000000000000001E-3</v>
      </c>
      <c r="P36" s="1487">
        <f t="shared" si="76"/>
        <v>-5.7999999999999996E-3</v>
      </c>
      <c r="Q36" s="1487">
        <f t="shared" si="76"/>
        <v>-2E-3</v>
      </c>
      <c r="R36" s="1472"/>
      <c r="S36" s="1470"/>
      <c r="T36" s="1471"/>
      <c r="U36" s="1471"/>
      <c r="V36" s="1471"/>
    </row>
    <row r="37" spans="1:26" ht="13.5" thickBot="1">
      <c r="A37" s="1459" t="s">
        <v>1170</v>
      </c>
      <c r="B37" s="1475">
        <f t="shared" si="86"/>
        <v>276.29854502841971</v>
      </c>
      <c r="C37" s="1475">
        <f t="shared" si="86"/>
        <v>229.79023709833027</v>
      </c>
      <c r="D37" s="1475">
        <f t="shared" si="74"/>
        <v>229.79023709833027</v>
      </c>
      <c r="E37" s="1475">
        <f t="shared" si="87"/>
        <v>379.78759731655936</v>
      </c>
      <c r="F37" s="1475">
        <f t="shared" si="87"/>
        <v>211.32953905659235</v>
      </c>
      <c r="G37" s="3320">
        <v>2011</v>
      </c>
      <c r="H37" s="1462">
        <v>1</v>
      </c>
      <c r="I37" s="1462">
        <v>2.65</v>
      </c>
      <c r="J37" s="1462">
        <v>3.76</v>
      </c>
      <c r="K37" s="1462">
        <v>1.89</v>
      </c>
      <c r="L37" s="1476">
        <v>7.95</v>
      </c>
      <c r="N37" s="1478">
        <f t="shared" si="76"/>
        <v>2.6499999999999999E-2</v>
      </c>
      <c r="O37" s="1479">
        <f t="shared" si="76"/>
        <v>3.7599999999999995E-2</v>
      </c>
      <c r="P37" s="1479">
        <f t="shared" si="76"/>
        <v>1.89E-2</v>
      </c>
      <c r="Q37" s="1479">
        <f t="shared" si="76"/>
        <v>7.9500000000000001E-2</v>
      </c>
      <c r="R37" s="1472"/>
      <c r="S37" s="1478">
        <f>B37/B38-1</f>
        <v>2.713213765211786E-2</v>
      </c>
      <c r="T37" s="1479">
        <f>C37/C38-1</f>
        <v>3.9774828499231862E-2</v>
      </c>
      <c r="U37" s="1479">
        <f>E37/E38-1</f>
        <v>1.8197311840641772E-2</v>
      </c>
      <c r="V37" s="1479">
        <f>F37/F38-1</f>
        <v>7.8211933962205826E-2</v>
      </c>
      <c r="X37" s="1458"/>
      <c r="Y37" s="1458"/>
      <c r="Z37" s="1458"/>
    </row>
    <row r="38" spans="1:26" ht="13.5" thickBot="1">
      <c r="A38" s="1459" t="s">
        <v>1171</v>
      </c>
      <c r="B38" s="1467">
        <v>269</v>
      </c>
      <c r="C38" s="1467">
        <v>221</v>
      </c>
      <c r="D38" s="1467">
        <f t="shared" si="74"/>
        <v>221</v>
      </c>
      <c r="E38" s="1467">
        <v>373</v>
      </c>
      <c r="F38" s="1468">
        <v>196</v>
      </c>
      <c r="G38" s="3318">
        <v>2010</v>
      </c>
      <c r="H38" s="1480">
        <v>4</v>
      </c>
      <c r="I38" s="1480">
        <v>5.72</v>
      </c>
      <c r="J38" s="1480">
        <v>6.57</v>
      </c>
      <c r="K38" s="1480">
        <v>5.72</v>
      </c>
      <c r="L38" s="1481">
        <v>2.72</v>
      </c>
      <c r="N38" s="1470">
        <f t="shared" si="76"/>
        <v>5.7200000000000001E-2</v>
      </c>
      <c r="O38" s="1471">
        <f t="shared" si="76"/>
        <v>6.5700000000000008E-2</v>
      </c>
      <c r="P38" s="1471">
        <f t="shared" si="76"/>
        <v>5.7200000000000001E-2</v>
      </c>
      <c r="Q38" s="1471">
        <f t="shared" si="76"/>
        <v>2.7200000000000002E-2</v>
      </c>
      <c r="R38" s="1472"/>
      <c r="S38" s="1473"/>
      <c r="T38" s="1474"/>
      <c r="U38" s="1474"/>
      <c r="V38" s="1474"/>
      <c r="X38" s="1474"/>
      <c r="Y38" s="1474"/>
      <c r="Z38" s="1474"/>
    </row>
    <row r="39" spans="1:26">
      <c r="A39" s="1459" t="s">
        <v>1172</v>
      </c>
      <c r="B39" s="1475">
        <f t="shared" ref="B39:C41" si="88">B38/(1+N38)</f>
        <v>254.44570563753314</v>
      </c>
      <c r="C39" s="1475">
        <f t="shared" si="88"/>
        <v>207.37543398705074</v>
      </c>
      <c r="D39" s="1475">
        <f t="shared" si="74"/>
        <v>207.37543398705074</v>
      </c>
      <c r="E39" s="1475">
        <f t="shared" ref="E39:F41" si="89">E38/(1+P38)</f>
        <v>352.81876655315932</v>
      </c>
      <c r="F39" s="1475">
        <f t="shared" si="89"/>
        <v>190.809968847352</v>
      </c>
      <c r="G39" s="3319">
        <v>2010</v>
      </c>
      <c r="H39" s="1485">
        <v>3</v>
      </c>
      <c r="I39" s="1485">
        <v>4.7300000000000004</v>
      </c>
      <c r="J39" s="1485">
        <v>3.9</v>
      </c>
      <c r="K39" s="1485">
        <v>5.03</v>
      </c>
      <c r="L39" s="1486">
        <v>4.21</v>
      </c>
      <c r="N39" s="1470">
        <f t="shared" si="76"/>
        <v>4.7300000000000002E-2</v>
      </c>
      <c r="O39" s="1471">
        <f t="shared" si="76"/>
        <v>3.9E-2</v>
      </c>
      <c r="P39" s="1471">
        <f t="shared" si="76"/>
        <v>5.0300000000000004E-2</v>
      </c>
      <c r="Q39" s="1471">
        <f t="shared" si="76"/>
        <v>4.2099999999999999E-2</v>
      </c>
      <c r="R39" s="1472"/>
      <c r="S39" s="1470"/>
      <c r="T39" s="1471"/>
      <c r="U39" s="1471"/>
      <c r="V39" s="1471"/>
    </row>
    <row r="40" spans="1:26">
      <c r="A40" s="1459" t="s">
        <v>1173</v>
      </c>
      <c r="B40" s="1475">
        <f t="shared" si="88"/>
        <v>242.95398227588385</v>
      </c>
      <c r="C40" s="1475">
        <f t="shared" si="88"/>
        <v>199.59137053614126</v>
      </c>
      <c r="D40" s="1475">
        <f t="shared" si="74"/>
        <v>199.59137053614126</v>
      </c>
      <c r="E40" s="1475">
        <f t="shared" si="89"/>
        <v>335.92189522342125</v>
      </c>
      <c r="F40" s="1475">
        <f t="shared" si="89"/>
        <v>183.10139991109489</v>
      </c>
      <c r="G40" s="3319">
        <v>2010</v>
      </c>
      <c r="H40" s="1463">
        <v>2</v>
      </c>
      <c r="I40" s="1463">
        <v>4.6900000000000004</v>
      </c>
      <c r="J40" s="1463">
        <v>3.55</v>
      </c>
      <c r="K40" s="1463">
        <v>5.07</v>
      </c>
      <c r="L40" s="1477">
        <v>4.2300000000000004</v>
      </c>
      <c r="N40" s="1470">
        <f t="shared" si="76"/>
        <v>4.6900000000000004E-2</v>
      </c>
      <c r="O40" s="1471">
        <f t="shared" si="76"/>
        <v>3.5499999999999997E-2</v>
      </c>
      <c r="P40" s="1471">
        <f t="shared" si="76"/>
        <v>5.0700000000000002E-2</v>
      </c>
      <c r="Q40" s="1471">
        <f t="shared" si="76"/>
        <v>4.2300000000000004E-2</v>
      </c>
      <c r="R40" s="1472"/>
      <c r="S40" s="1470"/>
      <c r="T40" s="1471"/>
      <c r="U40" s="1471"/>
      <c r="V40" s="1471"/>
    </row>
    <row r="41" spans="1:26" ht="13.5" thickBot="1">
      <c r="A41" s="1459" t="s">
        <v>1174</v>
      </c>
      <c r="B41" s="1475">
        <f t="shared" si="88"/>
        <v>232.06990378821649</v>
      </c>
      <c r="C41" s="1475">
        <f t="shared" si="88"/>
        <v>192.74878854286936</v>
      </c>
      <c r="D41" s="1475">
        <f t="shared" si="74"/>
        <v>192.74878854286936</v>
      </c>
      <c r="E41" s="1475">
        <f t="shared" si="89"/>
        <v>319.71247284992984</v>
      </c>
      <c r="F41" s="1475">
        <f t="shared" si="89"/>
        <v>175.67053622862409</v>
      </c>
      <c r="G41" s="3320">
        <v>2010</v>
      </c>
      <c r="H41" s="1462">
        <v>1</v>
      </c>
      <c r="I41" s="1462">
        <v>5.4</v>
      </c>
      <c r="J41" s="1462">
        <v>3.2</v>
      </c>
      <c r="K41" s="1462">
        <v>6.16</v>
      </c>
      <c r="L41" s="1476">
        <v>4.51</v>
      </c>
      <c r="N41" s="1470">
        <f t="shared" si="76"/>
        <v>5.4000000000000006E-2</v>
      </c>
      <c r="O41" s="1471">
        <f t="shared" si="76"/>
        <v>3.2000000000000001E-2</v>
      </c>
      <c r="P41" s="1471">
        <f t="shared" si="76"/>
        <v>6.1600000000000002E-2</v>
      </c>
      <c r="Q41" s="1471">
        <f t="shared" si="76"/>
        <v>4.5100000000000001E-2</v>
      </c>
      <c r="R41" s="1472"/>
      <c r="S41" s="1478">
        <f>B41/B42-1</f>
        <v>5.4863199037347599E-2</v>
      </c>
      <c r="T41" s="1479">
        <f>C41/C42-1</f>
        <v>3.0742184721226584E-2</v>
      </c>
      <c r="U41" s="1479">
        <f>E41/E42-1</f>
        <v>6.2167683886810154E-2</v>
      </c>
      <c r="V41" s="1479">
        <f>F41/F42-1</f>
        <v>4.5657953741810031E-2</v>
      </c>
      <c r="X41" s="1458"/>
      <c r="Y41" s="1458"/>
      <c r="Z41" s="1458"/>
    </row>
    <row r="42" spans="1:26" ht="13.5" thickBot="1">
      <c r="A42" s="1459" t="s">
        <v>1175</v>
      </c>
      <c r="B42" s="1467">
        <v>220</v>
      </c>
      <c r="C42" s="1467">
        <v>187</v>
      </c>
      <c r="D42" s="1467">
        <f t="shared" si="74"/>
        <v>187</v>
      </c>
      <c r="E42" s="1467">
        <v>301</v>
      </c>
      <c r="F42" s="1468">
        <v>168</v>
      </c>
      <c r="G42" s="3318">
        <v>2009</v>
      </c>
      <c r="H42" s="1480">
        <v>4</v>
      </c>
      <c r="I42" s="1480">
        <v>2.2999999999999998</v>
      </c>
      <c r="J42" s="1480">
        <v>1.04</v>
      </c>
      <c r="K42" s="1480">
        <v>2.84</v>
      </c>
      <c r="L42" s="1481">
        <v>0.67</v>
      </c>
      <c r="N42" s="1482">
        <f t="shared" si="76"/>
        <v>2.3E-2</v>
      </c>
      <c r="O42" s="1483">
        <f t="shared" si="76"/>
        <v>1.04E-2</v>
      </c>
      <c r="P42" s="1483">
        <f t="shared" si="76"/>
        <v>2.8399999999999998E-2</v>
      </c>
      <c r="Q42" s="1483">
        <f t="shared" si="76"/>
        <v>6.7000000000000002E-3</v>
      </c>
      <c r="R42" s="1472"/>
      <c r="S42" s="1473"/>
      <c r="T42" s="1474"/>
      <c r="U42" s="1474"/>
      <c r="V42" s="1474"/>
      <c r="X42" s="1474"/>
      <c r="Y42" s="1474"/>
      <c r="Z42" s="1474"/>
    </row>
    <row r="43" spans="1:26">
      <c r="A43" s="1459" t="s">
        <v>1176</v>
      </c>
      <c r="B43" s="1475">
        <f t="shared" ref="B43:C45" si="90">B42/(1+N42)</f>
        <v>215.05376344086022</v>
      </c>
      <c r="C43" s="1475">
        <f t="shared" si="90"/>
        <v>185.0752177355503</v>
      </c>
      <c r="D43" s="1475">
        <f t="shared" si="74"/>
        <v>185.0752177355503</v>
      </c>
      <c r="E43" s="1475">
        <f t="shared" ref="E43:F45" si="91">E42/(1+P42)</f>
        <v>292.68767016725008</v>
      </c>
      <c r="F43" s="1475">
        <f t="shared" si="91"/>
        <v>166.88189132810174</v>
      </c>
      <c r="G43" s="3319">
        <v>2009</v>
      </c>
      <c r="H43" s="1485">
        <v>3</v>
      </c>
      <c r="I43" s="1485">
        <v>2.1</v>
      </c>
      <c r="J43" s="1485">
        <v>1.86</v>
      </c>
      <c r="K43" s="1485">
        <v>2.29</v>
      </c>
      <c r="L43" s="1486">
        <v>0.85</v>
      </c>
      <c r="N43" s="1470">
        <f t="shared" si="76"/>
        <v>2.1000000000000001E-2</v>
      </c>
      <c r="O43" s="1487">
        <f t="shared" si="76"/>
        <v>1.8600000000000002E-2</v>
      </c>
      <c r="P43" s="1487">
        <f t="shared" si="76"/>
        <v>2.29E-2</v>
      </c>
      <c r="Q43" s="1487">
        <f t="shared" si="76"/>
        <v>8.5000000000000006E-3</v>
      </c>
      <c r="R43" s="1472"/>
      <c r="S43" s="1470"/>
      <c r="T43" s="1471"/>
      <c r="U43" s="1471"/>
      <c r="V43" s="1471"/>
    </row>
    <row r="44" spans="1:26">
      <c r="A44" s="1459" t="s">
        <v>1177</v>
      </c>
      <c r="B44" s="1475">
        <f t="shared" si="90"/>
        <v>210.630522469011</v>
      </c>
      <c r="C44" s="1475">
        <f t="shared" si="90"/>
        <v>181.69567812247232</v>
      </c>
      <c r="D44" s="1475">
        <f t="shared" si="74"/>
        <v>181.69567812247232</v>
      </c>
      <c r="E44" s="1475">
        <f t="shared" si="91"/>
        <v>286.13517466736738</v>
      </c>
      <c r="F44" s="1475">
        <f t="shared" si="91"/>
        <v>165.47535084591149</v>
      </c>
      <c r="G44" s="3319">
        <v>2009</v>
      </c>
      <c r="H44" s="1463">
        <v>2</v>
      </c>
      <c r="I44" s="1463">
        <v>0.86</v>
      </c>
      <c r="J44" s="1463">
        <v>-1.1299999999999999</v>
      </c>
      <c r="K44" s="1463">
        <v>1.79</v>
      </c>
      <c r="L44" s="1477">
        <v>-2.0699999999999998</v>
      </c>
      <c r="N44" s="1470">
        <f t="shared" si="76"/>
        <v>8.6E-3</v>
      </c>
      <c r="O44" s="1487">
        <f t="shared" si="76"/>
        <v>-1.1299999999999999E-2</v>
      </c>
      <c r="P44" s="1487">
        <f t="shared" si="76"/>
        <v>1.7899999999999999E-2</v>
      </c>
      <c r="Q44" s="1487">
        <f t="shared" si="76"/>
        <v>-2.07E-2</v>
      </c>
      <c r="R44" s="1472"/>
      <c r="S44" s="1470"/>
      <c r="T44" s="1471"/>
      <c r="U44" s="1471"/>
      <c r="V44" s="1471"/>
    </row>
    <row r="45" spans="1:26">
      <c r="A45" s="1459" t="s">
        <v>1178</v>
      </c>
      <c r="B45" s="1475">
        <f t="shared" si="90"/>
        <v>208.83454537875372</v>
      </c>
      <c r="C45" s="1475">
        <f t="shared" si="90"/>
        <v>183.77230517090351</v>
      </c>
      <c r="D45" s="1475">
        <f t="shared" si="74"/>
        <v>183.77230517090351</v>
      </c>
      <c r="E45" s="1475">
        <f t="shared" si="91"/>
        <v>281.10342338870947</v>
      </c>
      <c r="F45" s="1475">
        <f t="shared" si="91"/>
        <v>168.97309388942256</v>
      </c>
      <c r="G45" s="3320">
        <v>2009</v>
      </c>
      <c r="H45" s="1462">
        <v>1</v>
      </c>
      <c r="I45" s="1462">
        <v>-2.64</v>
      </c>
      <c r="J45" s="1462">
        <v>-2.5299999999999998</v>
      </c>
      <c r="K45" s="1462">
        <v>-3.02</v>
      </c>
      <c r="L45" s="1476">
        <v>1.52</v>
      </c>
      <c r="N45" s="1478">
        <f t="shared" si="76"/>
        <v>-2.64E-2</v>
      </c>
      <c r="O45" s="1479">
        <f t="shared" si="76"/>
        <v>-2.53E-2</v>
      </c>
      <c r="P45" s="1479">
        <f t="shared" si="76"/>
        <v>-3.0200000000000001E-2</v>
      </c>
      <c r="Q45" s="1479">
        <f t="shared" si="76"/>
        <v>1.52E-2</v>
      </c>
      <c r="R45" s="1472"/>
      <c r="S45" s="1478">
        <f>B45/B46-1</f>
        <v>-2.4137638417038754E-2</v>
      </c>
      <c r="T45" s="1479">
        <f>C45/C46-1</f>
        <v>-2.248773845264096E-2</v>
      </c>
      <c r="U45" s="1479">
        <f>E45/E46-1</f>
        <v>-2.7323794502735366E-2</v>
      </c>
      <c r="V45" s="1479">
        <f>F45/F46-1</f>
        <v>1.7910204153148035E-2</v>
      </c>
      <c r="X45" s="1458"/>
      <c r="Y45" s="1458"/>
      <c r="Z45" s="1458"/>
    </row>
    <row r="46" spans="1:26" ht="13.5" thickBot="1">
      <c r="A46" s="1459" t="s">
        <v>1179</v>
      </c>
      <c r="B46" s="1509">
        <v>214</v>
      </c>
      <c r="C46" s="1509">
        <v>188</v>
      </c>
      <c r="D46" s="1509">
        <f t="shared" si="74"/>
        <v>188</v>
      </c>
      <c r="E46" s="1509">
        <v>289</v>
      </c>
      <c r="F46" s="1510">
        <v>166</v>
      </c>
      <c r="G46" s="3318">
        <v>2008</v>
      </c>
      <c r="H46" s="1480">
        <v>4</v>
      </c>
      <c r="I46" s="1480">
        <v>1.73</v>
      </c>
      <c r="J46" s="1480">
        <v>0.03</v>
      </c>
      <c r="K46" s="1480">
        <v>2.59</v>
      </c>
      <c r="L46" s="1481">
        <v>-1.66</v>
      </c>
      <c r="N46" s="1470">
        <f t="shared" si="76"/>
        <v>1.7299999999999999E-2</v>
      </c>
      <c r="O46" s="1471">
        <f t="shared" si="76"/>
        <v>2.9999999999999997E-4</v>
      </c>
      <c r="P46" s="1471">
        <f t="shared" si="76"/>
        <v>2.5899999999999999E-2</v>
      </c>
      <c r="Q46" s="1471">
        <f t="shared" si="76"/>
        <v>-1.66E-2</v>
      </c>
      <c r="R46" s="1472"/>
      <c r="S46" s="1473"/>
      <c r="T46" s="1474"/>
      <c r="U46" s="1474"/>
      <c r="V46" s="1474"/>
      <c r="X46" s="1474"/>
      <c r="Y46" s="1474"/>
      <c r="Z46" s="1474"/>
    </row>
    <row r="47" spans="1:26">
      <c r="A47" s="1459" t="s">
        <v>1180</v>
      </c>
      <c r="B47" s="1475">
        <f t="shared" ref="B47:C49" si="92">B46/(1+N46)</f>
        <v>210.36075887152265</v>
      </c>
      <c r="C47" s="1475">
        <f t="shared" si="92"/>
        <v>187.94361691492554</v>
      </c>
      <c r="D47" s="1475">
        <f t="shared" si="74"/>
        <v>187.94361691492554</v>
      </c>
      <c r="E47" s="1475">
        <f t="shared" ref="E47:F49" si="93">E46/(1+P46)</f>
        <v>281.70386977288234</v>
      </c>
      <c r="F47" s="1475">
        <f t="shared" si="93"/>
        <v>168.80211511083994</v>
      </c>
      <c r="G47" s="3319">
        <v>2008</v>
      </c>
      <c r="H47" s="1485">
        <v>3</v>
      </c>
      <c r="I47" s="1485">
        <v>1.96</v>
      </c>
      <c r="J47" s="1485">
        <v>2.36</v>
      </c>
      <c r="K47" s="1485">
        <v>1.82</v>
      </c>
      <c r="L47" s="1486">
        <v>2.2200000000000002</v>
      </c>
      <c r="N47" s="1470">
        <f t="shared" si="76"/>
        <v>1.9599999999999999E-2</v>
      </c>
      <c r="O47" s="1471">
        <f t="shared" si="76"/>
        <v>2.3599999999999999E-2</v>
      </c>
      <c r="P47" s="1471">
        <f t="shared" si="76"/>
        <v>1.8200000000000001E-2</v>
      </c>
      <c r="Q47" s="1471">
        <f t="shared" si="76"/>
        <v>2.2200000000000001E-2</v>
      </c>
      <c r="R47" s="1472"/>
      <c r="S47" s="1470"/>
      <c r="T47" s="1471"/>
      <c r="U47" s="1471"/>
      <c r="V47" s="1471"/>
    </row>
    <row r="48" spans="1:26">
      <c r="A48" s="1459" t="s">
        <v>1181</v>
      </c>
      <c r="B48" s="1475">
        <f t="shared" si="92"/>
        <v>206.31694671589116</v>
      </c>
      <c r="C48" s="1475">
        <f t="shared" si="92"/>
        <v>183.61041121036101</v>
      </c>
      <c r="D48" s="1475">
        <f t="shared" si="74"/>
        <v>183.61041121036101</v>
      </c>
      <c r="E48" s="1475">
        <f t="shared" si="93"/>
        <v>276.66850301795557</v>
      </c>
      <c r="F48" s="1475">
        <f t="shared" si="93"/>
        <v>165.1360938278614</v>
      </c>
      <c r="G48" s="3319">
        <v>2008</v>
      </c>
      <c r="H48" s="1463">
        <v>2</v>
      </c>
      <c r="I48" s="1463">
        <v>4.93</v>
      </c>
      <c r="J48" s="1463">
        <v>7.38</v>
      </c>
      <c r="K48" s="1463">
        <v>3.98</v>
      </c>
      <c r="L48" s="1477">
        <v>6.86</v>
      </c>
      <c r="N48" s="1470">
        <f t="shared" si="76"/>
        <v>4.9299999999999997E-2</v>
      </c>
      <c r="O48" s="1471">
        <f t="shared" si="76"/>
        <v>7.3800000000000004E-2</v>
      </c>
      <c r="P48" s="1471">
        <f t="shared" si="76"/>
        <v>3.9800000000000002E-2</v>
      </c>
      <c r="Q48" s="1471">
        <f t="shared" si="76"/>
        <v>6.8600000000000008E-2</v>
      </c>
      <c r="R48" s="1472"/>
      <c r="S48" s="1470"/>
      <c r="T48" s="1471"/>
      <c r="U48" s="1471"/>
      <c r="V48" s="1471"/>
    </row>
    <row r="49" spans="1:26" s="1515" customFormat="1" ht="13.5" thickBot="1">
      <c r="A49" s="1459" t="s">
        <v>1182</v>
      </c>
      <c r="B49" s="1512">
        <f t="shared" si="92"/>
        <v>196.62341248059772</v>
      </c>
      <c r="C49" s="1512">
        <f t="shared" si="92"/>
        <v>170.99125648199012</v>
      </c>
      <c r="D49" s="1512">
        <f t="shared" si="74"/>
        <v>170.99125648199012</v>
      </c>
      <c r="E49" s="1512">
        <f t="shared" si="93"/>
        <v>266.07857570490052</v>
      </c>
      <c r="F49" s="1512">
        <f t="shared" si="93"/>
        <v>154.53499328828505</v>
      </c>
      <c r="G49" s="3320">
        <v>2008</v>
      </c>
      <c r="H49" s="1513">
        <v>1</v>
      </c>
      <c r="I49" s="1513">
        <v>4.1399999999999997</v>
      </c>
      <c r="J49" s="1513">
        <v>3.45</v>
      </c>
      <c r="K49" s="1513">
        <v>4.95</v>
      </c>
      <c r="L49" s="1514">
        <v>4.82</v>
      </c>
      <c r="N49" s="1516">
        <f t="shared" si="76"/>
        <v>4.1399999999999999E-2</v>
      </c>
      <c r="O49" s="1517">
        <f t="shared" si="76"/>
        <v>3.4500000000000003E-2</v>
      </c>
      <c r="P49" s="1517">
        <f t="shared" si="76"/>
        <v>4.9500000000000002E-2</v>
      </c>
      <c r="Q49" s="1517">
        <f t="shared" si="76"/>
        <v>4.82E-2</v>
      </c>
      <c r="R49" s="1518"/>
      <c r="S49" s="1516">
        <f>B49/B50-1</f>
        <v>4.5869215322328349E-2</v>
      </c>
      <c r="T49" s="1517">
        <f>C49/C50-1</f>
        <v>3.6310645345394743E-2</v>
      </c>
      <c r="U49" s="1517">
        <f>E49/E50-1</f>
        <v>4.7553447657088688E-2</v>
      </c>
      <c r="V49" s="1517">
        <f>F49/F50-1</f>
        <v>4.4155360055980086E-2</v>
      </c>
      <c r="X49" s="1519"/>
      <c r="Y49" s="1519"/>
      <c r="Z49" s="1519"/>
    </row>
    <row r="50" spans="1:26" ht="13.5" thickBot="1">
      <c r="A50" s="1459" t="s">
        <v>1183</v>
      </c>
      <c r="B50" s="1467">
        <v>188</v>
      </c>
      <c r="C50" s="1467">
        <v>165</v>
      </c>
      <c r="D50" s="1467">
        <f t="shared" si="74"/>
        <v>165</v>
      </c>
      <c r="E50" s="1467">
        <v>254</v>
      </c>
      <c r="F50" s="1468">
        <v>148</v>
      </c>
      <c r="G50" s="3318">
        <v>2007</v>
      </c>
      <c r="H50" s="1520">
        <v>4</v>
      </c>
      <c r="I50" s="1520">
        <v>5.51</v>
      </c>
      <c r="J50" s="1520">
        <v>4.8899999999999997</v>
      </c>
      <c r="K50" s="1520">
        <v>6.43</v>
      </c>
      <c r="L50" s="1521">
        <v>5.36</v>
      </c>
      <c r="N50" s="1522">
        <f t="shared" ref="N50:O53" si="94">B50/B51-1</f>
        <v>4.1339718365245526E-2</v>
      </c>
      <c r="O50" s="1523">
        <f t="shared" si="94"/>
        <v>4.0324492593776018E-2</v>
      </c>
      <c r="P50" s="1523">
        <f t="shared" ref="P50:Q53" si="95">E50/E51-1</f>
        <v>6.1625555347990968E-2</v>
      </c>
      <c r="Q50" s="1523">
        <f t="shared" si="95"/>
        <v>4.6757569250590603E-2</v>
      </c>
      <c r="R50" s="1472"/>
      <c r="S50" s="1473"/>
      <c r="T50" s="1474"/>
      <c r="U50" s="1474"/>
      <c r="V50" s="1474"/>
      <c r="X50" s="1474"/>
      <c r="Y50" s="1474"/>
      <c r="Z50" s="1474"/>
    </row>
    <row r="51" spans="1:26">
      <c r="A51" s="1459" t="s">
        <v>1184</v>
      </c>
      <c r="B51" s="1475">
        <f t="shared" ref="B51:C53" si="96">B52+(B$50-B$54)*I51/SUM(I$50:I$53)</f>
        <v>180.5366651097618</v>
      </c>
      <c r="C51" s="1475">
        <f t="shared" si="96"/>
        <v>158.60435967302453</v>
      </c>
      <c r="D51" s="1475">
        <f t="shared" si="74"/>
        <v>158.60435967302453</v>
      </c>
      <c r="E51" s="1475">
        <f t="shared" ref="E51:F53" si="97">E52+(E$50-E$54)*K51/SUM(K$50:K$53)</f>
        <v>239.25573260785075</v>
      </c>
      <c r="F51" s="1475">
        <f t="shared" si="97"/>
        <v>141.38899430740037</v>
      </c>
      <c r="G51" s="3319">
        <v>2007</v>
      </c>
      <c r="H51" s="1485">
        <v>3</v>
      </c>
      <c r="I51" s="1485">
        <v>8.65</v>
      </c>
      <c r="J51" s="1485">
        <v>8.06</v>
      </c>
      <c r="K51" s="1485">
        <v>9.94</v>
      </c>
      <c r="L51" s="1486">
        <v>5.8</v>
      </c>
      <c r="N51" s="1522">
        <f t="shared" si="94"/>
        <v>6.940217571740015E-2</v>
      </c>
      <c r="O51" s="1523">
        <f t="shared" si="94"/>
        <v>7.1197482471153428E-2</v>
      </c>
      <c r="P51" s="1523">
        <f t="shared" si="95"/>
        <v>0.10529679922579582</v>
      </c>
      <c r="Q51" s="1523">
        <f t="shared" si="95"/>
        <v>5.3292245059512133E-2</v>
      </c>
      <c r="R51" s="1472"/>
      <c r="S51" s="1470"/>
      <c r="T51" s="1471"/>
      <c r="U51" s="1471"/>
      <c r="V51" s="1471"/>
      <c r="X51" s="1524"/>
      <c r="Y51" s="1524"/>
      <c r="Z51" s="1524"/>
    </row>
    <row r="52" spans="1:26">
      <c r="A52" s="1459" t="s">
        <v>1185</v>
      </c>
      <c r="B52" s="1475">
        <f t="shared" si="96"/>
        <v>168.82017748715555</v>
      </c>
      <c r="C52" s="1475">
        <f t="shared" si="96"/>
        <v>148.06267029972753</v>
      </c>
      <c r="D52" s="1475">
        <f t="shared" si="74"/>
        <v>148.06267029972753</v>
      </c>
      <c r="E52" s="1475">
        <f t="shared" si="97"/>
        <v>216.46288379323747</v>
      </c>
      <c r="F52" s="1475">
        <f t="shared" si="97"/>
        <v>134.23529411764704</v>
      </c>
      <c r="G52" s="3319">
        <v>2007</v>
      </c>
      <c r="H52" s="1463">
        <v>2</v>
      </c>
      <c r="I52" s="1463">
        <v>3.67</v>
      </c>
      <c r="J52" s="1463">
        <v>2.3199999999999998</v>
      </c>
      <c r="K52" s="1463">
        <v>5.0199999999999996</v>
      </c>
      <c r="L52" s="1477">
        <v>6.71</v>
      </c>
      <c r="N52" s="1522">
        <f t="shared" si="94"/>
        <v>3.0339138143848032E-2</v>
      </c>
      <c r="O52" s="1523">
        <f t="shared" si="94"/>
        <v>2.0922341588790472E-2</v>
      </c>
      <c r="P52" s="1523">
        <f t="shared" si="95"/>
        <v>5.6164796592717003E-2</v>
      </c>
      <c r="Q52" s="1523">
        <f t="shared" si="95"/>
        <v>6.5704536723887319E-2</v>
      </c>
      <c r="R52" s="1472"/>
      <c r="S52" s="1470"/>
      <c r="T52" s="1471"/>
      <c r="U52" s="1471"/>
      <c r="V52" s="1471"/>
      <c r="X52" s="1524"/>
      <c r="Y52" s="1524"/>
      <c r="Z52" s="1524"/>
    </row>
    <row r="53" spans="1:26">
      <c r="A53" s="1459" t="s">
        <v>1186</v>
      </c>
      <c r="B53" s="1475">
        <f t="shared" si="96"/>
        <v>163.84913591779542</v>
      </c>
      <c r="C53" s="1475">
        <f t="shared" si="96"/>
        <v>145.0283378746594</v>
      </c>
      <c r="D53" s="1475">
        <f t="shared" si="74"/>
        <v>145.0283378746594</v>
      </c>
      <c r="E53" s="1475">
        <f t="shared" si="97"/>
        <v>204.95180722891567</v>
      </c>
      <c r="F53" s="1475">
        <f t="shared" si="97"/>
        <v>125.95920303605313</v>
      </c>
      <c r="G53" s="3320">
        <v>2007</v>
      </c>
      <c r="H53" s="1462">
        <v>1</v>
      </c>
      <c r="I53" s="1462">
        <v>3.58</v>
      </c>
      <c r="J53" s="1462">
        <v>3.08</v>
      </c>
      <c r="K53" s="1462">
        <v>4.34</v>
      </c>
      <c r="L53" s="1476">
        <v>3.21</v>
      </c>
      <c r="N53" s="1525">
        <f t="shared" si="94"/>
        <v>3.0497710174814063E-2</v>
      </c>
      <c r="O53" s="1526">
        <f t="shared" si="94"/>
        <v>2.8569772160704998E-2</v>
      </c>
      <c r="P53" s="1526">
        <f t="shared" si="95"/>
        <v>5.1034908866234296E-2</v>
      </c>
      <c r="Q53" s="1526">
        <f t="shared" si="95"/>
        <v>3.245248390207478E-2</v>
      </c>
      <c r="R53" s="1472"/>
      <c r="S53" s="1478">
        <f>B53/B54-1</f>
        <v>3.0497710174814063E-2</v>
      </c>
      <c r="T53" s="1479">
        <f>C53/C54-1</f>
        <v>2.8569772160704998E-2</v>
      </c>
      <c r="U53" s="1479">
        <f>E53/E54-1</f>
        <v>5.1034908866234296E-2</v>
      </c>
      <c r="V53" s="1479">
        <f>F53/F54-1</f>
        <v>3.245248390207478E-2</v>
      </c>
      <c r="X53" s="1524"/>
      <c r="Y53" s="1524"/>
      <c r="Z53" s="1524"/>
    </row>
    <row r="54" spans="1:26" ht="13.5" thickBot="1">
      <c r="A54" s="1459" t="s">
        <v>1187</v>
      </c>
      <c r="B54" s="1488">
        <v>159</v>
      </c>
      <c r="C54" s="1488">
        <v>141</v>
      </c>
      <c r="D54" s="1488">
        <f t="shared" si="74"/>
        <v>141</v>
      </c>
      <c r="E54" s="1488">
        <v>195</v>
      </c>
      <c r="F54" s="1489">
        <v>122</v>
      </c>
      <c r="G54" s="3318">
        <v>2006</v>
      </c>
      <c r="H54" s="1480">
        <v>4</v>
      </c>
      <c r="I54" s="1480">
        <v>3.79</v>
      </c>
      <c r="J54" s="1480">
        <v>2.21</v>
      </c>
      <c r="K54" s="1480">
        <v>5.65</v>
      </c>
      <c r="L54" s="1481">
        <v>5.41</v>
      </c>
      <c r="N54" s="1522">
        <f t="shared" ref="N54:O57" si="98">I54/SUM(I$54:I$57)*(B$54/B$58-1)</f>
        <v>7.245466462748526E-2</v>
      </c>
      <c r="O54" s="1523">
        <f t="shared" si="98"/>
        <v>2.3237230038062766E-2</v>
      </c>
      <c r="P54" s="1523">
        <f t="shared" ref="P54:Q57" si="99">K54/SUM(K$54:K$57)*(E$54/E$58-1)</f>
        <v>0.16146893866323722</v>
      </c>
      <c r="Q54" s="1523">
        <f t="shared" si="99"/>
        <v>5.0755230321793784E-2</v>
      </c>
      <c r="R54" s="1472"/>
      <c r="S54" s="1473"/>
      <c r="T54" s="1474"/>
      <c r="U54" s="1474"/>
      <c r="V54" s="1474"/>
      <c r="X54" s="1524"/>
      <c r="Y54" s="1524"/>
      <c r="Z54" s="1524"/>
    </row>
    <row r="55" spans="1:26">
      <c r="A55" s="1459" t="s">
        <v>1188</v>
      </c>
      <c r="B55" s="1475">
        <f t="shared" ref="B55:C57" si="100">B56+(B$54-B$58)*I55/SUM(I$54:I$57)</f>
        <v>149.00125628140702</v>
      </c>
      <c r="C55" s="1475">
        <f t="shared" si="100"/>
        <v>137.95592286501378</v>
      </c>
      <c r="D55" s="1475">
        <f t="shared" si="74"/>
        <v>137.95592286501378</v>
      </c>
      <c r="E55" s="1475">
        <f t="shared" ref="E55:F57" si="101">E56+(E$54-E$58)*K55/SUM(K$54:K$57)</f>
        <v>169.97231450719823</v>
      </c>
      <c r="F55" s="1475">
        <f t="shared" si="101"/>
        <v>116.21390374331551</v>
      </c>
      <c r="G55" s="3319">
        <v>2006</v>
      </c>
      <c r="H55" s="1485">
        <v>3</v>
      </c>
      <c r="I55" s="1485">
        <v>0.92</v>
      </c>
      <c r="J55" s="1485">
        <v>1.08</v>
      </c>
      <c r="K55" s="1485">
        <v>0.73</v>
      </c>
      <c r="L55" s="1486">
        <v>1.08</v>
      </c>
      <c r="N55" s="1522">
        <f t="shared" si="98"/>
        <v>1.7587939698492462E-2</v>
      </c>
      <c r="O55" s="1523">
        <f t="shared" si="98"/>
        <v>1.1355750425840628E-2</v>
      </c>
      <c r="P55" s="1523">
        <f t="shared" si="99"/>
        <v>2.0862358446754544E-2</v>
      </c>
      <c r="Q55" s="1523">
        <f t="shared" si="99"/>
        <v>1.0132282578103011E-2</v>
      </c>
      <c r="R55" s="1472"/>
      <c r="S55" s="1470"/>
      <c r="T55" s="1471"/>
      <c r="U55" s="1471"/>
      <c r="V55" s="1471"/>
      <c r="X55" s="1524"/>
      <c r="Y55" s="1524"/>
      <c r="Z55" s="1524"/>
    </row>
    <row r="56" spans="1:26">
      <c r="A56" s="1459" t="s">
        <v>1189</v>
      </c>
      <c r="B56" s="1475">
        <f t="shared" si="100"/>
        <v>146.57412060301507</v>
      </c>
      <c r="C56" s="1475">
        <f t="shared" si="100"/>
        <v>136.46831955922866</v>
      </c>
      <c r="D56" s="1475">
        <f t="shared" si="74"/>
        <v>136.46831955922866</v>
      </c>
      <c r="E56" s="1475">
        <f t="shared" si="101"/>
        <v>166.73864894795128</v>
      </c>
      <c r="F56" s="1475">
        <f t="shared" si="101"/>
        <v>115.05882352941177</v>
      </c>
      <c r="G56" s="3319">
        <v>2006</v>
      </c>
      <c r="H56" s="1463">
        <v>2</v>
      </c>
      <c r="I56" s="1463">
        <v>0.96</v>
      </c>
      <c r="J56" s="1463">
        <v>0.25</v>
      </c>
      <c r="K56" s="1463">
        <v>1.9</v>
      </c>
      <c r="L56" s="1477">
        <v>0.95</v>
      </c>
      <c r="N56" s="1522">
        <f t="shared" si="98"/>
        <v>1.8352632728861701E-2</v>
      </c>
      <c r="O56" s="1523">
        <f t="shared" si="98"/>
        <v>2.6286459319075526E-3</v>
      </c>
      <c r="P56" s="1523">
        <f t="shared" si="99"/>
        <v>5.4299289107991269E-2</v>
      </c>
      <c r="Q56" s="1523">
        <f t="shared" si="99"/>
        <v>8.9126559714794995E-3</v>
      </c>
      <c r="R56" s="1472"/>
      <c r="S56" s="1470"/>
      <c r="T56" s="1471"/>
      <c r="U56" s="1471"/>
      <c r="V56" s="1471"/>
      <c r="X56" s="1524"/>
      <c r="Y56" s="1524"/>
      <c r="Z56" s="1524"/>
    </row>
    <row r="57" spans="1:26">
      <c r="A57" s="1459" t="s">
        <v>1190</v>
      </c>
      <c r="B57" s="1475">
        <f t="shared" si="100"/>
        <v>144.04145728643215</v>
      </c>
      <c r="C57" s="1475">
        <f t="shared" si="100"/>
        <v>136.12396694214877</v>
      </c>
      <c r="D57" s="1475">
        <f t="shared" si="74"/>
        <v>136.12396694214877</v>
      </c>
      <c r="E57" s="1475">
        <f t="shared" si="101"/>
        <v>158.32225913621264</v>
      </c>
      <c r="F57" s="1475">
        <f t="shared" si="101"/>
        <v>114.04278074866311</v>
      </c>
      <c r="G57" s="3320">
        <v>2006</v>
      </c>
      <c r="H57" s="1462">
        <v>1</v>
      </c>
      <c r="I57" s="1462">
        <v>2.29</v>
      </c>
      <c r="J57" s="1462">
        <v>3.72</v>
      </c>
      <c r="K57" s="1462">
        <v>0.75</v>
      </c>
      <c r="L57" s="1476">
        <v>0.04</v>
      </c>
      <c r="N57" s="1525">
        <f t="shared" si="98"/>
        <v>4.3778675988638847E-2</v>
      </c>
      <c r="O57" s="1526">
        <f t="shared" si="98"/>
        <v>3.9114251466784385E-2</v>
      </c>
      <c r="P57" s="1526">
        <f t="shared" si="99"/>
        <v>2.1433929911049188E-2</v>
      </c>
      <c r="Q57" s="1526">
        <f t="shared" si="99"/>
        <v>3.7526972511492629E-4</v>
      </c>
      <c r="R57" s="1472"/>
      <c r="S57" s="1478">
        <f>B57/B58-1</f>
        <v>4.3778675988638716E-2</v>
      </c>
      <c r="T57" s="1479">
        <f>C57/C58-1</f>
        <v>3.91142514667846E-2</v>
      </c>
      <c r="U57" s="1479">
        <f>E57/E58-1</f>
        <v>2.143392991104931E-2</v>
      </c>
      <c r="V57" s="1479">
        <f>F57/F58-1</f>
        <v>3.7526972511492396E-4</v>
      </c>
      <c r="X57" s="1524"/>
      <c r="Y57" s="1524"/>
      <c r="Z57" s="1524"/>
    </row>
    <row r="58" spans="1:26" ht="13.5" thickBot="1">
      <c r="A58" s="1459" t="s">
        <v>1191</v>
      </c>
      <c r="B58" s="1488">
        <v>138</v>
      </c>
      <c r="C58" s="1488">
        <v>131</v>
      </c>
      <c r="D58" s="1488">
        <f t="shared" si="74"/>
        <v>131</v>
      </c>
      <c r="E58" s="1488">
        <v>155</v>
      </c>
      <c r="F58" s="1489">
        <v>114</v>
      </c>
      <c r="G58" s="3318">
        <v>2005</v>
      </c>
      <c r="H58" s="1480">
        <v>4</v>
      </c>
      <c r="I58" s="1480">
        <v>3.29</v>
      </c>
      <c r="J58" s="1480">
        <v>1.44</v>
      </c>
      <c r="K58" s="1480">
        <v>0.66</v>
      </c>
      <c r="L58" s="1481">
        <v>7.78</v>
      </c>
      <c r="N58" s="1522">
        <f t="shared" ref="N58:O61" si="102">I58/SUM(I$58:I$61)*(B$58/B$62-1)</f>
        <v>9.9404603216919935E-2</v>
      </c>
      <c r="O58" s="1523">
        <f t="shared" si="102"/>
        <v>4.7636550760861554E-2</v>
      </c>
      <c r="P58" s="1523">
        <f t="shared" ref="P58:Q61" si="103">K58/SUM(K$58:K$61)*(E$58/E$62-1)</f>
        <v>8.3756345177664976E-2</v>
      </c>
      <c r="Q58" s="1523">
        <f t="shared" si="103"/>
        <v>5.2148766661559584E-2</v>
      </c>
      <c r="R58" s="1472"/>
      <c r="S58" s="1473"/>
      <c r="T58" s="1474"/>
      <c r="U58" s="1474"/>
      <c r="V58" s="1474"/>
      <c r="X58" s="1524"/>
      <c r="Y58" s="1524"/>
      <c r="Z58" s="1524"/>
    </row>
    <row r="59" spans="1:26">
      <c r="A59" s="1459" t="s">
        <v>1192</v>
      </c>
      <c r="B59" s="1475">
        <f t="shared" ref="B59:C61" si="104">B60+(B$58-B$62)*I59/SUM(I$58:I$61)</f>
        <v>125.9720430107527</v>
      </c>
      <c r="C59" s="1475">
        <f t="shared" si="104"/>
        <v>125.1883408071749</v>
      </c>
      <c r="D59" s="1475">
        <f t="shared" si="74"/>
        <v>125.1883408071749</v>
      </c>
      <c r="E59" s="1475">
        <f t="shared" ref="E59:F61" si="105">E60+(E$58-E$62)*K59/SUM(K$58:K$61)</f>
        <v>144.61421319796952</v>
      </c>
      <c r="F59" s="1475">
        <f t="shared" si="105"/>
        <v>108.42008196721311</v>
      </c>
      <c r="G59" s="3319">
        <v>2005</v>
      </c>
      <c r="H59" s="1485">
        <v>3</v>
      </c>
      <c r="I59" s="1485">
        <v>0.46</v>
      </c>
      <c r="J59" s="1485">
        <v>0.32</v>
      </c>
      <c r="K59" s="1485">
        <v>0.42</v>
      </c>
      <c r="L59" s="1486">
        <v>0.64</v>
      </c>
      <c r="N59" s="1522">
        <f t="shared" si="102"/>
        <v>1.3898515951301874E-2</v>
      </c>
      <c r="O59" s="1523">
        <f t="shared" si="102"/>
        <v>1.0585900169080346E-2</v>
      </c>
      <c r="P59" s="1523">
        <f t="shared" si="103"/>
        <v>5.3299492385786795E-2</v>
      </c>
      <c r="Q59" s="1523">
        <f t="shared" si="103"/>
        <v>4.2898728359123568E-3</v>
      </c>
      <c r="R59" s="1472"/>
      <c r="S59" s="1470"/>
      <c r="T59" s="1471"/>
      <c r="U59" s="1471"/>
      <c r="V59" s="1471"/>
      <c r="X59" s="1524"/>
      <c r="Y59" s="1524"/>
      <c r="Z59" s="1524"/>
    </row>
    <row r="60" spans="1:26">
      <c r="A60" s="1459" t="s">
        <v>1193</v>
      </c>
      <c r="B60" s="1475">
        <f t="shared" si="104"/>
        <v>124.29032258064517</v>
      </c>
      <c r="C60" s="1475">
        <f t="shared" si="104"/>
        <v>123.8968609865471</v>
      </c>
      <c r="D60" s="1475">
        <f t="shared" si="74"/>
        <v>123.8968609865471</v>
      </c>
      <c r="E60" s="1475">
        <f t="shared" si="105"/>
        <v>138.00507614213197</v>
      </c>
      <c r="F60" s="1475">
        <f t="shared" si="105"/>
        <v>107.96106557377048</v>
      </c>
      <c r="G60" s="3319">
        <v>2005</v>
      </c>
      <c r="H60" s="1463">
        <v>2</v>
      </c>
      <c r="I60" s="1463">
        <v>0.47</v>
      </c>
      <c r="J60" s="1463">
        <v>0.1</v>
      </c>
      <c r="K60" s="1463">
        <v>0.52</v>
      </c>
      <c r="L60" s="1477">
        <v>0.79</v>
      </c>
      <c r="N60" s="1522">
        <f t="shared" si="102"/>
        <v>1.420065760241713E-2</v>
      </c>
      <c r="O60" s="1523">
        <f t="shared" si="102"/>
        <v>3.3080938028376083E-3</v>
      </c>
      <c r="P60" s="1523">
        <f t="shared" si="103"/>
        <v>6.598984771573603E-2</v>
      </c>
      <c r="Q60" s="1523">
        <f t="shared" si="103"/>
        <v>5.2953117818293153E-3</v>
      </c>
      <c r="R60" s="1472"/>
      <c r="S60" s="1470"/>
      <c r="T60" s="1471"/>
      <c r="U60" s="1471"/>
      <c r="V60" s="1471"/>
      <c r="X60" s="1524"/>
      <c r="Y60" s="1524"/>
      <c r="Z60" s="1524"/>
    </row>
    <row r="61" spans="1:26">
      <c r="A61" s="1459" t="s">
        <v>1194</v>
      </c>
      <c r="B61" s="1475">
        <f t="shared" si="104"/>
        <v>122.57204301075269</v>
      </c>
      <c r="C61" s="1475">
        <f t="shared" si="104"/>
        <v>123.4932735426009</v>
      </c>
      <c r="D61" s="1475">
        <f t="shared" si="74"/>
        <v>123.4932735426009</v>
      </c>
      <c r="E61" s="1475">
        <f t="shared" si="105"/>
        <v>129.82233502538071</v>
      </c>
      <c r="F61" s="1475">
        <f t="shared" si="105"/>
        <v>107.39446721311475</v>
      </c>
      <c r="G61" s="3320">
        <v>2005</v>
      </c>
      <c r="H61" s="1462">
        <v>1</v>
      </c>
      <c r="I61" s="1462">
        <v>0.43</v>
      </c>
      <c r="J61" s="1462">
        <v>0.37</v>
      </c>
      <c r="K61" s="1462">
        <v>0.37</v>
      </c>
      <c r="L61" s="1476">
        <v>0.55000000000000004</v>
      </c>
      <c r="N61" s="1525">
        <f t="shared" si="102"/>
        <v>1.2992090997956099E-2</v>
      </c>
      <c r="O61" s="1526">
        <f t="shared" si="102"/>
        <v>1.2239947070499151E-2</v>
      </c>
      <c r="P61" s="1526">
        <f t="shared" si="103"/>
        <v>4.6954314720812178E-2</v>
      </c>
      <c r="Q61" s="1526">
        <f t="shared" si="103"/>
        <v>3.6866094683621815E-3</v>
      </c>
      <c r="R61" s="1472"/>
      <c r="S61" s="1478">
        <f>B61/B62-1</f>
        <v>1.2992090997956174E-2</v>
      </c>
      <c r="T61" s="1479">
        <f>C61/C62-1</f>
        <v>1.2239947070499246E-2</v>
      </c>
      <c r="U61" s="1479">
        <f>E61/E62-1</f>
        <v>4.695431472081224E-2</v>
      </c>
      <c r="V61" s="1479">
        <f>F61/F62-1</f>
        <v>3.6866094683620787E-3</v>
      </c>
      <c r="X61" s="1524"/>
      <c r="Y61" s="1524"/>
      <c r="Z61" s="1524"/>
    </row>
    <row r="62" spans="1:26" ht="13.5" thickBot="1">
      <c r="A62" s="1459" t="s">
        <v>1195</v>
      </c>
      <c r="B62" s="1509">
        <v>121</v>
      </c>
      <c r="C62" s="1509">
        <v>122</v>
      </c>
      <c r="D62" s="1509">
        <f t="shared" si="74"/>
        <v>122</v>
      </c>
      <c r="E62" s="1509">
        <v>124</v>
      </c>
      <c r="F62" s="1510">
        <v>107</v>
      </c>
      <c r="G62" s="3318">
        <v>2004</v>
      </c>
      <c r="H62" s="1480">
        <v>4</v>
      </c>
      <c r="I62" s="1480">
        <v>0.33</v>
      </c>
      <c r="J62" s="1480">
        <v>0.5</v>
      </c>
      <c r="K62" s="1480">
        <v>0.5</v>
      </c>
      <c r="L62" s="1481">
        <v>0</v>
      </c>
      <c r="N62" s="1522">
        <f t="shared" ref="N62:O65" si="106">I62/SUM(I$62:I$65)*(B$62/B$66-1)</f>
        <v>1.3391770148526898E-2</v>
      </c>
      <c r="O62" s="1523">
        <f t="shared" si="106"/>
        <v>1.063264221158958E-2</v>
      </c>
      <c r="P62" s="1523">
        <f t="shared" ref="P62:Q65" si="107">K62/SUM(K$62:K$65)*(E$62/E$66-1)</f>
        <v>2.2244466688911134E-2</v>
      </c>
      <c r="Q62" s="1523">
        <f t="shared" si="107"/>
        <v>0</v>
      </c>
      <c r="R62" s="1472"/>
      <c r="S62" s="1473"/>
      <c r="T62" s="1474"/>
      <c r="U62" s="1474"/>
      <c r="V62" s="1474"/>
      <c r="X62" s="1524"/>
      <c r="Y62" s="1524"/>
      <c r="Z62" s="1524"/>
    </row>
    <row r="63" spans="1:26">
      <c r="A63" s="1459" t="s">
        <v>1196</v>
      </c>
      <c r="B63" s="1475">
        <f t="shared" ref="B63:C65" si="108">B64+(B$62-B$66)*I63/SUM(I$62:I$65)</f>
        <v>119.51351351351352</v>
      </c>
      <c r="C63" s="1475">
        <f t="shared" si="108"/>
        <v>120.7878787878788</v>
      </c>
      <c r="D63" s="1475">
        <f t="shared" si="74"/>
        <v>120.7878787878788</v>
      </c>
      <c r="E63" s="1475">
        <f t="shared" ref="E63:F65" si="109">E64+(E$62-E$66)*K63/SUM(K$62:K$65)</f>
        <v>121.5975975975976</v>
      </c>
      <c r="F63" s="1475">
        <f t="shared" si="109"/>
        <v>107</v>
      </c>
      <c r="G63" s="3319">
        <v>2004</v>
      </c>
      <c r="H63" s="1485">
        <v>3</v>
      </c>
      <c r="I63" s="1485">
        <v>0.56000000000000005</v>
      </c>
      <c r="J63" s="1485">
        <v>0.8</v>
      </c>
      <c r="K63" s="1485">
        <v>0.83</v>
      </c>
      <c r="L63" s="1486">
        <v>0.06</v>
      </c>
      <c r="N63" s="1522">
        <f t="shared" si="106"/>
        <v>2.2725428130833527E-2</v>
      </c>
      <c r="O63" s="1523">
        <f t="shared" si="106"/>
        <v>1.7012227538543329E-2</v>
      </c>
      <c r="P63" s="1523">
        <f t="shared" si="107"/>
        <v>3.6925814703592477E-2</v>
      </c>
      <c r="Q63" s="1523">
        <f t="shared" si="107"/>
        <v>2.8846153846153744E-2</v>
      </c>
      <c r="R63" s="1472"/>
      <c r="S63" s="1470"/>
      <c r="T63" s="1471"/>
      <c r="U63" s="1471"/>
      <c r="V63" s="1471"/>
      <c r="X63" s="1524"/>
      <c r="Y63" s="1524"/>
      <c r="Z63" s="1524"/>
    </row>
    <row r="64" spans="1:26">
      <c r="A64" s="1459" t="s">
        <v>1197</v>
      </c>
      <c r="B64" s="1475">
        <f t="shared" si="108"/>
        <v>116.99099099099099</v>
      </c>
      <c r="C64" s="1475">
        <f t="shared" si="108"/>
        <v>118.84848484848486</v>
      </c>
      <c r="D64" s="1475">
        <f t="shared" si="74"/>
        <v>118.84848484848486</v>
      </c>
      <c r="E64" s="1475">
        <f t="shared" si="109"/>
        <v>117.60960960960961</v>
      </c>
      <c r="F64" s="1475">
        <f t="shared" si="109"/>
        <v>104</v>
      </c>
      <c r="G64" s="3319">
        <v>2004</v>
      </c>
      <c r="H64" s="1463">
        <v>2</v>
      </c>
      <c r="I64" s="1463">
        <v>1</v>
      </c>
      <c r="J64" s="1463">
        <v>1.5</v>
      </c>
      <c r="K64" s="1463">
        <v>1.5</v>
      </c>
      <c r="L64" s="1477">
        <v>0</v>
      </c>
      <c r="N64" s="1522">
        <f t="shared" si="106"/>
        <v>4.0581121662202721E-2</v>
      </c>
      <c r="O64" s="1523">
        <f t="shared" si="106"/>
        <v>3.1897926634768738E-2</v>
      </c>
      <c r="P64" s="1523">
        <f t="shared" si="107"/>
        <v>6.6733400066733395E-2</v>
      </c>
      <c r="Q64" s="1523">
        <f t="shared" si="107"/>
        <v>0</v>
      </c>
      <c r="R64" s="1472"/>
      <c r="S64" s="1470"/>
      <c r="T64" s="1471"/>
      <c r="U64" s="1471"/>
      <c r="V64" s="1471"/>
      <c r="X64" s="1524"/>
      <c r="Y64" s="1524"/>
      <c r="Z64" s="1524"/>
    </row>
    <row r="65" spans="1:26" s="1515" customFormat="1" ht="13.5" thickBot="1">
      <c r="A65" s="1459" t="s">
        <v>1198</v>
      </c>
      <c r="B65" s="1512">
        <f t="shared" si="108"/>
        <v>112.48648648648648</v>
      </c>
      <c r="C65" s="1512">
        <f t="shared" si="108"/>
        <v>115.21212121212122</v>
      </c>
      <c r="D65" s="1512">
        <f t="shared" si="74"/>
        <v>115.21212121212122</v>
      </c>
      <c r="E65" s="1512">
        <f t="shared" si="109"/>
        <v>110.4024024024024</v>
      </c>
      <c r="F65" s="1512">
        <f t="shared" si="109"/>
        <v>104</v>
      </c>
      <c r="G65" s="3320">
        <v>2004</v>
      </c>
      <c r="H65" s="1513">
        <v>1</v>
      </c>
      <c r="I65" s="1513">
        <v>0.33</v>
      </c>
      <c r="J65" s="1513">
        <v>0.5</v>
      </c>
      <c r="K65" s="1513">
        <v>0.5</v>
      </c>
      <c r="L65" s="1514">
        <v>0</v>
      </c>
      <c r="N65" s="1527">
        <f t="shared" si="106"/>
        <v>1.3391770148526898E-2</v>
      </c>
      <c r="O65" s="1528">
        <f t="shared" si="106"/>
        <v>1.063264221158958E-2</v>
      </c>
      <c r="P65" s="1528">
        <f t="shared" si="107"/>
        <v>2.2244466688911134E-2</v>
      </c>
      <c r="Q65" s="1528">
        <f t="shared" si="107"/>
        <v>0</v>
      </c>
      <c r="R65" s="1518"/>
      <c r="S65" s="1516">
        <f>B65/B66-1</f>
        <v>1.3391770148526883E-2</v>
      </c>
      <c r="T65" s="1517">
        <f>C65/C66-1</f>
        <v>1.063264221158966E-2</v>
      </c>
      <c r="U65" s="1517">
        <f>E65/E66-1</f>
        <v>2.2244466688911224E-2</v>
      </c>
      <c r="V65" s="1517">
        <f>F65/F66-1</f>
        <v>0</v>
      </c>
      <c r="X65" s="1529"/>
      <c r="Y65" s="1529"/>
      <c r="Z65" s="1529"/>
    </row>
    <row r="66" spans="1:26" ht="13.5" thickBot="1">
      <c r="A66" s="1459" t="s">
        <v>1199</v>
      </c>
      <c r="B66" s="1530">
        <v>111</v>
      </c>
      <c r="C66" s="1530">
        <v>114</v>
      </c>
      <c r="D66" s="1530">
        <f t="shared" si="74"/>
        <v>114</v>
      </c>
      <c r="E66" s="1530">
        <v>108</v>
      </c>
      <c r="F66" s="1531">
        <v>104</v>
      </c>
      <c r="G66" s="3318">
        <v>2003</v>
      </c>
      <c r="H66" s="1520">
        <v>4</v>
      </c>
      <c r="I66" s="1532"/>
      <c r="J66" s="1532"/>
      <c r="K66" s="1532"/>
      <c r="L66" s="1532"/>
      <c r="N66" s="1533"/>
      <c r="O66" s="1532"/>
      <c r="P66" s="1532"/>
      <c r="Q66" s="1532"/>
      <c r="S66" s="1533"/>
      <c r="T66" s="1532"/>
      <c r="U66" s="1532"/>
      <c r="V66" s="1532"/>
      <c r="X66" s="1524"/>
      <c r="Y66" s="1524"/>
      <c r="Z66" s="1524"/>
    </row>
    <row r="67" spans="1:26">
      <c r="A67" s="1459" t="s">
        <v>1200</v>
      </c>
      <c r="B67" s="1534">
        <f t="shared" ref="B67:C69" si="110">B68+(B$66-B$70)/4</f>
        <v>109.75</v>
      </c>
      <c r="C67" s="1534">
        <f t="shared" si="110"/>
        <v>112.25</v>
      </c>
      <c r="D67" s="1534">
        <f t="shared" si="74"/>
        <v>112.25</v>
      </c>
      <c r="E67" s="1534">
        <f t="shared" ref="E67:F69" si="111">E68+(E$66-E$70)/4</f>
        <v>107.25</v>
      </c>
      <c r="F67" s="1534">
        <f t="shared" si="111"/>
        <v>103.5</v>
      </c>
      <c r="G67" s="3319">
        <v>2003</v>
      </c>
      <c r="H67" s="1485">
        <v>3</v>
      </c>
      <c r="I67" s="1532"/>
      <c r="J67" s="1532"/>
      <c r="K67" s="1532"/>
      <c r="L67" s="1532"/>
      <c r="X67" s="1524"/>
      <c r="Y67" s="1524"/>
      <c r="Z67" s="1524"/>
    </row>
    <row r="68" spans="1:26">
      <c r="A68" s="1459" t="s">
        <v>1201</v>
      </c>
      <c r="B68" s="1534">
        <f t="shared" si="110"/>
        <v>108.5</v>
      </c>
      <c r="C68" s="1534">
        <f t="shared" si="110"/>
        <v>110.5</v>
      </c>
      <c r="D68" s="1534">
        <f t="shared" si="74"/>
        <v>110.5</v>
      </c>
      <c r="E68" s="1534">
        <f t="shared" si="111"/>
        <v>106.5</v>
      </c>
      <c r="F68" s="1534">
        <f t="shared" si="111"/>
        <v>103</v>
      </c>
      <c r="G68" s="3319">
        <v>2003</v>
      </c>
      <c r="H68" s="1463">
        <v>2</v>
      </c>
      <c r="I68" s="1532"/>
      <c r="J68" s="1532"/>
      <c r="K68" s="1532"/>
      <c r="L68" s="1532"/>
      <c r="X68" s="1524"/>
      <c r="Y68" s="1524"/>
      <c r="Z68" s="1524"/>
    </row>
    <row r="69" spans="1:26" ht="13.5" thickBot="1">
      <c r="A69" s="1459" t="s">
        <v>1202</v>
      </c>
      <c r="B69" s="1534">
        <f t="shared" si="110"/>
        <v>107.25</v>
      </c>
      <c r="C69" s="1534">
        <f t="shared" si="110"/>
        <v>108.75</v>
      </c>
      <c r="D69" s="1534">
        <f t="shared" si="74"/>
        <v>108.75</v>
      </c>
      <c r="E69" s="1534">
        <f t="shared" si="111"/>
        <v>105.75</v>
      </c>
      <c r="F69" s="1534">
        <f t="shared" si="111"/>
        <v>102.5</v>
      </c>
      <c r="G69" s="3320">
        <v>2003</v>
      </c>
      <c r="H69" s="1535">
        <v>1</v>
      </c>
      <c r="I69" s="1532"/>
      <c r="J69" s="1532"/>
      <c r="K69" s="1532"/>
      <c r="L69" s="1532"/>
      <c r="S69" s="1470"/>
      <c r="T69" s="1471"/>
      <c r="U69" s="1471"/>
      <c r="X69" s="1524"/>
      <c r="Y69" s="1524"/>
      <c r="Z69" s="1524"/>
    </row>
    <row r="70" spans="1:26" ht="13.5" thickBot="1">
      <c r="A70" s="1459" t="s">
        <v>1203</v>
      </c>
      <c r="B70" s="1536">
        <v>106</v>
      </c>
      <c r="C70" s="1536">
        <v>107</v>
      </c>
      <c r="D70" s="1536">
        <f t="shared" si="74"/>
        <v>107</v>
      </c>
      <c r="E70" s="1536">
        <v>105</v>
      </c>
      <c r="F70" s="1537">
        <v>102</v>
      </c>
      <c r="G70" s="3318">
        <v>2002</v>
      </c>
      <c r="H70" s="1480">
        <v>4</v>
      </c>
      <c r="I70" s="1532"/>
      <c r="J70" s="1532"/>
      <c r="K70" s="1532"/>
      <c r="L70" s="1532"/>
      <c r="N70" s="1533"/>
      <c r="O70" s="1532"/>
      <c r="P70" s="1532"/>
      <c r="Q70" s="1532"/>
      <c r="S70" s="1533"/>
      <c r="T70" s="1532"/>
      <c r="U70" s="1532"/>
      <c r="V70" s="1532"/>
      <c r="X70" s="1524"/>
      <c r="Y70" s="1524"/>
      <c r="Z70" s="1524"/>
    </row>
    <row r="71" spans="1:26">
      <c r="A71" s="1459" t="s">
        <v>1204</v>
      </c>
      <c r="B71" s="1534">
        <f t="shared" ref="B71:C73" si="112">B72+(B$70-B$74)/4</f>
        <v>105</v>
      </c>
      <c r="C71" s="1534">
        <f t="shared" si="112"/>
        <v>106</v>
      </c>
      <c r="D71" s="1534">
        <f t="shared" si="74"/>
        <v>106</v>
      </c>
      <c r="E71" s="1534">
        <f t="shared" ref="E71:F73" si="113">E72+(E$70-E$74)/4</f>
        <v>104.5</v>
      </c>
      <c r="F71" s="1534">
        <f t="shared" si="113"/>
        <v>101.5</v>
      </c>
      <c r="G71" s="3319">
        <v>2002</v>
      </c>
      <c r="H71" s="1485">
        <v>3</v>
      </c>
      <c r="I71" s="1532"/>
      <c r="J71" s="1532"/>
      <c r="K71" s="1532"/>
      <c r="L71" s="1532"/>
      <c r="X71" s="1524"/>
      <c r="Y71" s="1524"/>
      <c r="Z71" s="1524"/>
    </row>
    <row r="72" spans="1:26">
      <c r="A72" s="1459" t="s">
        <v>1205</v>
      </c>
      <c r="B72" s="1534">
        <f t="shared" si="112"/>
        <v>104</v>
      </c>
      <c r="C72" s="1534">
        <f t="shared" si="112"/>
        <v>105</v>
      </c>
      <c r="D72" s="1534">
        <f t="shared" si="74"/>
        <v>105</v>
      </c>
      <c r="E72" s="1534">
        <f t="shared" si="113"/>
        <v>104</v>
      </c>
      <c r="F72" s="1534">
        <f t="shared" si="113"/>
        <v>101</v>
      </c>
      <c r="G72" s="3319">
        <v>2002</v>
      </c>
      <c r="H72" s="1463">
        <v>2</v>
      </c>
      <c r="I72" s="1532"/>
      <c r="J72" s="1532"/>
      <c r="K72" s="1532"/>
      <c r="L72" s="1532"/>
      <c r="X72" s="1524"/>
      <c r="Y72" s="1524"/>
      <c r="Z72" s="1524"/>
    </row>
    <row r="73" spans="1:26" s="1496" customFormat="1" ht="13.5" thickBot="1">
      <c r="A73" s="1492" t="s">
        <v>1206</v>
      </c>
      <c r="B73" s="1538">
        <f t="shared" si="112"/>
        <v>103</v>
      </c>
      <c r="C73" s="1538">
        <f t="shared" si="112"/>
        <v>104</v>
      </c>
      <c r="D73" s="1538">
        <f t="shared" si="74"/>
        <v>104</v>
      </c>
      <c r="E73" s="1538">
        <f t="shared" si="113"/>
        <v>103.5</v>
      </c>
      <c r="F73" s="1538">
        <f t="shared" si="113"/>
        <v>100.5</v>
      </c>
      <c r="G73" s="3320">
        <v>2002</v>
      </c>
      <c r="H73" s="1539">
        <v>1</v>
      </c>
      <c r="I73" s="1540"/>
      <c r="J73" s="1540"/>
      <c r="K73" s="1540"/>
      <c r="L73" s="1540"/>
      <c r="N73" s="1541"/>
      <c r="S73" s="1541"/>
      <c r="X73" s="1542"/>
      <c r="Y73" s="1542"/>
      <c r="Z73" s="1542"/>
    </row>
    <row r="74" spans="1:26" ht="13.5" thickBot="1">
      <c r="B74" s="1543">
        <v>102</v>
      </c>
      <c r="C74" s="1544">
        <v>103</v>
      </c>
      <c r="D74" s="1544">
        <f t="shared" si="74"/>
        <v>103</v>
      </c>
      <c r="E74" s="1544">
        <v>103</v>
      </c>
      <c r="F74" s="1545">
        <v>100</v>
      </c>
      <c r="I74" s="1532"/>
      <c r="J74" s="1532"/>
      <c r="K74" s="1532"/>
      <c r="L74" s="1532"/>
      <c r="N74" s="1533"/>
      <c r="O74" s="1532"/>
      <c r="P74" s="1532"/>
      <c r="Q74" s="1532"/>
      <c r="S74" s="1533"/>
      <c r="T74" s="1532"/>
      <c r="U74" s="1532"/>
      <c r="V74" s="1532"/>
      <c r="X74" s="1474"/>
      <c r="Y74" s="1474"/>
      <c r="Z74" s="1474"/>
    </row>
    <row r="76" spans="1:26" s="1547" customFormat="1">
      <c r="A76" s="1546" t="s">
        <v>1207</v>
      </c>
      <c r="G76" s="1548"/>
      <c r="N76" s="1548"/>
      <c r="S76" s="1548"/>
    </row>
    <row r="77" spans="1:26" s="1547" customFormat="1">
      <c r="A77" s="1547" t="s">
        <v>1208</v>
      </c>
      <c r="G77" s="1548"/>
      <c r="N77" s="1548"/>
      <c r="S77" s="1548"/>
    </row>
    <row r="78" spans="1:26" s="1547" customFormat="1">
      <c r="A78" s="1547" t="s">
        <v>1209</v>
      </c>
      <c r="G78" s="1548"/>
      <c r="I78" s="1549"/>
      <c r="J78" s="1549"/>
      <c r="K78" s="1549"/>
      <c r="L78" s="1549"/>
      <c r="N78" s="1550"/>
      <c r="O78" s="1549"/>
      <c r="P78" s="1549"/>
      <c r="Q78" s="1549"/>
      <c r="S78" s="1550"/>
      <c r="T78" s="1549"/>
      <c r="U78" s="1549"/>
      <c r="V78" s="1549"/>
    </row>
    <row r="79" spans="1:26" s="1547" customFormat="1">
      <c r="A79" s="1547" t="s">
        <v>1210</v>
      </c>
      <c r="G79" s="1548"/>
      <c r="N79" s="1548"/>
      <c r="S79" s="1548"/>
    </row>
    <row r="86" spans="7:22" ht="13.5" thickBot="1"/>
    <row r="87" spans="7:22">
      <c r="G87" s="1469"/>
      <c r="S87" s="1551" t="s">
        <v>1211</v>
      </c>
      <c r="T87" s="1552" t="s">
        <v>1212</v>
      </c>
      <c r="U87" s="1552" t="s">
        <v>1213</v>
      </c>
      <c r="V87" s="1552" t="s">
        <v>1214</v>
      </c>
    </row>
    <row r="88" spans="7:22">
      <c r="G88" s="1469"/>
      <c r="N88" s="1473"/>
      <c r="O88" s="1474"/>
      <c r="P88" s="1474"/>
      <c r="Q88" s="1474"/>
      <c r="S88" s="1553">
        <v>2006</v>
      </c>
      <c r="T88" s="1554">
        <v>15.1</v>
      </c>
      <c r="U88" s="1554">
        <v>7.43</v>
      </c>
      <c r="V88" s="1554">
        <v>26.26</v>
      </c>
    </row>
    <row r="89" spans="7:22">
      <c r="G89" s="1469"/>
      <c r="N89" s="1473"/>
      <c r="O89" s="1474"/>
      <c r="P89" s="1474"/>
      <c r="Q89" s="1474"/>
      <c r="S89" s="1555">
        <v>2005</v>
      </c>
      <c r="T89" s="1556">
        <v>13.9</v>
      </c>
      <c r="U89" s="1556">
        <v>7.49</v>
      </c>
      <c r="V89" s="1556">
        <v>24.92</v>
      </c>
    </row>
    <row r="90" spans="7:22">
      <c r="G90" s="1469"/>
      <c r="N90" s="1473"/>
      <c r="O90" s="1474"/>
      <c r="P90" s="1474"/>
      <c r="Q90" s="1474"/>
      <c r="S90" s="1553">
        <v>2004</v>
      </c>
      <c r="T90" s="1554">
        <v>9.48</v>
      </c>
      <c r="U90" s="1554">
        <v>7.2</v>
      </c>
      <c r="V90" s="1554">
        <v>14.68</v>
      </c>
    </row>
    <row r="91" spans="7:22">
      <c r="G91" s="1469"/>
      <c r="N91" s="1473"/>
      <c r="O91" s="1474"/>
      <c r="P91" s="1474"/>
      <c r="Q91" s="1474"/>
      <c r="S91" s="1555">
        <v>2003</v>
      </c>
      <c r="T91" s="1556">
        <v>4.5</v>
      </c>
      <c r="U91" s="1556">
        <v>6.12</v>
      </c>
      <c r="V91" s="1556">
        <v>2.34</v>
      </c>
    </row>
    <row r="92" spans="7:22" ht="13.5" thickBot="1">
      <c r="G92" s="1469"/>
      <c r="N92" s="1473"/>
      <c r="O92" s="1474"/>
      <c r="P92" s="1474"/>
      <c r="Q92" s="1474"/>
      <c r="S92" s="1557">
        <v>2002</v>
      </c>
      <c r="T92" s="1558">
        <v>3.59</v>
      </c>
      <c r="U92" s="1558">
        <v>4.54</v>
      </c>
      <c r="V92" s="1558">
        <v>2.5499999999999998</v>
      </c>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6" sqref="D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48</v>
      </c>
      <c r="D1" s="1817" t="s">
        <v>70</v>
      </c>
      <c r="E1" s="1818" t="s">
        <v>1383</v>
      </c>
      <c r="F1" s="1281">
        <f ca="1">J53</f>
        <v>46.53</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5945</v>
      </c>
      <c r="C2" s="1842" t="s">
        <v>1512</v>
      </c>
      <c r="D2" s="1842"/>
      <c r="E2" s="1843"/>
      <c r="F2" s="1844"/>
      <c r="G2" s="1845"/>
      <c r="H2" s="1837"/>
      <c r="I2" s="1837"/>
      <c r="J2" s="1837"/>
      <c r="K2" s="1838"/>
      <c r="L2" s="1837"/>
      <c r="M2" s="1837"/>
    </row>
    <row r="3" spans="1:37" ht="18" customHeight="1" thickBot="1">
      <c r="A3" s="1846" t="s">
        <v>1513</v>
      </c>
      <c r="B3" s="1847">
        <f ca="1">IF(ISERROR(B2*10000/F43),0,ROUND(B2*10000/F43,0))</f>
        <v>1185</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671</v>
      </c>
      <c r="D5" s="1819" t="s">
        <v>1398</v>
      </c>
      <c r="E5" s="1291"/>
      <c r="F5" s="1292"/>
      <c r="G5" s="1848"/>
      <c r="H5" s="344">
        <v>1</v>
      </c>
      <c r="I5" s="345" t="s">
        <v>1397</v>
      </c>
      <c r="J5" s="1290">
        <f ca="1">J6+J10+J12</f>
        <v>0</v>
      </c>
      <c r="K5" s="1819" t="s">
        <v>1398</v>
      </c>
      <c r="L5" s="1291"/>
      <c r="M5" s="1292"/>
    </row>
    <row r="6" spans="1:37" ht="18" customHeight="1">
      <c r="A6" s="1289" t="s">
        <v>1032</v>
      </c>
      <c r="B6" s="3099" t="s">
        <v>1399</v>
      </c>
      <c r="C6" s="1294">
        <f ca="1">ROUND(F6*F8*F7*(1-F9)/10000,0)</f>
        <v>671</v>
      </c>
      <c r="D6" s="164" t="s">
        <v>3022</v>
      </c>
      <c r="E6" s="347" t="s">
        <v>1401</v>
      </c>
      <c r="F6" s="348">
        <f ca="1">INDIRECT("'数据-取费表'!u"&amp;$G$1)</f>
        <v>500</v>
      </c>
      <c r="G6" s="1848"/>
      <c r="H6" s="1289" t="s">
        <v>1032</v>
      </c>
      <c r="I6" s="3099" t="s">
        <v>1399</v>
      </c>
      <c r="J6" s="346">
        <f ca="1">ROUND(M6*M8*M7*(1-M9)/10000,0)</f>
        <v>0</v>
      </c>
      <c r="K6" s="164" t="s">
        <v>3021</v>
      </c>
      <c r="L6" s="347" t="s">
        <v>1401</v>
      </c>
      <c r="M6" s="348">
        <f ca="1">INDIRECT("'数据-取费表'!z"&amp;$G$1)</f>
        <v>0</v>
      </c>
    </row>
    <row r="7" spans="1:37" ht="18" customHeight="1">
      <c r="A7" s="1293"/>
      <c r="B7" s="3100"/>
      <c r="C7" s="1295"/>
      <c r="D7" s="352"/>
      <c r="E7" s="1296" t="s">
        <v>1402</v>
      </c>
      <c r="F7" s="348">
        <f ca="1">IF(INDIRECT("'数据-取费表'!ah"&amp;$G$1)="",INDIRECT("'数据-取费表'!k"&amp;$G$1),INDIRECT("'数据-取费表'!ah"&amp;$G$1))</f>
        <v>1243</v>
      </c>
      <c r="G7" s="1848"/>
      <c r="H7" s="349"/>
      <c r="I7" s="3100"/>
      <c r="J7" s="351"/>
      <c r="K7" s="352"/>
      <c r="L7" s="347" t="s">
        <v>1402</v>
      </c>
      <c r="M7" s="348">
        <f ca="1">F7</f>
        <v>1243</v>
      </c>
    </row>
    <row r="8" spans="1:37" ht="18" customHeight="1">
      <c r="A8" s="349"/>
      <c r="B8" s="3100"/>
      <c r="C8" s="351"/>
      <c r="D8" s="352"/>
      <c r="E8" s="347" t="s">
        <v>1403</v>
      </c>
      <c r="F8" s="348">
        <f ca="1">INDIRECT("'数据-取费表'!ai"&amp;$G$1)</f>
        <v>12</v>
      </c>
      <c r="G8" s="1848"/>
      <c r="H8" s="349"/>
      <c r="I8" s="3100"/>
      <c r="J8" s="351"/>
      <c r="K8" s="352"/>
      <c r="L8" s="347" t="s">
        <v>1403</v>
      </c>
      <c r="M8" s="348">
        <f ca="1">INDIRECT("'数据-取费表'!ai"&amp;$G$1)</f>
        <v>12</v>
      </c>
    </row>
    <row r="9" spans="1:37" ht="18" customHeight="1">
      <c r="A9" s="349"/>
      <c r="B9" s="3101"/>
      <c r="C9" s="351"/>
      <c r="D9" s="352"/>
      <c r="E9" s="347" t="s">
        <v>1404</v>
      </c>
      <c r="F9" s="357">
        <f ca="1">INDIRECT("'数据-取费表'!w"&amp;$G$1)</f>
        <v>0.1</v>
      </c>
      <c r="G9" s="1848"/>
      <c r="H9" s="349"/>
      <c r="I9" s="3101"/>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3031</v>
      </c>
      <c r="E10" s="358" t="s">
        <v>1406</v>
      </c>
      <c r="F10" s="1364" t="s">
        <v>4603</v>
      </c>
      <c r="G10" s="1848"/>
      <c r="H10" s="1289" t="s">
        <v>1036</v>
      </c>
      <c r="I10" s="1820" t="s">
        <v>1405</v>
      </c>
      <c r="J10" s="346">
        <f ca="1">ROUND(IF(M10="押一",J6/12*M11,IF(M10="押二",J6/12*2*M11,IF(M10="押三",J6/12*3*M11,J11*M11))),0)</f>
        <v>0</v>
      </c>
      <c r="K10" s="1821" t="s">
        <v>3030</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19840</v>
      </c>
      <c r="D13" s="1329" t="s">
        <v>1411</v>
      </c>
      <c r="E13" s="1329" t="s">
        <v>1412</v>
      </c>
      <c r="F13" s="1330">
        <f ca="1">INDIRECT("'数据-取费表'!y"&amp;$G$1)</f>
        <v>0.98</v>
      </c>
      <c r="G13" s="1848"/>
      <c r="H13" s="1327">
        <v>2</v>
      </c>
      <c r="I13" s="1328" t="s">
        <v>1410</v>
      </c>
      <c r="J13" s="1288">
        <f ca="1">ROUND(J14*J15,0)</f>
        <v>0</v>
      </c>
      <c r="K13" s="1335" t="s">
        <v>1411</v>
      </c>
      <c r="L13" s="1849"/>
      <c r="M13" s="1850"/>
    </row>
    <row r="14" spans="1:37" ht="18" customHeight="1">
      <c r="A14" s="1199" t="s">
        <v>1031</v>
      </c>
      <c r="B14" s="347" t="s">
        <v>1413</v>
      </c>
      <c r="C14" s="363">
        <f ca="1">INDIRECT("'数据-取费表'!m"&amp;$G$1)+INDIRECT("'数据-取费表'!t"&amp;$G$1)</f>
        <v>15057</v>
      </c>
      <c r="D14" s="1797" t="s">
        <v>1414</v>
      </c>
      <c r="E14" s="1791"/>
      <c r="F14" s="364"/>
      <c r="G14" s="1848"/>
      <c r="H14" s="1199" t="s">
        <v>1032</v>
      </c>
      <c r="I14" s="347" t="s">
        <v>1415</v>
      </c>
      <c r="J14" s="24">
        <f ca="1">C29</f>
        <v>20245</v>
      </c>
      <c r="K14" s="15"/>
      <c r="L14" s="977"/>
      <c r="M14" s="978"/>
    </row>
    <row r="15" spans="1:37" s="1855" customFormat="1" ht="18" customHeight="1" thickBot="1">
      <c r="A15" s="1199" t="s">
        <v>1033</v>
      </c>
      <c r="B15" s="347" t="s">
        <v>1416</v>
      </c>
      <c r="C15" s="24">
        <f ca="1">ROUND(C14*F15,0)</f>
        <v>452</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7" t="s">
        <v>1027</v>
      </c>
      <c r="I16" s="1328" t="s">
        <v>1420</v>
      </c>
      <c r="J16" s="355">
        <f ca="1">ROUND(J17+J22+J23+J24,0)</f>
        <v>474</v>
      </c>
      <c r="K16" s="1335" t="s">
        <v>1421</v>
      </c>
      <c r="L16" s="1336"/>
      <c r="M16" s="1292"/>
    </row>
    <row r="17" spans="1:37" s="1855" customFormat="1" ht="18" customHeight="1">
      <c r="A17" s="1199" t="s">
        <v>1386</v>
      </c>
      <c r="B17" s="347" t="s">
        <v>1422</v>
      </c>
      <c r="C17" s="24">
        <f ca="1">ROUND(F17*(F43+INDIRECT("'数据-取费表'!S"&amp;$G$1))/10000,0)</f>
        <v>1004</v>
      </c>
      <c r="D17" s="347" t="s">
        <v>1423</v>
      </c>
      <c r="E17" s="347" t="s">
        <v>1424</v>
      </c>
      <c r="F17" s="26">
        <f>'数据-取费表'!B35</f>
        <v>200</v>
      </c>
      <c r="G17" s="1851"/>
      <c r="H17" s="1199" t="s">
        <v>1032</v>
      </c>
      <c r="I17" s="347" t="s">
        <v>1425</v>
      </c>
      <c r="J17" s="24">
        <f ca="1">ROUND(IF(项目基本情况!B11="自然人",J5*M17,J18+J19+J20),1)</f>
        <v>170.1</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226</v>
      </c>
      <c r="D18" s="347" t="s">
        <v>1417</v>
      </c>
      <c r="E18" s="347" t="s">
        <v>1418</v>
      </c>
      <c r="F18" s="367">
        <f>'数据-取费表'!B36</f>
        <v>1.4999999999999999E-2</v>
      </c>
      <c r="G18" s="1851"/>
      <c r="H18" s="1199" t="s">
        <v>1031</v>
      </c>
      <c r="I18" s="347" t="s">
        <v>1429</v>
      </c>
      <c r="J18" s="24">
        <f ca="1">ROUND(J5*M18/(1+'数据-取费表'!C42),2)</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16739</v>
      </c>
      <c r="D19" s="140" t="s">
        <v>1432</v>
      </c>
      <c r="E19" s="1815"/>
      <c r="F19" s="26"/>
      <c r="G19" s="1848"/>
      <c r="H19" s="1199" t="s">
        <v>1033</v>
      </c>
      <c r="I19" s="347" t="s">
        <v>1433</v>
      </c>
      <c r="J19" s="24">
        <f ca="1">IF(K19="按租金收入计税",ROUND(J5*M19,2),ROUND(C29*M19*0.7,2))</f>
        <v>170.06</v>
      </c>
      <c r="K19" s="1825" t="s">
        <v>1434</v>
      </c>
      <c r="L19" s="347" t="s">
        <v>1418</v>
      </c>
      <c r="M19" s="367">
        <f>IF(K19="按租金收入计税",'数据-取费表'!B51,'数据-取费表'!B50)</f>
        <v>1.2E-2</v>
      </c>
    </row>
    <row r="20" spans="1:37" s="1855" customFormat="1" ht="18" customHeight="1">
      <c r="A20" s="1199" t="s">
        <v>1036</v>
      </c>
      <c r="B20" s="347" t="s">
        <v>1435</v>
      </c>
      <c r="C20" s="24">
        <f ca="1">ROUND(C19*F20,0)</f>
        <v>335</v>
      </c>
      <c r="D20" s="369" t="s">
        <v>1436</v>
      </c>
      <c r="E20" s="347" t="s">
        <v>1418</v>
      </c>
      <c r="F20" s="367">
        <f>'数据-取费表'!B37</f>
        <v>0.02</v>
      </c>
      <c r="G20" s="1851"/>
      <c r="H20" s="1199" t="s">
        <v>1385</v>
      </c>
      <c r="I20" s="164" t="s">
        <v>1437</v>
      </c>
      <c r="J20" s="25">
        <f ca="1">ROUND(M20*M21/10000,2)</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5"/>
      <c r="F22" s="26"/>
      <c r="G22" s="1848"/>
      <c r="H22" s="1199" t="s">
        <v>1036</v>
      </c>
      <c r="I22" s="347" t="s">
        <v>1445</v>
      </c>
      <c r="J22" s="24">
        <f ca="1">ROUND(J14*M22,1)</f>
        <v>303.7</v>
      </c>
      <c r="K22" s="1795" t="s">
        <v>1446</v>
      </c>
      <c r="L22" s="347" t="s">
        <v>1418</v>
      </c>
      <c r="M22" s="374">
        <f ca="1">INDIRECT("'数据-取费表'!Ak"&amp;$G$1)</f>
        <v>1.4999999999999999E-2</v>
      </c>
    </row>
    <row r="23" spans="1:37" s="1855" customFormat="1" ht="18" customHeight="1">
      <c r="A23" s="1199" t="s">
        <v>1031</v>
      </c>
      <c r="B23" s="347" t="s">
        <v>1447</v>
      </c>
      <c r="C23" s="24">
        <f ca="1">IF('数据-取费表'!B22&lt;=1,ROUND(C19*F24*F23/2,0)+ROUND(C20*F24*F23/2,0),ROUND(C19*(POWER((1+F24),F23/2)-1),0)+ROUND(C20*(POWER((1+F24),F23/2)-1),0))</f>
        <v>811</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ROUND(J13*M23,1)</f>
        <v>0</v>
      </c>
      <c r="K23" s="1795" t="s">
        <v>1450</v>
      </c>
      <c r="L23" s="347" t="s">
        <v>1451</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ROUND(J5*M24,1)</f>
        <v>0</v>
      </c>
      <c r="K24" s="1340" t="s">
        <v>1455</v>
      </c>
      <c r="L24" s="1338" t="s">
        <v>1451</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1815"/>
      <c r="F25" s="26"/>
      <c r="G25" s="1848"/>
      <c r="H25" s="1327" t="s">
        <v>1028</v>
      </c>
      <c r="I25" s="1342" t="s">
        <v>1459</v>
      </c>
      <c r="J25" s="355">
        <f ca="1">J5-J16</f>
        <v>-474</v>
      </c>
      <c r="K25" s="1343" t="s">
        <v>1460</v>
      </c>
      <c r="L25" s="1344"/>
      <c r="M25" s="1345"/>
    </row>
    <row r="26" spans="1:37">
      <c r="A26" s="1199" t="s">
        <v>1031</v>
      </c>
      <c r="B26" s="347" t="s">
        <v>1461</v>
      </c>
      <c r="C26" s="24">
        <f ca="1">ROUND((C19+C20)*F26,0)</f>
        <v>854</v>
      </c>
      <c r="D26" s="369" t="s">
        <v>1462</v>
      </c>
      <c r="E26" s="358" t="s">
        <v>1463</v>
      </c>
      <c r="F26" s="357">
        <f ca="1">INDIRECT("'数据-取费表'!q"&amp;$G$1)</f>
        <v>0.05</v>
      </c>
      <c r="G26" s="1848"/>
      <c r="H26" s="344" t="s">
        <v>1029</v>
      </c>
      <c r="I26" s="345" t="s">
        <v>1464</v>
      </c>
      <c r="J26" s="346">
        <f ca="1">IF(J5&lt;&gt;0,ROUND(J25*(1-((1+M28)/(1+M26))^M27)/(M26-M28),0),0)</f>
        <v>0</v>
      </c>
      <c r="K26" s="370" t="s">
        <v>1465</v>
      </c>
      <c r="L26" s="347" t="s">
        <v>1466</v>
      </c>
      <c r="M26" s="357">
        <f ca="1">INDIRECT("'数据-取费表'!I"&amp;$G$1)</f>
        <v>0.05</v>
      </c>
    </row>
    <row r="27" spans="1:37" ht="18" customHeight="1">
      <c r="A27" s="1199" t="s">
        <v>1033</v>
      </c>
      <c r="B27" s="347" t="s">
        <v>1467</v>
      </c>
      <c r="C27" s="24">
        <f ca="1">ROUND(F21*F26,4)</f>
        <v>1E-3</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20245</v>
      </c>
      <c r="D29" s="1340"/>
      <c r="E29" s="1338"/>
      <c r="F29" s="1341"/>
      <c r="G29" s="1851"/>
      <c r="H29" s="380" t="s">
        <v>1030</v>
      </c>
      <c r="I29" s="381" t="s">
        <v>1475</v>
      </c>
      <c r="J29" s="382">
        <f ca="1">ROUND(J26/(1+F40)^F41,0)</f>
        <v>0</v>
      </c>
      <c r="K29" s="383" t="s">
        <v>1476</v>
      </c>
      <c r="L29" s="384"/>
      <c r="M29" s="385">
        <f ca="1">INDIRECT("'数据-取费表'!k"&amp;$G$1)</f>
        <v>50189.399999998794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456</v>
      </c>
      <c r="D30" s="1335" t="s">
        <v>1421</v>
      </c>
      <c r="E30" s="1336"/>
      <c r="F30" s="1292"/>
      <c r="G30" s="1848"/>
      <c r="H30" s="745"/>
      <c r="I30" s="746"/>
      <c r="J30" s="747"/>
      <c r="K30" s="748"/>
      <c r="L30" s="749"/>
      <c r="M30" s="750"/>
    </row>
    <row r="31" spans="1:37" ht="18" customHeight="1">
      <c r="A31" s="1199" t="s">
        <v>1032</v>
      </c>
      <c r="B31" s="347" t="s">
        <v>1425</v>
      </c>
      <c r="C31" s="24">
        <f ca="1">ROUND(IF(项目基本情况!B11="自然人",C5*F31,C32+C33+C34),1)</f>
        <v>115.7</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IF(项目基本情况!B11="自然人","——",ROUND(C5*F32/(1+'数据-取费表'!C42),2))</f>
        <v>35.15</v>
      </c>
      <c r="D32" s="1795"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80.52</v>
      </c>
      <c r="D33" s="1825" t="s">
        <v>4604</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ROUND(C29*F36,1)</f>
        <v>303.7</v>
      </c>
      <c r="D36" s="1795" t="s">
        <v>1478</v>
      </c>
      <c r="E36" s="347" t="s">
        <v>1418</v>
      </c>
      <c r="F36" s="374">
        <f ca="1">INDIRECT("'数据-取费表'!Ak"&amp;$G$1)</f>
        <v>1.4999999999999999E-2</v>
      </c>
      <c r="G36" s="1848"/>
      <c r="H36" s="1856"/>
      <c r="I36" s="1857"/>
      <c r="J36" s="1858"/>
      <c r="K36" s="751"/>
      <c r="L36" s="1856"/>
      <c r="M36" s="1856"/>
    </row>
    <row r="37" spans="1:18" ht="18" customHeight="1">
      <c r="A37" s="1199" t="s">
        <v>1072</v>
      </c>
      <c r="B37" s="347" t="s">
        <v>1449</v>
      </c>
      <c r="C37" s="24">
        <f ca="1">ROUND(C13*F37,1)</f>
        <v>29.8</v>
      </c>
      <c r="D37" s="1795" t="s">
        <v>1450</v>
      </c>
      <c r="E37" s="347" t="s">
        <v>1451</v>
      </c>
      <c r="F37" s="376">
        <f ca="1">INDIRECT("'数据-取费表'!Al"&amp;$G$1)</f>
        <v>1.5E-3</v>
      </c>
      <c r="G37" s="1848"/>
      <c r="H37" s="1856"/>
      <c r="I37" s="1857"/>
      <c r="J37" s="1858"/>
      <c r="K37" s="751"/>
      <c r="L37" s="1856"/>
      <c r="M37" s="1856"/>
    </row>
    <row r="38" spans="1:18" ht="18" customHeight="1" thickBot="1">
      <c r="A38" s="1337" t="s">
        <v>1389</v>
      </c>
      <c r="B38" s="1338" t="s">
        <v>1435</v>
      </c>
      <c r="C38" s="1339">
        <f ca="1">ROUND(C5*F38,1)</f>
        <v>6.7</v>
      </c>
      <c r="D38" s="1340" t="s">
        <v>1455</v>
      </c>
      <c r="E38" s="1338" t="s">
        <v>1451</v>
      </c>
      <c r="F38" s="1334">
        <f ca="1">INDIRECT("'数据-取费表'!Am"&amp;$G$1)</f>
        <v>0.01</v>
      </c>
      <c r="G38" s="1848"/>
      <c r="H38" s="1856"/>
      <c r="I38" s="1857"/>
      <c r="J38" s="1858"/>
      <c r="K38" s="1862"/>
      <c r="L38" s="1856"/>
      <c r="M38" s="1856"/>
    </row>
    <row r="39" spans="1:18" ht="24.6" customHeight="1" thickTop="1">
      <c r="A39" s="1327" t="s">
        <v>1028</v>
      </c>
      <c r="B39" s="1342" t="s">
        <v>1479</v>
      </c>
      <c r="C39" s="355">
        <f ca="1">C5-C30</f>
        <v>215</v>
      </c>
      <c r="D39" s="1343" t="s">
        <v>1480</v>
      </c>
      <c r="E39" s="1344"/>
      <c r="F39" s="1345"/>
      <c r="G39" s="1848"/>
      <c r="H39" s="1856"/>
      <c r="I39" s="1857"/>
      <c r="J39" s="1858"/>
      <c r="K39" s="1862"/>
      <c r="L39" s="1856"/>
      <c r="M39" s="1856"/>
    </row>
    <row r="40" spans="1:18" ht="18" customHeight="1">
      <c r="A40" s="344" t="s">
        <v>1029</v>
      </c>
      <c r="B40" s="345" t="s">
        <v>1481</v>
      </c>
      <c r="C40" s="346">
        <f ca="1">ROUND(C39*(1-((1+F42)/(1+F40))^F41)/(F40-F42),0)</f>
        <v>5798</v>
      </c>
      <c r="D40" s="370" t="s">
        <v>1465</v>
      </c>
      <c r="E40" s="347" t="s">
        <v>1466</v>
      </c>
      <c r="F40" s="357">
        <f ca="1">INDIRECT("'数据-取费表'!I"&amp;$G$1)</f>
        <v>0.05</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46.53</v>
      </c>
      <c r="G41" s="1848"/>
      <c r="H41" s="732"/>
      <c r="I41" s="1857"/>
      <c r="J41" s="1858"/>
      <c r="K41" s="751"/>
      <c r="L41" s="732"/>
      <c r="M41" s="732"/>
    </row>
    <row r="42" spans="1:18" ht="18" customHeight="1">
      <c r="A42" s="353"/>
      <c r="B42" s="354"/>
      <c r="C42" s="355"/>
      <c r="D42" s="373"/>
      <c r="E42" s="347" t="s">
        <v>1473</v>
      </c>
      <c r="F42" s="357">
        <f ca="1">INDIRECT("'数据-取费表'!v"&amp;$G$1)</f>
        <v>2.5000000000000001E-2</v>
      </c>
      <c r="G42" s="1848"/>
      <c r="H42" s="732"/>
      <c r="I42" s="1857"/>
      <c r="J42" s="1858"/>
      <c r="K42" s="751"/>
      <c r="L42" s="732"/>
      <c r="M42" s="732"/>
    </row>
    <row r="43" spans="1:18" ht="18" customHeight="1" thickBot="1">
      <c r="A43" s="380" t="s">
        <v>1030</v>
      </c>
      <c r="B43" s="381" t="s">
        <v>1483</v>
      </c>
      <c r="C43" s="382">
        <f ca="1">ROUND(C40*10000/F43,0)</f>
        <v>1155</v>
      </c>
      <c r="D43" s="383" t="s">
        <v>1484</v>
      </c>
      <c r="E43" s="384" t="s">
        <v>1485</v>
      </c>
      <c r="F43" s="385">
        <f ca="1">INDIRECT("'数据-取费表'!k"&amp;$G$1)</f>
        <v>50189.399999998794</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-42276</v>
      </c>
      <c r="D46" s="1869" t="str">
        <f>C2</f>
        <v>万元</v>
      </c>
      <c r="E46" s="1863"/>
      <c r="F46" s="1863"/>
      <c r="I46" s="1870" t="s">
        <v>1517</v>
      </c>
      <c r="J46" s="1871"/>
      <c r="K46" s="1872"/>
      <c r="L46" s="1873">
        <f ca="1">IF(M47="住宅",0,IF(L48&gt;J51,L60,J60))</f>
        <v>147</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4605</v>
      </c>
      <c r="K47" s="1879" t="s">
        <v>1523</v>
      </c>
      <c r="L47" s="1880">
        <f ca="1">INDIRECT("'数据-取费表'!d"&amp;$G$1)</f>
        <v>50</v>
      </c>
      <c r="M47" s="1835" t="str">
        <f>IF(ISNUMBER(FIND("住宅",C1)),"住宅","非住宅")</f>
        <v>非住宅</v>
      </c>
      <c r="O47" s="1881" t="s">
        <v>1037</v>
      </c>
      <c r="P47" s="1882" t="s">
        <v>1524</v>
      </c>
      <c r="Q47" s="1883">
        <f ca="1">C40+J29</f>
        <v>5798</v>
      </c>
      <c r="R47" s="1883" t="s">
        <v>1525</v>
      </c>
    </row>
    <row r="48" spans="1:18" s="1839" customFormat="1" ht="28.5" thickBot="1">
      <c r="A48" s="1358" t="s">
        <v>1132</v>
      </c>
      <c r="B48" s="345" t="s">
        <v>1397</v>
      </c>
      <c r="C48" s="1814">
        <f ca="1">C49+C53+C55</f>
        <v>0</v>
      </c>
      <c r="D48" s="1360"/>
      <c r="E48" s="1361"/>
      <c r="F48" s="1179"/>
      <c r="G48" s="792"/>
      <c r="H48" s="793"/>
      <c r="I48" s="1884" t="s">
        <v>1526</v>
      </c>
      <c r="J48" s="1885" t="s">
        <v>4606</v>
      </c>
      <c r="K48" s="1886" t="s">
        <v>1527</v>
      </c>
      <c r="L48" s="1887">
        <f ca="1">INDIRECT("'数据-取费表'!f"&amp;$G$1)</f>
        <v>46.53</v>
      </c>
      <c r="O48" s="1881" t="s">
        <v>1038</v>
      </c>
      <c r="P48" s="1882" t="s">
        <v>1528</v>
      </c>
      <c r="Q48" s="1883">
        <f ca="1">J60</f>
        <v>147</v>
      </c>
      <c r="R48" s="1883" t="s">
        <v>1529</v>
      </c>
    </row>
    <row r="49" spans="1:18" s="1839" customFormat="1" ht="13.5" thickBot="1">
      <c r="A49" s="1192" t="s">
        <v>1133</v>
      </c>
      <c r="B49" s="1826" t="s">
        <v>1486</v>
      </c>
      <c r="C49" s="1362">
        <f ca="1">ROUND(F49*F51*F50*(1-F52)/10000,0)</f>
        <v>0</v>
      </c>
      <c r="D49" s="1274" t="s">
        <v>3023</v>
      </c>
      <c r="E49" s="1827" t="s">
        <v>1487</v>
      </c>
      <c r="F49" s="1279"/>
      <c r="G49" s="1888"/>
      <c r="H49" s="793"/>
      <c r="I49" s="1884" t="s">
        <v>1530</v>
      </c>
      <c r="J49" s="1889">
        <v>2018</v>
      </c>
      <c r="K49" s="1886" t="s">
        <v>1531</v>
      </c>
      <c r="L49" s="1890"/>
      <c r="O49" s="1891" t="s">
        <v>1039</v>
      </c>
      <c r="P49" s="1882" t="s">
        <v>1532</v>
      </c>
      <c r="Q49" s="1883">
        <f ca="1">C29</f>
        <v>20245</v>
      </c>
      <c r="R49" s="1883" t="s">
        <v>1525</v>
      </c>
    </row>
    <row r="50" spans="1:18" s="1839" customFormat="1" ht="13.5" thickBot="1">
      <c r="A50" s="1193"/>
      <c r="B50" s="1196"/>
      <c r="C50" s="1366"/>
      <c r="D50" s="1170"/>
      <c r="E50" s="1275" t="s">
        <v>1402</v>
      </c>
      <c r="F50" s="1276">
        <f ca="1">F7</f>
        <v>1243</v>
      </c>
      <c r="H50" s="793"/>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4"/>
      <c r="B51" s="1196"/>
      <c r="C51" s="1197"/>
      <c r="D51" s="1170"/>
      <c r="E51" s="1198" t="s">
        <v>1403</v>
      </c>
      <c r="F51" s="348">
        <f ca="1">F8</f>
        <v>12</v>
      </c>
      <c r="I51" s="1895" t="s">
        <v>1536</v>
      </c>
      <c r="J51" s="1896">
        <f>IF(J49="",J50,J49+J50-YEAR('数据-取费表'!B2))</f>
        <v>59</v>
      </c>
      <c r="K51" s="1897" t="s">
        <v>1537</v>
      </c>
      <c r="L51" s="1898">
        <f ca="1">ROUND(-PV(INDIRECT("'数据-取费表'!h"&amp;$G$1),L48,(C39-C13*C76),0),0)</f>
        <v>-28480</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46.53</v>
      </c>
      <c r="R52" s="1883" t="s">
        <v>1542</v>
      </c>
    </row>
    <row r="53" spans="1:18" s="1839" customFormat="1" ht="24.75" thickBot="1">
      <c r="A53" s="1403" t="s">
        <v>1134</v>
      </c>
      <c r="B53" s="1828" t="s">
        <v>1405</v>
      </c>
      <c r="C53" s="361">
        <f ca="1">ROUND(IF(F53="押一",C49/12*F11,IF(F53="押二",C49/12*2*F11,IF(F53="押三",C49/12*3*F11,C54*F11))),0)</f>
        <v>0</v>
      </c>
      <c r="D53" s="1821" t="s">
        <v>3030</v>
      </c>
      <c r="E53" s="358"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46.53</v>
      </c>
      <c r="K53" s="3102" t="s">
        <v>1544</v>
      </c>
      <c r="L53" s="3103"/>
      <c r="O53" s="1881" t="s">
        <v>1043</v>
      </c>
      <c r="P53" s="1882" t="s">
        <v>1545</v>
      </c>
      <c r="Q53" s="1883">
        <f ca="1">Q47+Q48</f>
        <v>5945</v>
      </c>
      <c r="R53" s="1883" t="s">
        <v>1044</v>
      </c>
    </row>
    <row r="54" spans="1:18" s="1839" customFormat="1" ht="13.5" thickBot="1">
      <c r="A54" s="1404"/>
      <c r="B54" s="1822" t="s">
        <v>1384</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f ca="1">ROUND(IF(J47="钢混",J57/J50,1-(1-2%)*(J50-J57)/J50),3)</f>
        <v>0.20799999999999999</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19840</v>
      </c>
      <c r="D56" s="1911"/>
      <c r="E56" s="1912"/>
      <c r="F56" s="1904"/>
      <c r="I56" s="1913" t="s">
        <v>1550</v>
      </c>
      <c r="J56" s="1914" t="s">
        <v>4596</v>
      </c>
      <c r="K56" s="1884" t="s">
        <v>1551</v>
      </c>
      <c r="L56" s="1887" t="str">
        <f ca="1">IF(L48&lt;J51,"——",L48-J53)</f>
        <v>——</v>
      </c>
      <c r="O56" s="1881" t="s">
        <v>1037</v>
      </c>
      <c r="P56" s="1882" t="s">
        <v>1524</v>
      </c>
      <c r="Q56" s="1883">
        <f ca="1">C40+J29</f>
        <v>5798</v>
      </c>
      <c r="R56" s="1883" t="s">
        <v>1525</v>
      </c>
    </row>
    <row r="57" spans="1:18" s="1839" customFormat="1" ht="24.75" thickBot="1">
      <c r="A57" s="1915"/>
      <c r="B57" s="1167" t="s">
        <v>1474</v>
      </c>
      <c r="C57" s="282">
        <f ca="1">C29</f>
        <v>20245</v>
      </c>
      <c r="D57" s="1916"/>
      <c r="E57" s="1917"/>
      <c r="F57" s="1918"/>
      <c r="I57" s="1919" t="s">
        <v>1552</v>
      </c>
      <c r="J57" s="1920">
        <f ca="1">IF(OR(M47="住宅",J51&lt;L48,J56="是"),"——",J51-L48)</f>
        <v>12.469999999999999</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2034</v>
      </c>
      <c r="D58" s="1177" t="s">
        <v>1421</v>
      </c>
      <c r="E58" s="1178"/>
      <c r="F58" s="1179"/>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1700.6</v>
      </c>
      <c r="D59" s="1180" t="s">
        <v>1426</v>
      </c>
      <c r="E59" s="1181" t="s">
        <v>1427</v>
      </c>
      <c r="F59" s="368" t="str">
        <f ca="1">IF(项目基本情况!B11="企业","",IF(INDIRECT("'数据-取费表'!c"&amp;$G$1)="住宅",5%,IF(F49*F50*F51/12/(1+'数据-取费表'!C42)&gt;20000,12%,7%)))</f>
        <v/>
      </c>
      <c r="I59" s="1919" t="s">
        <v>1559</v>
      </c>
      <c r="J59" s="1920">
        <f ca="1">IF(OR(M47="住宅",J51&lt;L48,J56="是"),"——",ROUND(C29*J58,0))</f>
        <v>8098</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2" t="s">
        <v>1561</v>
      </c>
      <c r="J60" s="1923">
        <f ca="1">IF(OR(M47="住宅",J51&lt;L48,J56="是"),"0",ROUND(J59/(1+J52)^J53,0))</f>
        <v>147</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IF(项目基本情况!B11="自然人","——",IF(D61="按租金收入计税",ROUND(C48*F61,2),IF(D61="按房产原值计税",ROUND(C57*F61*0.7,2),INDIRECT("'数据-取费表'!Aj"&amp;$G$1))))</f>
        <v>1700.58</v>
      </c>
      <c r="D61" s="1825" t="s">
        <v>1434</v>
      </c>
      <c r="E61" s="1167" t="s">
        <v>1490</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1492</v>
      </c>
      <c r="C62" s="25">
        <f ca="1">IF(项目基本情况!B11="自然人","——",ROUND(F62*F63/10000,2))</f>
        <v>0</v>
      </c>
      <c r="D62" s="1182" t="s">
        <v>1493</v>
      </c>
      <c r="E62" s="1167" t="s">
        <v>1494</v>
      </c>
      <c r="F62" s="371">
        <f t="shared" si="0"/>
        <v>1.5</v>
      </c>
      <c r="I62" s="1926" t="s">
        <v>1566</v>
      </c>
      <c r="J62" s="1927" t="s">
        <v>1567</v>
      </c>
      <c r="K62" s="1927" t="s">
        <v>1568</v>
      </c>
      <c r="L62" s="1927" t="s">
        <v>1569</v>
      </c>
      <c r="M62" s="1928" t="s">
        <v>1570</v>
      </c>
      <c r="O62" s="1881" t="s">
        <v>1043</v>
      </c>
      <c r="P62" s="1882" t="s">
        <v>1571</v>
      </c>
      <c r="Q62" s="1883">
        <f ca="1">Q56+Q57</f>
        <v>5798</v>
      </c>
      <c r="R62" s="1883" t="s">
        <v>1044</v>
      </c>
    </row>
    <row r="63" spans="1:18" s="1839" customFormat="1" ht="13.5" thickBot="1">
      <c r="A63" s="372"/>
      <c r="B63" s="1173"/>
      <c r="C63" s="29"/>
      <c r="D63" s="1183"/>
      <c r="E63" s="1167"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ROUND(C57*F64,1)</f>
        <v>303.7</v>
      </c>
      <c r="D64" s="1181" t="s">
        <v>1498</v>
      </c>
      <c r="E64" s="1167" t="s">
        <v>1490</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29.8</v>
      </c>
      <c r="D65" s="1181" t="s">
        <v>1450</v>
      </c>
      <c r="E65" s="1167" t="s">
        <v>1451</v>
      </c>
      <c r="F65" s="376">
        <f t="shared" ca="1" si="0"/>
        <v>1.5E-3</v>
      </c>
      <c r="I65" s="1926" t="s">
        <v>1575</v>
      </c>
      <c r="J65" s="1927">
        <v>40</v>
      </c>
      <c r="K65" s="1927">
        <v>30</v>
      </c>
      <c r="L65" s="1927">
        <v>50</v>
      </c>
      <c r="M65" s="1929">
        <v>0.02</v>
      </c>
      <c r="O65" s="1881" t="s">
        <v>1037</v>
      </c>
      <c r="P65" s="1882" t="s">
        <v>1576</v>
      </c>
      <c r="Q65" s="1883">
        <f ca="1">C40+J29</f>
        <v>5798</v>
      </c>
      <c r="R65" s="1883" t="s">
        <v>1525</v>
      </c>
    </row>
    <row r="66" spans="1:18" s="1839" customFormat="1" ht="16.5" thickBot="1">
      <c r="A66" s="1199" t="s">
        <v>1500</v>
      </c>
      <c r="B66" s="1167" t="s">
        <v>1435</v>
      </c>
      <c r="C66" s="24">
        <f ca="1">ROUND(C48*F66,1)</f>
        <v>0</v>
      </c>
      <c r="D66" s="1181" t="s">
        <v>1501</v>
      </c>
      <c r="E66" s="1167" t="s">
        <v>1418</v>
      </c>
      <c r="F66" s="357">
        <f t="shared" ca="1" si="0"/>
        <v>0.01</v>
      </c>
      <c r="O66" s="1881" t="s">
        <v>1038</v>
      </c>
      <c r="P66" s="1882" t="s">
        <v>1554</v>
      </c>
      <c r="Q66" s="1883">
        <f ca="1">L60</f>
        <v>0</v>
      </c>
      <c r="R66" s="1883" t="s">
        <v>1577</v>
      </c>
    </row>
    <row r="67" spans="1:18" s="1839" customFormat="1" ht="16.5" thickBot="1">
      <c r="A67" s="1174" t="s">
        <v>1028</v>
      </c>
      <c r="B67" s="1184" t="s">
        <v>1459</v>
      </c>
      <c r="C67" s="361">
        <f ca="1">C48-C58</f>
        <v>-2034</v>
      </c>
      <c r="D67" s="1180" t="s">
        <v>1460</v>
      </c>
      <c r="E67" s="1185"/>
      <c r="F67" s="1186"/>
      <c r="O67" s="1891" t="s">
        <v>1039</v>
      </c>
      <c r="P67" s="1882" t="s">
        <v>1558</v>
      </c>
      <c r="Q67" s="1930">
        <f ca="1">L51</f>
        <v>-28480</v>
      </c>
      <c r="R67" s="1883" t="s">
        <v>1578</v>
      </c>
    </row>
    <row r="68" spans="1:18" s="1839" customFormat="1" ht="16.5" thickBot="1">
      <c r="A68" s="1164" t="s">
        <v>1029</v>
      </c>
      <c r="B68" s="1165" t="s">
        <v>1481</v>
      </c>
      <c r="C68" s="346">
        <f ca="1">ROUND(C67*(1-((1+F70)/(1+F68))^F69)/(F68-F70),0)</f>
        <v>-36478</v>
      </c>
      <c r="D68" s="1182" t="s">
        <v>1465</v>
      </c>
      <c r="E68" s="1167" t="s">
        <v>1466</v>
      </c>
      <c r="F68" s="357">
        <f ca="1">F40</f>
        <v>0.05</v>
      </c>
      <c r="O68" s="1891" t="s">
        <v>1040</v>
      </c>
      <c r="P68" s="1931" t="s">
        <v>1579</v>
      </c>
      <c r="Q68" s="1883">
        <f ca="1">ROUND(Q69-Q70*Q71,0)</f>
        <v>-1471</v>
      </c>
      <c r="R68" s="1883" t="s">
        <v>1048</v>
      </c>
    </row>
    <row r="69" spans="1:18" s="1839" customFormat="1" ht="13.5" thickBot="1">
      <c r="A69" s="1168"/>
      <c r="B69" s="1169"/>
      <c r="C69" s="351"/>
      <c r="D69" s="1187" t="s">
        <v>1469</v>
      </c>
      <c r="E69" s="1167" t="s">
        <v>1470</v>
      </c>
      <c r="F69" s="379">
        <f ca="1">F41</f>
        <v>46.53</v>
      </c>
      <c r="O69" s="1891" t="s">
        <v>1045</v>
      </c>
      <c r="P69" s="1931" t="s">
        <v>1580</v>
      </c>
      <c r="Q69" s="1883">
        <f ca="1">C39</f>
        <v>215</v>
      </c>
      <c r="R69" s="1883" t="s">
        <v>1525</v>
      </c>
    </row>
    <row r="70" spans="1:18" s="1839" customFormat="1" ht="13.5" thickBot="1">
      <c r="A70" s="1171"/>
      <c r="B70" s="1172"/>
      <c r="C70" s="355"/>
      <c r="D70" s="1183"/>
      <c r="E70" s="1167" t="s">
        <v>1473</v>
      </c>
      <c r="F70" s="1273"/>
      <c r="O70" s="1891" t="s">
        <v>1046</v>
      </c>
      <c r="P70" s="1931" t="s">
        <v>1581</v>
      </c>
      <c r="Q70" s="1883">
        <f ca="1">C13</f>
        <v>19840</v>
      </c>
      <c r="R70" s="1883" t="s">
        <v>1525</v>
      </c>
    </row>
    <row r="71" spans="1:18" s="1839" customFormat="1" ht="13.5" thickBot="1">
      <c r="A71" s="1188" t="s">
        <v>1030</v>
      </c>
      <c r="B71" s="1189" t="s">
        <v>1483</v>
      </c>
      <c r="C71" s="382">
        <f ca="1">ROUND(C68*10000/F71,0)</f>
        <v>-7268</v>
      </c>
      <c r="D71" s="1190" t="s">
        <v>1484</v>
      </c>
      <c r="E71" s="1191" t="s">
        <v>1485</v>
      </c>
      <c r="F71" s="385">
        <f ca="1">F43</f>
        <v>50189.399999998794</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1686</v>
      </c>
      <c r="D75" s="1839"/>
      <c r="E75" s="1839"/>
      <c r="F75" s="1839"/>
      <c r="K75" s="1865"/>
      <c r="L75" s="1839"/>
      <c r="O75" s="1881" t="s">
        <v>1043</v>
      </c>
      <c r="P75" s="1882" t="s">
        <v>1545</v>
      </c>
      <c r="Q75" s="1883">
        <f ca="1">Q65+Q66</f>
        <v>5798</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-6.8419999999999996</v>
      </c>
    </row>
    <row r="80" spans="1:18">
      <c r="B80" s="386" t="s">
        <v>1507</v>
      </c>
      <c r="C80" s="318">
        <f ca="1">ROUND(C75/C39,3)</f>
        <v>7.8419999999999996</v>
      </c>
    </row>
    <row r="81" spans="2:3">
      <c r="B81" s="314" t="s">
        <v>1508</v>
      </c>
      <c r="C81" s="282"/>
    </row>
    <row r="82" spans="2:3">
      <c r="B82" s="317" t="s">
        <v>1509</v>
      </c>
      <c r="C82" s="319">
        <f ca="1">1-C83</f>
        <v>-2.4220000000000002</v>
      </c>
    </row>
    <row r="83" spans="2:3">
      <c r="B83" s="317" t="s">
        <v>1510</v>
      </c>
      <c r="C83" s="318">
        <f ca="1">ROUND(C13/C40,3)</f>
        <v>3.4220000000000002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52835</v>
      </c>
      <c r="C2" s="2" t="s">
        <v>133</v>
      </c>
      <c r="D2" s="243"/>
      <c r="E2" s="243"/>
      <c r="F2" s="243"/>
      <c r="G2" s="243"/>
    </row>
    <row r="3" spans="1:7" s="244" customFormat="1" ht="18" customHeight="1" thickBot="1">
      <c r="A3" s="247" t="s">
        <v>85</v>
      </c>
      <c r="B3" s="248">
        <f ca="1">ROUND(B2*10000/'数据-汇总表'!E3,0)</f>
        <v>8609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0</v>
      </c>
      <c r="D10" s="1030">
        <f>'数据-汇总表'!E6</f>
        <v>61370.239999998797</v>
      </c>
      <c r="E10" s="269">
        <f>'数据-取费表'!B28</f>
        <v>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1227</v>
      </c>
      <c r="D19" s="1034">
        <f>'数据-汇总表'!E3</f>
        <v>61370.239999998797</v>
      </c>
      <c r="E19" s="255">
        <f>'数据-取费表'!B31</f>
        <v>200</v>
      </c>
      <c r="F19" s="275"/>
      <c r="G19" s="1" t="s">
        <v>1071</v>
      </c>
    </row>
    <row r="20" spans="1:7" s="258" customFormat="1" ht="13.5" customHeight="1">
      <c r="A20" s="946" t="s">
        <v>1054</v>
      </c>
      <c r="B20" s="254" t="s">
        <v>104</v>
      </c>
      <c r="C20" s="276">
        <f>ROUND((C5+C19)*F20,0)</f>
        <v>437</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2144</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119</v>
      </c>
      <c r="D24" s="282"/>
      <c r="E24" s="282"/>
      <c r="F24" s="283"/>
      <c r="G24" s="284" t="s">
        <v>109</v>
      </c>
    </row>
    <row r="25" spans="1:7" s="258" customFormat="1" ht="24">
      <c r="A25" s="949" t="s">
        <v>793</v>
      </c>
      <c r="B25" s="259" t="s">
        <v>1055</v>
      </c>
      <c r="C25" s="1353">
        <f ca="1">ROUND(IF('数据-取费表'!B22&lt;=1,C20*F22*'数据-取费表'!B23/2,C20*(POWER((1+F22),'数据-取费表'!B23/2)-1)),0)</f>
        <v>21</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1559</v>
      </c>
      <c r="D27" s="279">
        <f>C29</f>
        <v>1.4E-3</v>
      </c>
      <c r="E27" s="280" t="s">
        <v>126</v>
      </c>
      <c r="F27" s="290">
        <f>'数据-取费表'!Q16</f>
        <v>7.0000000000000007E-2</v>
      </c>
      <c r="G27" s="291" t="s">
        <v>1066</v>
      </c>
    </row>
    <row r="28" spans="1:7" s="258" customFormat="1" ht="13.5" customHeight="1">
      <c r="A28" s="949" t="s">
        <v>794</v>
      </c>
      <c r="B28" s="292" t="s">
        <v>1059</v>
      </c>
      <c r="C28" s="293">
        <f>ROUND((C5+C19+C20)*F27*'数据-取费表'!B21/'数据-取费表'!B20,0)</f>
        <v>1559</v>
      </c>
      <c r="D28" s="279"/>
      <c r="E28" s="280"/>
      <c r="F28" s="290"/>
      <c r="G28" s="291"/>
    </row>
    <row r="29" spans="1:7" s="258" customFormat="1" ht="13.5" customHeight="1">
      <c r="A29" s="949" t="s">
        <v>792</v>
      </c>
      <c r="B29" s="292" t="s">
        <v>1060</v>
      </c>
      <c r="C29" s="282">
        <f>ROUND(C21*F27*'数据-取费表'!B21/'数据-取费表'!B20,4)</f>
        <v>1.4E-3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28077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20466</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18411</v>
      </c>
      <c r="D34" s="261"/>
      <c r="E34" s="264"/>
      <c r="F34" s="301">
        <f>IF('数据-取费表'!B24=0,1,'数据-取费表'!N16)</f>
        <v>1</v>
      </c>
      <c r="G34" s="263" t="s">
        <v>116</v>
      </c>
    </row>
    <row r="35" spans="1:7" ht="13.5" customHeight="1">
      <c r="A35" s="949" t="s">
        <v>796</v>
      </c>
      <c r="B35" s="259" t="s">
        <v>60</v>
      </c>
      <c r="C35" s="264">
        <f>ROUND(C34*F35,0)</f>
        <v>552</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1227</v>
      </c>
      <c r="D37" s="261">
        <f>'数据-汇总表'!E3</f>
        <v>61370.239999998797</v>
      </c>
      <c r="E37" s="293">
        <f>'数据-取费表'!B35</f>
        <v>200</v>
      </c>
      <c r="F37" s="303"/>
      <c r="G37" s="305" t="s">
        <v>119</v>
      </c>
    </row>
    <row r="38" spans="1:7" ht="13.5" customHeight="1">
      <c r="A38" s="949" t="s">
        <v>799</v>
      </c>
      <c r="B38" s="259" t="s">
        <v>63</v>
      </c>
      <c r="C38" s="264">
        <f>ROUND(C34*F38,0)</f>
        <v>276</v>
      </c>
      <c r="D38" s="264"/>
      <c r="E38" s="264"/>
      <c r="F38" s="303">
        <f>'数据-取费表'!B36</f>
        <v>1.4999999999999999E-2</v>
      </c>
      <c r="G38" s="263" t="s">
        <v>117</v>
      </c>
    </row>
    <row r="39" spans="1:7" s="258" customFormat="1" ht="13.5" customHeight="1">
      <c r="A39" s="946" t="s">
        <v>783</v>
      </c>
      <c r="B39" s="254" t="s">
        <v>104</v>
      </c>
      <c r="C39" s="276">
        <f>ROUND(C33*F20,0)</f>
        <v>409</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991</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972</v>
      </c>
      <c r="D42" s="282"/>
      <c r="E42" s="282"/>
      <c r="F42" s="283"/>
      <c r="G42" s="3096" t="s">
        <v>121</v>
      </c>
    </row>
    <row r="43" spans="1:7" ht="13.5" customHeight="1">
      <c r="A43" s="949" t="s">
        <v>792</v>
      </c>
      <c r="B43" s="259" t="s">
        <v>1061</v>
      </c>
      <c r="C43" s="282">
        <f ca="1">ROUND(IF('数据-取费表'!B22&lt;=1,C39*F22*'数据-取费表'!B21/2,C39*(POWER((1+F22),'数据-取费表'!B21/2)-1)),0)</f>
        <v>19</v>
      </c>
      <c r="D43" s="282"/>
      <c r="E43" s="282"/>
      <c r="F43" s="283"/>
      <c r="G43" s="3097"/>
    </row>
    <row r="44" spans="1:7" ht="13.5" customHeight="1">
      <c r="A44" s="949" t="s">
        <v>793</v>
      </c>
      <c r="B44" s="259" t="s">
        <v>1063</v>
      </c>
      <c r="C44" s="282">
        <f ca="1">ROUND(IF('数据-取费表'!B22&lt;=1,C40*F22*'数据-取费表'!B21/2,C40*(POWER((1+F22),'数据-取费表'!B21/2)-1)),4)</f>
        <v>1E-3</v>
      </c>
      <c r="D44" s="282"/>
      <c r="E44" s="282"/>
      <c r="F44" s="283"/>
      <c r="G44" s="3098"/>
    </row>
    <row r="45" spans="1:7" s="258" customFormat="1" ht="13.5" customHeight="1">
      <c r="A45" s="946" t="s">
        <v>786</v>
      </c>
      <c r="B45" s="288" t="s">
        <v>112</v>
      </c>
      <c r="C45" s="289">
        <f>C46</f>
        <v>1461</v>
      </c>
      <c r="D45" s="279">
        <f>C47</f>
        <v>1.4E-3</v>
      </c>
      <c r="E45" s="280" t="s">
        <v>129</v>
      </c>
      <c r="F45" s="290"/>
      <c r="G45" s="291" t="s">
        <v>1069</v>
      </c>
    </row>
    <row r="46" spans="1:7" s="258" customFormat="1" ht="13.5" customHeight="1">
      <c r="A46" s="949" t="s">
        <v>794</v>
      </c>
      <c r="B46" s="292" t="s">
        <v>1062</v>
      </c>
      <c r="C46" s="293">
        <f>ROUND((C33+C39)*F27,0)</f>
        <v>1461</v>
      </c>
      <c r="D46" s="307"/>
      <c r="E46" s="280"/>
      <c r="F46" s="290"/>
      <c r="G46" s="291"/>
    </row>
    <row r="47" spans="1:7" s="258" customFormat="1" ht="13.5" customHeight="1">
      <c r="A47" s="949" t="s">
        <v>792</v>
      </c>
      <c r="B47" s="292" t="s">
        <v>1064</v>
      </c>
      <c r="C47" s="282">
        <f>ROUND(C40*F27,4)</f>
        <v>1.4E-3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25212</v>
      </c>
      <c r="D49" s="276"/>
      <c r="E49" s="276"/>
      <c r="F49" s="308"/>
      <c r="G49" s="278" t="s">
        <v>1070</v>
      </c>
    </row>
    <row r="50" spans="1:7" s="302" customFormat="1" ht="24">
      <c r="A50" s="946" t="s">
        <v>789</v>
      </c>
      <c r="B50" s="254" t="s">
        <v>124</v>
      </c>
      <c r="C50" s="276"/>
      <c r="D50" s="276"/>
      <c r="E50" s="276"/>
      <c r="F50" s="308">
        <f>IF('数据-取费表'!B24=0,'数据-取费表'!N16,1)</f>
        <v>0.98199999999999998</v>
      </c>
      <c r="G50" s="291" t="s">
        <v>125</v>
      </c>
    </row>
    <row r="51" spans="1:7" ht="16.5" customHeight="1">
      <c r="A51" s="946" t="s">
        <v>790</v>
      </c>
      <c r="B51" s="254" t="s">
        <v>132</v>
      </c>
      <c r="C51" s="276">
        <f ca="1">ROUND(C49*F50,0)</f>
        <v>24758</v>
      </c>
      <c r="D51" s="276"/>
      <c r="E51" s="276"/>
      <c r="F51" s="308"/>
      <c r="G51" s="278" t="s">
        <v>64</v>
      </c>
    </row>
    <row r="52" spans="1:7" s="252" customFormat="1" ht="16.5" thickBot="1">
      <c r="A52" s="309" t="s">
        <v>65</v>
      </c>
      <c r="B52" s="310"/>
      <c r="C52" s="311">
        <f ca="1">C31+C51</f>
        <v>52835</v>
      </c>
      <c r="D52" s="310"/>
      <c r="E52" s="310"/>
      <c r="F52" s="310"/>
      <c r="G52" s="312"/>
    </row>
    <row r="55" spans="1:7" ht="15">
      <c r="B55" s="314" t="s">
        <v>66</v>
      </c>
      <c r="C55" s="315"/>
    </row>
    <row r="56" spans="1:7">
      <c r="B56" s="317" t="s">
        <v>67</v>
      </c>
      <c r="C56" s="318">
        <f ca="1">ROUND(C51/C52,3)</f>
        <v>0.46899999999999997</v>
      </c>
    </row>
    <row r="57" spans="1:7">
      <c r="B57" s="317" t="s">
        <v>68</v>
      </c>
      <c r="C57" s="319">
        <f ca="1">1-C56</f>
        <v>0.53100000000000003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29" t="s">
        <v>156</v>
      </c>
      <c r="B1" s="3329"/>
      <c r="C1" s="3329"/>
      <c r="D1" s="3329"/>
      <c r="E1" s="3329"/>
      <c r="F1" s="3329"/>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30" t="s">
        <v>169</v>
      </c>
      <c r="B2" s="3330"/>
      <c r="C2" s="3330"/>
      <c r="D2" s="3330"/>
      <c r="E2" s="3330"/>
      <c r="F2" s="3330"/>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31"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32"/>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9" t="s">
        <v>868</v>
      </c>
      <c r="B1" s="332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212</v>
      </c>
      <c r="B6" s="829" t="s">
        <v>877</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878</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879</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880</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881</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882</v>
      </c>
      <c r="C72" s="1075"/>
      <c r="D72" s="1075"/>
      <c r="E72" s="1075"/>
      <c r="F72" s="1063">
        <v>0.05</v>
      </c>
    </row>
    <row r="73" spans="1:6" ht="14.25" thickBot="1">
      <c r="A73" s="835" t="s">
        <v>137</v>
      </c>
      <c r="B73" s="829" t="s">
        <v>883</v>
      </c>
      <c r="C73" s="1075"/>
      <c r="D73" s="1075"/>
      <c r="E73" s="1075"/>
      <c r="F73" s="1063">
        <v>0.05</v>
      </c>
    </row>
    <row r="74" spans="1:6" ht="14.25" thickBot="1">
      <c r="A74" s="835" t="s">
        <v>137</v>
      </c>
      <c r="B74" s="829" t="s">
        <v>884</v>
      </c>
      <c r="C74" s="1075"/>
      <c r="D74" s="1075"/>
      <c r="E74" s="1075"/>
      <c r="F74" s="1063">
        <v>0.05</v>
      </c>
    </row>
    <row r="75" spans="1:6" ht="14.25" thickBot="1">
      <c r="A75" s="845" t="s">
        <v>137</v>
      </c>
      <c r="B75" s="841" t="s">
        <v>885</v>
      </c>
      <c r="C75" s="1072"/>
      <c r="D75" s="1072"/>
      <c r="E75" s="1072"/>
      <c r="F75" s="1065">
        <v>0.05</v>
      </c>
    </row>
    <row r="76" spans="1:6" ht="14.25" thickBot="1">
      <c r="A76" s="835" t="s">
        <v>523</v>
      </c>
      <c r="B76" s="836" t="s">
        <v>886</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887</v>
      </c>
      <c r="C102" s="1075"/>
      <c r="D102" s="1075"/>
      <c r="E102" s="1075"/>
      <c r="F102" s="1063">
        <v>0.05</v>
      </c>
    </row>
    <row r="103" spans="1:6" ht="24.75" thickBot="1">
      <c r="A103" s="835" t="s">
        <v>523</v>
      </c>
      <c r="B103" s="829" t="s">
        <v>888</v>
      </c>
      <c r="C103" s="1075"/>
      <c r="D103" s="1075"/>
      <c r="E103" s="1075"/>
      <c r="F103" s="1063">
        <v>0.05</v>
      </c>
    </row>
    <row r="104" spans="1:6" ht="14.25" thickBot="1">
      <c r="A104" s="835" t="s">
        <v>523</v>
      </c>
      <c r="B104" s="829" t="s">
        <v>889</v>
      </c>
      <c r="C104" s="1075"/>
      <c r="D104" s="1075"/>
      <c r="E104" s="1075"/>
      <c r="F104" s="1063">
        <v>0.05</v>
      </c>
    </row>
    <row r="105" spans="1:6" ht="14.25" thickBot="1">
      <c r="A105" s="835" t="s">
        <v>523</v>
      </c>
      <c r="B105" s="829" t="s">
        <v>890</v>
      </c>
      <c r="C105" s="1075"/>
      <c r="D105" s="1075"/>
      <c r="E105" s="1075"/>
      <c r="F105" s="1063">
        <v>0.05</v>
      </c>
    </row>
    <row r="106" spans="1:6" ht="14.25" thickBot="1">
      <c r="A106" s="835" t="s">
        <v>523</v>
      </c>
      <c r="B106" s="829" t="s">
        <v>891</v>
      </c>
      <c r="C106" s="1075"/>
      <c r="D106" s="1075"/>
      <c r="E106" s="1075"/>
      <c r="F106" s="1063">
        <v>0.05</v>
      </c>
    </row>
    <row r="107" spans="1:6" ht="24.75" thickBot="1">
      <c r="A107" s="835" t="s">
        <v>523</v>
      </c>
      <c r="B107" s="829" t="s">
        <v>892</v>
      </c>
      <c r="C107" s="1075"/>
      <c r="D107" s="1075"/>
      <c r="E107" s="1075"/>
      <c r="F107" s="1063">
        <v>0.05</v>
      </c>
    </row>
    <row r="108" spans="1:6" ht="24.75" thickBot="1">
      <c r="A108" s="835" t="s">
        <v>523</v>
      </c>
      <c r="B108" s="829" t="s">
        <v>893</v>
      </c>
      <c r="C108" s="1075"/>
      <c r="D108" s="1075"/>
      <c r="E108" s="1075"/>
      <c r="F108" s="1063">
        <v>0.05</v>
      </c>
    </row>
    <row r="109" spans="1:6" ht="24.75" thickBot="1">
      <c r="A109" s="845" t="s">
        <v>523</v>
      </c>
      <c r="B109" s="841" t="s">
        <v>894</v>
      </c>
      <c r="C109" s="1072"/>
      <c r="D109" s="1072"/>
      <c r="E109" s="1072"/>
      <c r="F109" s="1065">
        <v>0.05</v>
      </c>
    </row>
    <row r="110" spans="1:6" ht="14.25" thickBot="1">
      <c r="A110" s="835" t="s">
        <v>56</v>
      </c>
      <c r="B110" s="836" t="s">
        <v>895</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896</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897</v>
      </c>
      <c r="C138" s="1062">
        <v>0.105</v>
      </c>
      <c r="D138" s="1062">
        <v>0.125</v>
      </c>
      <c r="E138" s="1062">
        <v>0.112</v>
      </c>
      <c r="F138" s="1074"/>
    </row>
    <row r="139" spans="1:6" ht="14.25" thickBot="1">
      <c r="A139" s="835" t="s">
        <v>56</v>
      </c>
      <c r="B139" s="829" t="s">
        <v>898</v>
      </c>
      <c r="C139" s="1062">
        <v>0.127</v>
      </c>
      <c r="D139" s="1062">
        <v>0.127</v>
      </c>
      <c r="E139" s="1062">
        <v>0.122</v>
      </c>
      <c r="F139" s="1063">
        <v>0.13</v>
      </c>
    </row>
    <row r="140" spans="1:6" ht="14.25" thickBot="1">
      <c r="A140" s="835" t="s">
        <v>56</v>
      </c>
      <c r="B140" s="829" t="s">
        <v>899</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900</v>
      </c>
      <c r="C144" s="1067">
        <v>0.126</v>
      </c>
      <c r="D144" s="1067">
        <v>0.126</v>
      </c>
      <c r="E144" s="1067">
        <v>0.121</v>
      </c>
      <c r="F144" s="1074"/>
    </row>
    <row r="145" spans="1:6" ht="14.25" thickBot="1">
      <c r="A145" s="845" t="s">
        <v>56</v>
      </c>
      <c r="B145" s="1068" t="s">
        <v>901</v>
      </c>
      <c r="C145" s="1076"/>
      <c r="D145" s="1076"/>
      <c r="E145" s="1076"/>
      <c r="F145" s="1069">
        <v>0.05</v>
      </c>
    </row>
    <row r="146" spans="1:6" ht="24.75" thickBot="1">
      <c r="A146" s="1070" t="s">
        <v>56</v>
      </c>
      <c r="B146" s="839" t="s">
        <v>902</v>
      </c>
      <c r="C146" s="1075"/>
      <c r="D146" s="1075"/>
      <c r="E146" s="1075"/>
      <c r="F146" s="1071">
        <v>0.05</v>
      </c>
    </row>
    <row r="147" spans="1:6" ht="24.75" thickBot="1">
      <c r="A147" s="835" t="s">
        <v>56</v>
      </c>
      <c r="B147" s="829" t="s">
        <v>903</v>
      </c>
      <c r="C147" s="1075"/>
      <c r="D147" s="1075"/>
      <c r="E147" s="1075"/>
      <c r="F147" s="1063">
        <v>0.05</v>
      </c>
    </row>
    <row r="148" spans="1:6" ht="24.75" thickBot="1">
      <c r="A148" s="835" t="s">
        <v>56</v>
      </c>
      <c r="B148" s="829" t="s">
        <v>904</v>
      </c>
      <c r="C148" s="1075"/>
      <c r="D148" s="1075"/>
      <c r="E148" s="1075"/>
      <c r="F148" s="1063">
        <v>0.05</v>
      </c>
    </row>
    <row r="149" spans="1:6" ht="24.75" thickBot="1">
      <c r="A149" s="835" t="s">
        <v>56</v>
      </c>
      <c r="B149" s="829" t="s">
        <v>905</v>
      </c>
      <c r="C149" s="1075"/>
      <c r="D149" s="1075"/>
      <c r="E149" s="1075"/>
      <c r="F149" s="1063">
        <v>0.05</v>
      </c>
    </row>
    <row r="150" spans="1:6" ht="24.75" thickBot="1">
      <c r="A150" s="835" t="s">
        <v>56</v>
      </c>
      <c r="B150" s="829" t="s">
        <v>906</v>
      </c>
      <c r="C150" s="1075"/>
      <c r="D150" s="1075"/>
      <c r="E150" s="1075"/>
      <c r="F150" s="1063">
        <v>0.05</v>
      </c>
    </row>
    <row r="151" spans="1:6" ht="24.75" thickBot="1">
      <c r="A151" s="835" t="s">
        <v>56</v>
      </c>
      <c r="B151" s="829" t="s">
        <v>907</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908</v>
      </c>
      <c r="C153" s="1075"/>
      <c r="D153" s="1075"/>
      <c r="E153" s="1075"/>
      <c r="F153" s="1063">
        <v>0.05</v>
      </c>
    </row>
    <row r="154" spans="1:6" ht="14.25" thickBot="1">
      <c r="A154" s="835" t="s">
        <v>56</v>
      </c>
      <c r="B154" s="829" t="s">
        <v>909</v>
      </c>
      <c r="C154" s="1075"/>
      <c r="D154" s="1075"/>
      <c r="E154" s="1075"/>
      <c r="F154" s="1063">
        <v>0.05</v>
      </c>
    </row>
    <row r="155" spans="1:6" ht="24.75" thickBot="1">
      <c r="A155" s="835" t="s">
        <v>56</v>
      </c>
      <c r="B155" s="829" t="s">
        <v>910</v>
      </c>
      <c r="C155" s="1075"/>
      <c r="D155" s="1075"/>
      <c r="E155" s="1075"/>
      <c r="F155" s="1063">
        <v>0.05</v>
      </c>
    </row>
    <row r="156" spans="1:6" ht="24.75" thickBot="1">
      <c r="A156" s="835" t="s">
        <v>56</v>
      </c>
      <c r="B156" s="829" t="s">
        <v>911</v>
      </c>
      <c r="C156" s="1075"/>
      <c r="D156" s="1075"/>
      <c r="E156" s="1075"/>
      <c r="F156" s="1063">
        <v>0.05</v>
      </c>
    </row>
    <row r="157" spans="1:6" ht="14.25" thickBot="1">
      <c r="A157" s="845" t="s">
        <v>56</v>
      </c>
      <c r="B157" s="841" t="s">
        <v>912</v>
      </c>
      <c r="C157" s="1072"/>
      <c r="D157" s="1072"/>
      <c r="E157" s="1072"/>
      <c r="F157" s="1065">
        <v>0.05</v>
      </c>
    </row>
    <row r="158" spans="1:6" ht="14.25" thickBot="1">
      <c r="A158" s="835" t="s">
        <v>526</v>
      </c>
      <c r="B158" s="836" t="s">
        <v>913</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914</v>
      </c>
      <c r="C171" s="1062">
        <v>0.127</v>
      </c>
      <c r="D171" s="1062">
        <v>0.126</v>
      </c>
      <c r="E171" s="1062">
        <v>0.126</v>
      </c>
      <c r="F171" s="1063">
        <v>0.11799999999999999</v>
      </c>
    </row>
    <row r="172" spans="1:6" ht="14.25" thickBot="1">
      <c r="A172" s="835" t="s">
        <v>526</v>
      </c>
      <c r="B172" s="829" t="s">
        <v>915</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916</v>
      </c>
      <c r="C174" s="1062">
        <v>0.13</v>
      </c>
      <c r="D174" s="1062">
        <v>0.13</v>
      </c>
      <c r="E174" s="1062">
        <v>0.13</v>
      </c>
      <c r="F174" s="1063">
        <v>0.13</v>
      </c>
    </row>
    <row r="175" spans="1:6" ht="14.25" thickBot="1">
      <c r="A175" s="835" t="s">
        <v>526</v>
      </c>
      <c r="B175" s="829" t="s">
        <v>917</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918</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919</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920</v>
      </c>
      <c r="C185" s="1062">
        <v>0.127</v>
      </c>
      <c r="D185" s="1062">
        <v>0.127</v>
      </c>
      <c r="E185" s="1062">
        <v>0.128</v>
      </c>
      <c r="F185" s="1063">
        <v>0.13</v>
      </c>
    </row>
    <row r="186" spans="1:6" ht="24.75" thickBot="1">
      <c r="A186" s="835" t="s">
        <v>526</v>
      </c>
      <c r="B186" s="829" t="s">
        <v>921</v>
      </c>
      <c r="C186" s="1075"/>
      <c r="D186" s="1075"/>
      <c r="E186" s="1075"/>
      <c r="F186" s="1063">
        <v>0.05</v>
      </c>
    </row>
    <row r="187" spans="1:6" ht="14.25" thickBot="1">
      <c r="A187" s="835" t="s">
        <v>526</v>
      </c>
      <c r="B187" s="829" t="s">
        <v>922</v>
      </c>
      <c r="C187" s="1075"/>
      <c r="D187" s="1075"/>
      <c r="E187" s="1075"/>
      <c r="F187" s="1063">
        <v>0.05</v>
      </c>
    </row>
    <row r="188" spans="1:6" ht="14.25" thickBot="1">
      <c r="A188" s="835" t="s">
        <v>526</v>
      </c>
      <c r="B188" s="829" t="s">
        <v>923</v>
      </c>
      <c r="C188" s="1075"/>
      <c r="D188" s="1075"/>
      <c r="E188" s="1075"/>
      <c r="F188" s="1063">
        <v>0.05</v>
      </c>
    </row>
    <row r="189" spans="1:6" ht="24.75" thickBot="1">
      <c r="A189" s="835" t="s">
        <v>526</v>
      </c>
      <c r="B189" s="829" t="s">
        <v>924</v>
      </c>
      <c r="C189" s="1075"/>
      <c r="D189" s="1075"/>
      <c r="E189" s="1075"/>
      <c r="F189" s="1063">
        <v>0.05</v>
      </c>
    </row>
    <row r="190" spans="1:6" ht="24.75" thickBot="1">
      <c r="A190" s="835" t="s">
        <v>526</v>
      </c>
      <c r="B190" s="829" t="s">
        <v>925</v>
      </c>
      <c r="C190" s="1075"/>
      <c r="D190" s="1075"/>
      <c r="E190" s="1075"/>
      <c r="F190" s="1063">
        <v>0.05</v>
      </c>
    </row>
    <row r="191" spans="1:6" ht="24.75" thickBot="1">
      <c r="A191" s="835" t="s">
        <v>526</v>
      </c>
      <c r="B191" s="829" t="s">
        <v>926</v>
      </c>
      <c r="C191" s="1075"/>
      <c r="D191" s="1075"/>
      <c r="E191" s="1075"/>
      <c r="F191" s="1063">
        <v>0.05</v>
      </c>
    </row>
    <row r="192" spans="1:6" ht="24.75" thickBot="1">
      <c r="A192" s="835" t="s">
        <v>526</v>
      </c>
      <c r="B192" s="829" t="s">
        <v>927</v>
      </c>
      <c r="C192" s="1075"/>
      <c r="D192" s="1075"/>
      <c r="E192" s="1075"/>
      <c r="F192" s="1063">
        <v>0.05</v>
      </c>
    </row>
    <row r="193" spans="1:6" ht="24.75" thickBot="1">
      <c r="A193" s="835" t="s">
        <v>526</v>
      </c>
      <c r="B193" s="829" t="s">
        <v>928</v>
      </c>
      <c r="C193" s="1075"/>
      <c r="D193" s="1075"/>
      <c r="E193" s="1075"/>
      <c r="F193" s="1063">
        <v>0.05</v>
      </c>
    </row>
    <row r="194" spans="1:6" ht="24.75" thickBot="1">
      <c r="A194" s="835" t="s">
        <v>526</v>
      </c>
      <c r="B194" s="829" t="s">
        <v>929</v>
      </c>
      <c r="C194" s="1075"/>
      <c r="D194" s="1075"/>
      <c r="E194" s="1075"/>
      <c r="F194" s="1063">
        <v>0.05</v>
      </c>
    </row>
    <row r="195" spans="1:6" ht="14.25" thickBot="1">
      <c r="A195" s="835" t="s">
        <v>526</v>
      </c>
      <c r="B195" s="829" t="s">
        <v>930</v>
      </c>
      <c r="C195" s="1075"/>
      <c r="D195" s="1075"/>
      <c r="E195" s="1075"/>
      <c r="F195" s="1063">
        <v>0.05</v>
      </c>
    </row>
    <row r="196" spans="1:6" ht="24.75" thickBot="1">
      <c r="A196" s="835" t="s">
        <v>526</v>
      </c>
      <c r="B196" s="829" t="s">
        <v>931</v>
      </c>
      <c r="C196" s="1075"/>
      <c r="D196" s="1075"/>
      <c r="E196" s="1075"/>
      <c r="F196" s="1063">
        <v>0.05</v>
      </c>
    </row>
    <row r="197" spans="1:6" ht="24.75" thickBot="1">
      <c r="A197" s="835" t="s">
        <v>526</v>
      </c>
      <c r="B197" s="829" t="s">
        <v>932</v>
      </c>
      <c r="C197" s="1075"/>
      <c r="D197" s="1075"/>
      <c r="E197" s="1075"/>
      <c r="F197" s="1063">
        <v>0.05</v>
      </c>
    </row>
    <row r="198" spans="1:6" ht="24.75" thickBot="1">
      <c r="A198" s="835" t="s">
        <v>526</v>
      </c>
      <c r="B198" s="829" t="s">
        <v>933</v>
      </c>
      <c r="C198" s="1075"/>
      <c r="D198" s="1075"/>
      <c r="E198" s="1075"/>
      <c r="F198" s="1063">
        <v>0.05</v>
      </c>
    </row>
    <row r="199" spans="1:6" ht="24.75" thickBot="1">
      <c r="A199" s="835" t="s">
        <v>526</v>
      </c>
      <c r="B199" s="829" t="s">
        <v>934</v>
      </c>
      <c r="C199" s="1075"/>
      <c r="D199" s="1075"/>
      <c r="E199" s="1075"/>
      <c r="F199" s="1063">
        <v>0.05</v>
      </c>
    </row>
    <row r="200" spans="1:6" ht="24.75" thickBot="1">
      <c r="A200" s="835" t="s">
        <v>526</v>
      </c>
      <c r="B200" s="829" t="s">
        <v>935</v>
      </c>
      <c r="C200" s="1075"/>
      <c r="D200" s="1075"/>
      <c r="E200" s="1075"/>
      <c r="F200" s="1063">
        <v>0.05</v>
      </c>
    </row>
    <row r="201" spans="1:6" ht="24.75" thickBot="1">
      <c r="A201" s="835" t="s">
        <v>526</v>
      </c>
      <c r="B201" s="829" t="s">
        <v>936</v>
      </c>
      <c r="C201" s="1075"/>
      <c r="D201" s="1075"/>
      <c r="E201" s="1075"/>
      <c r="F201" s="1063">
        <v>0.05</v>
      </c>
    </row>
    <row r="202" spans="1:6" ht="24.75" thickBot="1">
      <c r="A202" s="835" t="s">
        <v>526</v>
      </c>
      <c r="B202" s="829" t="s">
        <v>937</v>
      </c>
      <c r="C202" s="1075"/>
      <c r="D202" s="1075"/>
      <c r="E202" s="1075"/>
      <c r="F202" s="1063">
        <v>0.05</v>
      </c>
    </row>
    <row r="203" spans="1:6" ht="24.75" thickBot="1">
      <c r="A203" s="835" t="s">
        <v>526</v>
      </c>
      <c r="B203" s="829" t="s">
        <v>938</v>
      </c>
      <c r="C203" s="1075"/>
      <c r="D203" s="1075"/>
      <c r="E203" s="1075"/>
      <c r="F203" s="1063">
        <v>0.05</v>
      </c>
    </row>
    <row r="204" spans="1:6" ht="14.25" thickBot="1">
      <c r="A204" s="835" t="s">
        <v>526</v>
      </c>
      <c r="B204" s="829" t="s">
        <v>939</v>
      </c>
      <c r="C204" s="1075"/>
      <c r="D204" s="1075"/>
      <c r="E204" s="1075"/>
      <c r="F204" s="1063">
        <v>0.05</v>
      </c>
    </row>
    <row r="205" spans="1:6" ht="14.25" thickBot="1">
      <c r="A205" s="845" t="s">
        <v>526</v>
      </c>
      <c r="B205" s="841" t="s">
        <v>940</v>
      </c>
      <c r="C205" s="1072"/>
      <c r="D205" s="1072"/>
      <c r="E205" s="1072"/>
      <c r="F205" s="1065">
        <v>0.05</v>
      </c>
    </row>
    <row r="206" spans="1:6" ht="14.25" thickBot="1">
      <c r="A206" s="835" t="s">
        <v>528</v>
      </c>
      <c r="B206" s="836" t="s">
        <v>941</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942</v>
      </c>
      <c r="C210" s="1062">
        <v>0.15</v>
      </c>
      <c r="D210" s="1062">
        <v>0.15</v>
      </c>
      <c r="E210" s="1062">
        <v>0.15</v>
      </c>
      <c r="F210" s="1063">
        <v>0.13800000000000001</v>
      </c>
    </row>
    <row r="211" spans="1:6" ht="14.25" thickBot="1">
      <c r="A211" s="835" t="s">
        <v>528</v>
      </c>
      <c r="B211" s="829" t="s">
        <v>943</v>
      </c>
      <c r="C211" s="1062">
        <v>0.13700000000000001</v>
      </c>
      <c r="D211" s="1062">
        <v>0.13500000000000001</v>
      </c>
      <c r="E211" s="1062">
        <v>0.13600000000000001</v>
      </c>
      <c r="F211" s="1063">
        <v>0.1</v>
      </c>
    </row>
    <row r="212" spans="1:6" ht="14.25" thickBot="1">
      <c r="A212" s="835" t="s">
        <v>528</v>
      </c>
      <c r="B212" s="829" t="s">
        <v>944</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945</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946</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947</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948</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949</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950</v>
      </c>
      <c r="C231" s="1062">
        <v>0.128</v>
      </c>
      <c r="D231" s="1062">
        <v>0.125</v>
      </c>
      <c r="E231" s="1062">
        <v>0.13200000000000001</v>
      </c>
      <c r="F231" s="1074"/>
    </row>
    <row r="232" spans="1:6" ht="14.25" thickBot="1">
      <c r="A232" s="835" t="s">
        <v>528</v>
      </c>
      <c r="B232" s="829" t="s">
        <v>951</v>
      </c>
      <c r="C232" s="1062">
        <v>0.14499999999999999</v>
      </c>
      <c r="D232" s="1062">
        <v>0.14399999999999999</v>
      </c>
      <c r="E232" s="1062">
        <v>0.14599999999999999</v>
      </c>
      <c r="F232" s="1063">
        <v>0.13800000000000001</v>
      </c>
    </row>
    <row r="233" spans="1:6" ht="14.25" thickBot="1">
      <c r="A233" s="835" t="s">
        <v>528</v>
      </c>
      <c r="B233" s="829" t="s">
        <v>952</v>
      </c>
      <c r="C233" s="1062">
        <v>0.14499999999999999</v>
      </c>
      <c r="D233" s="1062">
        <v>0.14299999999999999</v>
      </c>
      <c r="E233" s="1062">
        <v>0.14199999999999999</v>
      </c>
      <c r="F233" s="1074"/>
    </row>
    <row r="234" spans="1:6" ht="14.25" thickBot="1">
      <c r="A234" s="835" t="s">
        <v>528</v>
      </c>
      <c r="B234" s="829" t="s">
        <v>953</v>
      </c>
      <c r="C234" s="1062">
        <v>0.14000000000000001</v>
      </c>
      <c r="D234" s="1062">
        <v>0.14000000000000001</v>
      </c>
      <c r="E234" s="1062">
        <v>0.14399999999999999</v>
      </c>
      <c r="F234" s="1074"/>
    </row>
    <row r="235" spans="1:6" ht="14.25" thickBot="1">
      <c r="A235" s="835" t="s">
        <v>528</v>
      </c>
      <c r="B235" s="829" t="s">
        <v>954</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955</v>
      </c>
      <c r="C237" s="1075"/>
      <c r="D237" s="1075"/>
      <c r="E237" s="1075"/>
      <c r="F237" s="1063">
        <v>0.05</v>
      </c>
    </row>
    <row r="238" spans="1:6" ht="24.75" thickBot="1">
      <c r="A238" s="835" t="s">
        <v>528</v>
      </c>
      <c r="B238" s="829" t="s">
        <v>956</v>
      </c>
      <c r="C238" s="1075"/>
      <c r="D238" s="1075"/>
      <c r="E238" s="1075"/>
      <c r="F238" s="1063">
        <v>0.05</v>
      </c>
    </row>
    <row r="239" spans="1:6" ht="24.75" thickBot="1">
      <c r="A239" s="835" t="s">
        <v>528</v>
      </c>
      <c r="B239" s="829" t="s">
        <v>957</v>
      </c>
      <c r="C239" s="1075"/>
      <c r="D239" s="1075"/>
      <c r="E239" s="1075"/>
      <c r="F239" s="1063">
        <v>0.05</v>
      </c>
    </row>
    <row r="240" spans="1:6" ht="24.75" thickBot="1">
      <c r="A240" s="835" t="s">
        <v>528</v>
      </c>
      <c r="B240" s="829" t="s">
        <v>958</v>
      </c>
      <c r="C240" s="1075"/>
      <c r="D240" s="1075"/>
      <c r="E240" s="1075"/>
      <c r="F240" s="1063">
        <v>0.05</v>
      </c>
    </row>
    <row r="241" spans="1:6" ht="24.75" thickBot="1">
      <c r="A241" s="835" t="s">
        <v>528</v>
      </c>
      <c r="B241" s="829" t="s">
        <v>959</v>
      </c>
      <c r="C241" s="1075"/>
      <c r="D241" s="1075"/>
      <c r="E241" s="1075"/>
      <c r="F241" s="1063">
        <v>0.05</v>
      </c>
    </row>
    <row r="242" spans="1:6" ht="24.75" thickBot="1">
      <c r="A242" s="835" t="s">
        <v>528</v>
      </c>
      <c r="B242" s="829" t="s">
        <v>960</v>
      </c>
      <c r="C242" s="1075"/>
      <c r="D242" s="1075"/>
      <c r="E242" s="1075"/>
      <c r="F242" s="1063">
        <v>0.05</v>
      </c>
    </row>
    <row r="243" spans="1:6" ht="24.75" thickBot="1">
      <c r="A243" s="835" t="s">
        <v>528</v>
      </c>
      <c r="B243" s="829" t="s">
        <v>961</v>
      </c>
      <c r="C243" s="1075"/>
      <c r="D243" s="1075"/>
      <c r="E243" s="1075"/>
      <c r="F243" s="1063">
        <v>0.05</v>
      </c>
    </row>
    <row r="244" spans="1:6" ht="24.75" thickBot="1">
      <c r="A244" s="845" t="s">
        <v>528</v>
      </c>
      <c r="B244" s="841" t="s">
        <v>962</v>
      </c>
      <c r="C244" s="1072"/>
      <c r="D244" s="1072"/>
      <c r="E244" s="1072"/>
      <c r="F244" s="1065">
        <v>0.05</v>
      </c>
    </row>
    <row r="245" spans="1:6" ht="14.25" thickBot="1">
      <c r="A245" s="835" t="s">
        <v>530</v>
      </c>
      <c r="B245" s="836" t="s">
        <v>963</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964</v>
      </c>
      <c r="C247" s="1062">
        <v>0.15</v>
      </c>
      <c r="D247" s="1062">
        <v>0.15</v>
      </c>
      <c r="E247" s="1062">
        <v>0.15</v>
      </c>
      <c r="F247" s="1063">
        <v>0.15</v>
      </c>
    </row>
    <row r="248" spans="1:6" ht="14.25" thickBot="1">
      <c r="A248" s="835" t="s">
        <v>530</v>
      </c>
      <c r="B248" s="829" t="s">
        <v>965</v>
      </c>
      <c r="C248" s="1062">
        <v>0.15</v>
      </c>
      <c r="D248" s="1062">
        <v>0.15</v>
      </c>
      <c r="E248" s="1062">
        <v>0.15</v>
      </c>
      <c r="F248" s="1063">
        <v>0.14000000000000001</v>
      </c>
    </row>
    <row r="249" spans="1:6" ht="14.25" thickBot="1">
      <c r="A249" s="835" t="s">
        <v>530</v>
      </c>
      <c r="B249" s="829" t="s">
        <v>966</v>
      </c>
      <c r="C249" s="1062">
        <v>0.15</v>
      </c>
      <c r="D249" s="1062">
        <v>0.14899999999999999</v>
      </c>
      <c r="E249" s="1062">
        <v>0.15</v>
      </c>
      <c r="F249" s="1063">
        <v>0.1</v>
      </c>
    </row>
    <row r="250" spans="1:6" ht="14.25" thickBot="1">
      <c r="A250" s="835" t="s">
        <v>530</v>
      </c>
      <c r="B250" s="829" t="s">
        <v>967</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968</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969</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970</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971</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972</v>
      </c>
      <c r="C273" s="1062">
        <v>0.14199999999999999</v>
      </c>
      <c r="D273" s="1062">
        <v>0.14299999999999999</v>
      </c>
      <c r="E273" s="1062">
        <v>0.15</v>
      </c>
      <c r="F273" s="1063">
        <v>0.1</v>
      </c>
    </row>
    <row r="274" spans="1:6" ht="14.25" thickBot="1">
      <c r="A274" s="835" t="s">
        <v>530</v>
      </c>
      <c r="B274" s="829" t="s">
        <v>973</v>
      </c>
      <c r="C274" s="1062">
        <v>0.14799999999999999</v>
      </c>
      <c r="D274" s="1062">
        <v>0.14799999999999999</v>
      </c>
      <c r="E274" s="1062">
        <v>0.15</v>
      </c>
      <c r="F274" s="1063">
        <v>6.7000000000000004E-2</v>
      </c>
    </row>
    <row r="275" spans="1:6" ht="14.25" thickBot="1">
      <c r="A275" s="835" t="s">
        <v>530</v>
      </c>
      <c r="B275" s="829" t="s">
        <v>974</v>
      </c>
      <c r="C275" s="1062">
        <v>0.15</v>
      </c>
      <c r="D275" s="1062">
        <v>0.15</v>
      </c>
      <c r="E275" s="1062">
        <v>0.15</v>
      </c>
      <c r="F275" s="1063">
        <v>0.15</v>
      </c>
    </row>
    <row r="276" spans="1:6" ht="14.25" thickBot="1">
      <c r="A276" s="835" t="s">
        <v>530</v>
      </c>
      <c r="B276" s="829" t="s">
        <v>975</v>
      </c>
      <c r="C276" s="1062">
        <v>0.14499999999999999</v>
      </c>
      <c r="D276" s="1062">
        <v>0.14299999999999999</v>
      </c>
      <c r="E276" s="1062">
        <v>0.15</v>
      </c>
      <c r="F276" s="1063">
        <v>5.8999999999999997E-2</v>
      </c>
    </row>
    <row r="277" spans="1:6" ht="14.25" thickBot="1">
      <c r="A277" s="835" t="s">
        <v>530</v>
      </c>
      <c r="B277" s="829" t="s">
        <v>976</v>
      </c>
      <c r="C277" s="1062">
        <v>0.15</v>
      </c>
      <c r="D277" s="1062">
        <v>0.15</v>
      </c>
      <c r="E277" s="1062">
        <v>0.15</v>
      </c>
      <c r="F277" s="1063">
        <v>0.121</v>
      </c>
    </row>
    <row r="278" spans="1:6" ht="14.25" thickBot="1">
      <c r="A278" s="835" t="s">
        <v>530</v>
      </c>
      <c r="B278" s="829" t="s">
        <v>977</v>
      </c>
      <c r="C278" s="1062">
        <v>0.15</v>
      </c>
      <c r="D278" s="1062">
        <v>0.15</v>
      </c>
      <c r="E278" s="1062">
        <v>0.15</v>
      </c>
      <c r="F278" s="1063">
        <v>0.13800000000000001</v>
      </c>
    </row>
    <row r="279" spans="1:6" ht="24.75" thickBot="1">
      <c r="A279" s="835" t="s">
        <v>530</v>
      </c>
      <c r="B279" s="829" t="s">
        <v>978</v>
      </c>
      <c r="C279" s="1075"/>
      <c r="D279" s="1075"/>
      <c r="E279" s="1075"/>
      <c r="F279" s="1063">
        <v>0.05</v>
      </c>
    </row>
    <row r="280" spans="1:6" ht="24.75" thickBot="1">
      <c r="A280" s="835" t="s">
        <v>530</v>
      </c>
      <c r="B280" s="829" t="s">
        <v>979</v>
      </c>
      <c r="C280" s="1075"/>
      <c r="D280" s="1075"/>
      <c r="E280" s="1075"/>
      <c r="F280" s="1063">
        <v>0.05</v>
      </c>
    </row>
    <row r="281" spans="1:6" ht="24.75" thickBot="1">
      <c r="A281" s="835" t="s">
        <v>530</v>
      </c>
      <c r="B281" s="829" t="s">
        <v>980</v>
      </c>
      <c r="C281" s="1075"/>
      <c r="D281" s="1075"/>
      <c r="E281" s="1075"/>
      <c r="F281" s="1063">
        <v>0.05</v>
      </c>
    </row>
    <row r="282" spans="1:6" ht="24.75" thickBot="1">
      <c r="A282" s="835" t="s">
        <v>530</v>
      </c>
      <c r="B282" s="829" t="s">
        <v>981</v>
      </c>
      <c r="C282" s="1075"/>
      <c r="D282" s="1075"/>
      <c r="E282" s="1075"/>
      <c r="F282" s="1063">
        <v>0.05</v>
      </c>
    </row>
    <row r="283" spans="1:6" ht="24.75" thickBot="1">
      <c r="A283" s="835" t="s">
        <v>530</v>
      </c>
      <c r="B283" s="829" t="s">
        <v>982</v>
      </c>
      <c r="C283" s="1075"/>
      <c r="D283" s="1075"/>
      <c r="E283" s="1075"/>
      <c r="F283" s="1063">
        <v>0.05</v>
      </c>
    </row>
    <row r="284" spans="1:6" ht="24.75" thickBot="1">
      <c r="A284" s="835" t="s">
        <v>530</v>
      </c>
      <c r="B284" s="829" t="s">
        <v>983</v>
      </c>
      <c r="C284" s="1075"/>
      <c r="D284" s="1075"/>
      <c r="E284" s="1075"/>
      <c r="F284" s="1063">
        <v>0.05</v>
      </c>
    </row>
    <row r="285" spans="1:6" ht="24.75" thickBot="1">
      <c r="A285" s="835" t="s">
        <v>530</v>
      </c>
      <c r="B285" s="829" t="s">
        <v>984</v>
      </c>
      <c r="C285" s="1075"/>
      <c r="D285" s="1075"/>
      <c r="E285" s="1075"/>
      <c r="F285" s="1063">
        <v>0.05</v>
      </c>
    </row>
    <row r="286" spans="1:6" ht="24.75" thickBot="1">
      <c r="A286" s="835" t="s">
        <v>530</v>
      </c>
      <c r="B286" s="829" t="s">
        <v>985</v>
      </c>
      <c r="C286" s="1075"/>
      <c r="D286" s="1075"/>
      <c r="E286" s="1075"/>
      <c r="F286" s="1063">
        <v>0.05</v>
      </c>
    </row>
    <row r="287" spans="1:6" ht="24.75" thickBot="1">
      <c r="A287" s="835" t="s">
        <v>530</v>
      </c>
      <c r="B287" s="829" t="s">
        <v>986</v>
      </c>
      <c r="C287" s="1075"/>
      <c r="D287" s="1075"/>
      <c r="E287" s="1075"/>
      <c r="F287" s="1063">
        <v>0.05</v>
      </c>
    </row>
    <row r="288" spans="1:6" ht="24.75" thickBot="1">
      <c r="A288" s="835" t="s">
        <v>530</v>
      </c>
      <c r="B288" s="829" t="s">
        <v>987</v>
      </c>
      <c r="C288" s="1075"/>
      <c r="D288" s="1075"/>
      <c r="E288" s="1075"/>
      <c r="F288" s="1063">
        <v>0.05</v>
      </c>
    </row>
    <row r="289" spans="1:6" ht="24.75" thickBot="1">
      <c r="A289" s="845" t="s">
        <v>530</v>
      </c>
      <c r="B289" s="841" t="s">
        <v>988</v>
      </c>
      <c r="C289" s="1072"/>
      <c r="D289" s="1072"/>
      <c r="E289" s="1072"/>
      <c r="F289" s="1065">
        <v>0.05</v>
      </c>
    </row>
    <row r="290" spans="1:6" ht="14.25" thickBot="1">
      <c r="A290" s="835" t="s">
        <v>534</v>
      </c>
      <c r="B290" s="836" t="s">
        <v>989</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990</v>
      </c>
      <c r="C292" s="1062">
        <v>0.15</v>
      </c>
      <c r="D292" s="1062">
        <v>0.15</v>
      </c>
      <c r="E292" s="1062">
        <v>0.15</v>
      </c>
      <c r="F292" s="1063">
        <v>0.14699999999999999</v>
      </c>
    </row>
    <row r="293" spans="1:6" ht="14.25" thickBot="1">
      <c r="A293" s="835" t="s">
        <v>534</v>
      </c>
      <c r="B293" s="829" t="s">
        <v>991</v>
      </c>
      <c r="C293" s="1075"/>
      <c r="D293" s="1075"/>
      <c r="E293" s="1075"/>
      <c r="F293" s="1063">
        <v>0.1</v>
      </c>
    </row>
    <row r="294" spans="1:6" ht="14.25" thickBot="1">
      <c r="A294" s="835" t="s">
        <v>534</v>
      </c>
      <c r="B294" s="829" t="s">
        <v>992</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993</v>
      </c>
      <c r="C296" s="1062">
        <v>0.15</v>
      </c>
      <c r="D296" s="1062">
        <v>0.15</v>
      </c>
      <c r="E296" s="1062">
        <v>0.15</v>
      </c>
      <c r="F296" s="1063">
        <v>0.15</v>
      </c>
    </row>
    <row r="297" spans="1:6" ht="14.25" thickBot="1">
      <c r="A297" s="835" t="s">
        <v>534</v>
      </c>
      <c r="B297" s="829" t="s">
        <v>994</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995</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996</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997</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998</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999</v>
      </c>
      <c r="C310" s="1062">
        <v>0.15</v>
      </c>
      <c r="D310" s="1062">
        <v>0.15</v>
      </c>
      <c r="E310" s="1062">
        <v>0.15</v>
      </c>
      <c r="F310" s="1063">
        <v>0.13700000000000001</v>
      </c>
    </row>
    <row r="311" spans="1:6" ht="14.25" thickBot="1">
      <c r="A311" s="835" t="s">
        <v>534</v>
      </c>
      <c r="B311" s="829" t="s">
        <v>1000</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1001</v>
      </c>
      <c r="C313" s="1062">
        <v>0.15</v>
      </c>
      <c r="D313" s="1062">
        <v>0.15</v>
      </c>
      <c r="E313" s="1062">
        <v>0.15</v>
      </c>
      <c r="F313" s="1063">
        <v>0.15</v>
      </c>
    </row>
    <row r="314" spans="1:6" ht="24.75" thickBot="1">
      <c r="A314" s="835" t="s">
        <v>534</v>
      </c>
      <c r="B314" s="829" t="s">
        <v>1002</v>
      </c>
      <c r="C314" s="1075"/>
      <c r="D314" s="1075"/>
      <c r="E314" s="1075"/>
      <c r="F314" s="1063">
        <v>0.05</v>
      </c>
    </row>
    <row r="315" spans="1:6" ht="24.75" thickBot="1">
      <c r="A315" s="835" t="s">
        <v>534</v>
      </c>
      <c r="B315" s="829" t="s">
        <v>1003</v>
      </c>
      <c r="C315" s="1075"/>
      <c r="D315" s="1075"/>
      <c r="E315" s="1075"/>
      <c r="F315" s="1063">
        <v>0.05</v>
      </c>
    </row>
    <row r="316" spans="1:6" ht="24.75" thickBot="1">
      <c r="A316" s="845" t="s">
        <v>534</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223</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290</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310</v>
      </c>
      <c r="C328" s="1062">
        <v>0.15</v>
      </c>
      <c r="D328" s="1062">
        <v>0.15</v>
      </c>
      <c r="E328" s="1062">
        <v>0.15</v>
      </c>
      <c r="F328" s="1063">
        <v>0.14099999999999999</v>
      </c>
    </row>
    <row r="329" spans="1:6" ht="14.25" thickBot="1">
      <c r="A329" s="835" t="s">
        <v>1005</v>
      </c>
      <c r="B329" s="829" t="s">
        <v>320</v>
      </c>
      <c r="C329" s="1062">
        <v>0.15</v>
      </c>
      <c r="D329" s="1062">
        <v>0.15</v>
      </c>
      <c r="E329" s="1062">
        <v>0.15</v>
      </c>
      <c r="F329" s="1063">
        <v>0.15</v>
      </c>
    </row>
    <row r="330" spans="1:6" ht="14.25" thickBot="1">
      <c r="A330" s="835" t="s">
        <v>1005</v>
      </c>
      <c r="B330" s="829" t="s">
        <v>331</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352</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372</v>
      </c>
      <c r="C334" s="1062">
        <v>0.15</v>
      </c>
      <c r="D334" s="1062">
        <v>0.15</v>
      </c>
      <c r="E334" s="1062">
        <v>0.15</v>
      </c>
      <c r="F334" s="1063">
        <v>0.15</v>
      </c>
    </row>
    <row r="335" spans="1:6" ht="14.25" thickBot="1">
      <c r="A335" s="835" t="s">
        <v>1005</v>
      </c>
      <c r="B335" s="829" t="s">
        <v>382</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400</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43494</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1637</v>
      </c>
      <c r="B2" s="3024" t="s">
        <v>1638</v>
      </c>
      <c r="C2" s="3024" t="s">
        <v>1639</v>
      </c>
      <c r="D2" s="3024" t="str">
        <f>'结果表-车库'!D116</f>
        <v>出让国有建设用地使用权价值</v>
      </c>
      <c r="E2" s="3024"/>
      <c r="F2" s="3024" t="str">
        <f>'结果表-车库'!F116</f>
        <v>在建建筑物价值</v>
      </c>
      <c r="G2" s="3024"/>
      <c r="H2" s="3024" t="str">
        <f>IF(项目基本情况!B9="房地产市场价值","房地产市场价值","房地产价值")</f>
        <v>房地产价值</v>
      </c>
      <c r="I2" s="3024"/>
    </row>
    <row r="3" spans="1:9" ht="15">
      <c r="A3" s="3018"/>
      <c r="B3" s="3018"/>
      <c r="C3" s="3018"/>
      <c r="D3" s="1042" t="s">
        <v>1634</v>
      </c>
      <c r="E3" s="1042" t="s">
        <v>1640</v>
      </c>
      <c r="F3" s="1042" t="s">
        <v>1634</v>
      </c>
      <c r="G3" s="1042" t="s">
        <v>1635</v>
      </c>
      <c r="H3" s="1042" t="s">
        <v>1634</v>
      </c>
      <c r="I3" s="1042" t="s">
        <v>1635</v>
      </c>
    </row>
    <row r="4" spans="1:9" ht="60">
      <c r="A4" s="1970" t="str">
        <f>项目基本情况!S2</f>
        <v>北京市北京市房山区拱辰街道16-03-04、16-01-05地块出让国有建设用地使用权及在建建筑物房地产</v>
      </c>
      <c r="B4" s="1042">
        <f>项目基本情况!C17</f>
        <v>61370.239999998797</v>
      </c>
      <c r="C4" s="1042">
        <f>项目基本情况!C18</f>
        <v>0</v>
      </c>
      <c r="D4" s="1042" t="e">
        <f ca="1">'结果表-车库'!D118</f>
        <v>#REF!</v>
      </c>
      <c r="E4" s="1042" t="e">
        <f ca="1">'结果表-车库'!E118</f>
        <v>#REF!</v>
      </c>
      <c r="F4" s="1042" t="e">
        <f ca="1">'结果表-车库'!F118</f>
        <v>#REF!</v>
      </c>
      <c r="G4" s="1042" t="e">
        <f ca="1">'结果表-车库'!G118</f>
        <v>#REF!</v>
      </c>
      <c r="H4" s="1042">
        <f ca="1">'结果表-车库'!H118</f>
        <v>18830</v>
      </c>
      <c r="I4" s="1042">
        <f ca="1">'结果表-车库'!I118</f>
        <v>3752</v>
      </c>
    </row>
    <row r="5" spans="1:9" ht="30" customHeight="1">
      <c r="A5" s="3018" t="s">
        <v>1636</v>
      </c>
      <c r="B5" s="3018"/>
      <c r="C5" s="3018"/>
      <c r="D5" s="3019" t="e">
        <f ca="1">'结果表-车库'!D119</f>
        <v>#REF!</v>
      </c>
      <c r="E5" s="3019"/>
      <c r="F5" s="3019" t="e">
        <f ca="1">'结果表-车库'!F119</f>
        <v>#REF!</v>
      </c>
      <c r="G5" s="3019"/>
      <c r="H5" s="3019" t="str">
        <f ca="1">'结果表-车库'!H119</f>
        <v>壹亿捌仟捌佰叁拾万元整</v>
      </c>
      <c r="I5" s="3019"/>
    </row>
    <row r="6" spans="1:9" ht="15.75">
      <c r="A6" s="3017" t="str">
        <f>'结果表-车库'!A120</f>
        <v>估价师知悉的法定优先受偿款</v>
      </c>
      <c r="B6" s="3017"/>
      <c r="C6" s="3017"/>
      <c r="D6" s="3017">
        <f>'结果表-车库'!D120</f>
        <v>0</v>
      </c>
      <c r="E6" s="3017"/>
      <c r="F6" s="3017"/>
      <c r="G6" s="3017"/>
      <c r="H6" s="3017"/>
      <c r="I6" s="3017"/>
    </row>
    <row r="7" spans="1:9" ht="15">
      <c r="A7" s="3018" t="s">
        <v>1636</v>
      </c>
      <c r="B7" s="3018"/>
      <c r="C7" s="3018"/>
      <c r="D7" s="3020" t="str">
        <f>'结果表-车库'!D121</f>
        <v>零元整</v>
      </c>
      <c r="E7" s="3021"/>
      <c r="F7" s="3021"/>
      <c r="G7" s="3021"/>
      <c r="H7" s="3021"/>
      <c r="I7" s="3022"/>
    </row>
    <row r="8" spans="1:9" ht="15.75">
      <c r="A8" s="3017" t="str">
        <f>'结果表-车库'!A122</f>
        <v>房地产抵押价值</v>
      </c>
      <c r="B8" s="3017"/>
      <c r="C8" s="3017"/>
      <c r="D8" s="3017">
        <f ca="1">'结果表-车库'!D122</f>
        <v>18830</v>
      </c>
      <c r="E8" s="3017"/>
      <c r="F8" s="3017"/>
      <c r="G8" s="3017"/>
      <c r="H8" s="3017"/>
      <c r="I8" s="3017"/>
    </row>
    <row r="9" spans="1:9" ht="15">
      <c r="A9" s="3018" t="s">
        <v>1636</v>
      </c>
      <c r="B9" s="3018"/>
      <c r="C9" s="3018"/>
      <c r="D9" s="3019" t="str">
        <f ca="1">'结果表-车库'!D123</f>
        <v>壹亿捌仟捌佰叁拾万元整</v>
      </c>
      <c r="E9" s="3019"/>
      <c r="F9" s="3019"/>
      <c r="G9" s="3019"/>
      <c r="H9" s="3019"/>
      <c r="I9" s="3019"/>
    </row>
    <row r="10" spans="1:9" ht="15.75">
      <c r="A10" s="3017" t="str">
        <f>'结果表-车库'!A124</f>
        <v/>
      </c>
      <c r="B10" s="3017"/>
      <c r="C10" s="3017"/>
      <c r="D10" s="3017" t="str">
        <f>'结果表-车库'!D124</f>
        <v>——</v>
      </c>
      <c r="E10" s="3017"/>
      <c r="F10" s="3017"/>
      <c r="G10" s="3017"/>
      <c r="H10" s="3017"/>
      <c r="I10" s="3017"/>
    </row>
    <row r="11" spans="1:9" ht="15">
      <c r="A11" s="3018" t="s">
        <v>1636</v>
      </c>
      <c r="B11" s="3018"/>
      <c r="C11" s="3018"/>
      <c r="D11" s="3019" t="e">
        <f>'结果表-车库'!D125</f>
        <v>#VALUE!</v>
      </c>
      <c r="E11" s="3019"/>
      <c r="F11" s="3019"/>
      <c r="G11" s="3019"/>
      <c r="H11" s="3019"/>
      <c r="I11" s="3019"/>
    </row>
    <row r="12" spans="1:9" ht="15.75">
      <c r="A12" s="3017" t="str">
        <f>'结果表-车库'!A126</f>
        <v/>
      </c>
      <c r="B12" s="3017"/>
      <c r="C12" s="3017"/>
      <c r="D12" s="3017" t="str">
        <f>'结果表-车库'!D126</f>
        <v>——</v>
      </c>
      <c r="E12" s="3017"/>
      <c r="F12" s="3017"/>
      <c r="G12" s="3017"/>
      <c r="H12" s="3017"/>
      <c r="I12" s="3017"/>
    </row>
    <row r="13" spans="1:9" ht="15.75" thickBot="1">
      <c r="A13" s="3014" t="s">
        <v>1636</v>
      </c>
      <c r="B13" s="3014"/>
      <c r="C13" s="3014"/>
      <c r="D13" s="3015" t="e">
        <f>'结果表-车库'!D127</f>
        <v>#VALUE!</v>
      </c>
      <c r="E13" s="3015"/>
      <c r="F13" s="3015"/>
      <c r="G13" s="3015"/>
      <c r="H13" s="3015"/>
      <c r="I13" s="3015"/>
    </row>
    <row r="14" spans="1:9" ht="15" thickTop="1">
      <c r="A14" s="3016" t="s">
        <v>1641</v>
      </c>
      <c r="B14" s="3016"/>
      <c r="C14" s="3016"/>
      <c r="D14" s="3016"/>
      <c r="E14" s="3016"/>
      <c r="F14" s="3016"/>
      <c r="G14" s="3016"/>
      <c r="H14" s="3016"/>
      <c r="I14" s="3016"/>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3"/>
  <sheetViews>
    <sheetView topLeftCell="A210" zoomScale="130" zoomScaleNormal="130" workbookViewId="0">
      <selection activeCell="L229" sqref="L229"/>
    </sheetView>
  </sheetViews>
  <sheetFormatPr defaultRowHeight="13.5"/>
  <sheetData>
    <row r="1" spans="1:1">
      <c r="A1" s="2986" t="s">
        <v>4655</v>
      </c>
    </row>
    <row r="22" spans="1:1">
      <c r="A22" s="2986" t="s">
        <v>4656</v>
      </c>
    </row>
    <row r="43" spans="1:1">
      <c r="A43" s="2986" t="s">
        <v>4658</v>
      </c>
    </row>
  </sheetData>
  <phoneticPr fontId="144" type="noConversion"/>
  <hyperlinks>
    <hyperlink ref="A1" r:id="rId1"/>
    <hyperlink ref="A22" r:id="rId2"/>
    <hyperlink ref="A43" r:id="rId3"/>
  </hyperlinks>
  <pageMargins left="0.7" right="0.7" top="0.75" bottom="0.75" header="0.3" footer="0.3"/>
  <pageSetup paperSize="9" orientation="portrait" r:id="rId4"/>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23"/>
  <sheetViews>
    <sheetView topLeftCell="A28" workbookViewId="0">
      <selection sqref="A1:XFD1048576"/>
    </sheetView>
  </sheetViews>
  <sheetFormatPr defaultColWidth="9" defaultRowHeight="13.5"/>
  <cols>
    <col min="1" max="1" width="22.5" style="2963" bestFit="1" customWidth="1"/>
    <col min="2" max="2" width="9" style="2963"/>
    <col min="3" max="3" width="5" style="2963" customWidth="1"/>
    <col min="4" max="4" width="9" style="2963" hidden="1" customWidth="1"/>
    <col min="5" max="5" width="40.125" style="2963" customWidth="1"/>
    <col min="6" max="6" width="13.875" style="2963" bestFit="1" customWidth="1"/>
    <col min="7" max="7" width="9" style="2971"/>
    <col min="8" max="11" width="9" style="2963"/>
    <col min="12" max="12" width="10.5" style="2963" bestFit="1" customWidth="1"/>
    <col min="13" max="16384" width="9" style="2963"/>
  </cols>
  <sheetData>
    <row r="1" spans="1:13">
      <c r="A1" s="3333" t="s">
        <v>3072</v>
      </c>
      <c r="B1" s="3333"/>
      <c r="C1" s="3333"/>
      <c r="D1" s="3333"/>
      <c r="E1" s="3333"/>
      <c r="F1" s="2963">
        <f>SUBTOTAL(109,F3:F1423)</f>
        <v>587541572.5</v>
      </c>
      <c r="G1" s="2971">
        <f>SUBTOTAL(109,G3:G1423)</f>
        <v>61370.239999999678</v>
      </c>
    </row>
    <row r="2" spans="1:13">
      <c r="A2" s="2963" t="s">
        <v>3073</v>
      </c>
      <c r="B2" s="2963" t="s">
        <v>3074</v>
      </c>
      <c r="C2" s="2963" t="s">
        <v>3075</v>
      </c>
      <c r="D2" s="2963" t="s">
        <v>3076</v>
      </c>
      <c r="E2" s="2963" t="s">
        <v>3077</v>
      </c>
      <c r="F2" s="2963" t="s">
        <v>3078</v>
      </c>
      <c r="G2" s="2971" t="s">
        <v>3079</v>
      </c>
      <c r="H2" s="2963" t="s">
        <v>3080</v>
      </c>
      <c r="I2" s="2963" t="s">
        <v>3081</v>
      </c>
    </row>
    <row r="3" spans="1:13">
      <c r="A3" s="2964" t="s">
        <v>3082</v>
      </c>
      <c r="B3" s="2964" t="s">
        <v>3083</v>
      </c>
      <c r="C3" s="2964"/>
      <c r="D3" s="2964">
        <v>101</v>
      </c>
      <c r="E3" s="2964" t="s">
        <v>3084</v>
      </c>
      <c r="F3" s="2965">
        <v>1477983.3</v>
      </c>
      <c r="G3" s="2972">
        <v>47.96</v>
      </c>
      <c r="H3" s="2964" t="s">
        <v>3085</v>
      </c>
      <c r="I3" s="2964" t="s">
        <v>3086</v>
      </c>
      <c r="M3" s="2963">
        <f>F3/G3</f>
        <v>30816.999582985824</v>
      </c>
    </row>
    <row r="4" spans="1:13">
      <c r="A4" s="2964" t="s">
        <v>3082</v>
      </c>
      <c r="B4" s="2964" t="s">
        <v>3083</v>
      </c>
      <c r="C4" s="2964"/>
      <c r="D4" s="2964">
        <v>102</v>
      </c>
      <c r="E4" s="2964" t="s">
        <v>3087</v>
      </c>
      <c r="F4" s="2965">
        <v>2681940.6</v>
      </c>
      <c r="G4" s="2972">
        <v>80.739999999999995</v>
      </c>
      <c r="H4" s="2964" t="s">
        <v>3085</v>
      </c>
      <c r="I4" s="2964" t="s">
        <v>3086</v>
      </c>
      <c r="M4" s="2963">
        <f t="shared" ref="M4:M67" si="0">F4/G4</f>
        <v>33217.000247708696</v>
      </c>
    </row>
    <row r="5" spans="1:13">
      <c r="A5" s="2964" t="s">
        <v>3082</v>
      </c>
      <c r="B5" s="2964" t="s">
        <v>3083</v>
      </c>
      <c r="C5" s="2964"/>
      <c r="D5" s="2964">
        <v>103</v>
      </c>
      <c r="E5" s="2964" t="s">
        <v>3088</v>
      </c>
      <c r="F5" s="2965">
        <v>2682272.7999999998</v>
      </c>
      <c r="G5" s="2972">
        <v>80.75</v>
      </c>
      <c r="H5" s="2964" t="s">
        <v>3085</v>
      </c>
      <c r="I5" s="2964" t="s">
        <v>3086</v>
      </c>
      <c r="M5" s="2963">
        <f t="shared" si="0"/>
        <v>33217.000619195045</v>
      </c>
    </row>
    <row r="6" spans="1:13">
      <c r="A6" s="2964" t="s">
        <v>3082</v>
      </c>
      <c r="B6" s="2964" t="s">
        <v>3083</v>
      </c>
      <c r="C6" s="2964"/>
      <c r="D6" s="2964">
        <v>104</v>
      </c>
      <c r="E6" s="2964" t="s">
        <v>3089</v>
      </c>
      <c r="F6" s="2965">
        <v>2681940.6</v>
      </c>
      <c r="G6" s="2972">
        <v>80.739999999999995</v>
      </c>
      <c r="H6" s="2964" t="s">
        <v>3085</v>
      </c>
      <c r="I6" s="2964" t="s">
        <v>3086</v>
      </c>
      <c r="M6" s="2963">
        <f t="shared" si="0"/>
        <v>33217.000247708696</v>
      </c>
    </row>
    <row r="7" spans="1:13">
      <c r="A7" s="2964" t="s">
        <v>3082</v>
      </c>
      <c r="B7" s="2964" t="s">
        <v>3083</v>
      </c>
      <c r="C7" s="2964"/>
      <c r="D7" s="2964">
        <v>105</v>
      </c>
      <c r="E7" s="2964" t="s">
        <v>3090</v>
      </c>
      <c r="F7" s="2965">
        <v>2682272.7999999998</v>
      </c>
      <c r="G7" s="2972">
        <v>80.75</v>
      </c>
      <c r="H7" s="2964" t="s">
        <v>3085</v>
      </c>
      <c r="I7" s="2964" t="s">
        <v>3086</v>
      </c>
      <c r="M7" s="2963">
        <f t="shared" si="0"/>
        <v>33217.000619195045</v>
      </c>
    </row>
    <row r="8" spans="1:13">
      <c r="A8" s="2964" t="s">
        <v>3082</v>
      </c>
      <c r="B8" s="2964" t="s">
        <v>3083</v>
      </c>
      <c r="C8" s="2964"/>
      <c r="D8" s="2964">
        <v>106</v>
      </c>
      <c r="E8" s="2964" t="s">
        <v>3091</v>
      </c>
      <c r="F8" s="2965">
        <v>2681940.6</v>
      </c>
      <c r="G8" s="2972">
        <v>80.739999999999995</v>
      </c>
      <c r="H8" s="2964" t="s">
        <v>3085</v>
      </c>
      <c r="I8" s="2964" t="s">
        <v>3086</v>
      </c>
      <c r="M8" s="2963">
        <f t="shared" si="0"/>
        <v>33217.000247708696</v>
      </c>
    </row>
    <row r="9" spans="1:13">
      <c r="A9" s="2964" t="s">
        <v>3082</v>
      </c>
      <c r="B9" s="2964" t="s">
        <v>3083</v>
      </c>
      <c r="C9" s="2964"/>
      <c r="D9" s="2964">
        <v>107</v>
      </c>
      <c r="E9" s="2964" t="s">
        <v>3092</v>
      </c>
      <c r="F9" s="2965">
        <v>2682272.7999999998</v>
      </c>
      <c r="G9" s="2972">
        <v>80.75</v>
      </c>
      <c r="H9" s="2964" t="s">
        <v>3085</v>
      </c>
      <c r="I9" s="2964" t="s">
        <v>3086</v>
      </c>
      <c r="M9" s="2963">
        <f t="shared" si="0"/>
        <v>33217.000619195045</v>
      </c>
    </row>
    <row r="10" spans="1:13">
      <c r="A10" s="2964" t="s">
        <v>3082</v>
      </c>
      <c r="B10" s="2964" t="s">
        <v>3083</v>
      </c>
      <c r="C10" s="2964"/>
      <c r="D10" s="2964">
        <v>108</v>
      </c>
      <c r="E10" s="2964" t="s">
        <v>3093</v>
      </c>
      <c r="F10" s="2965">
        <v>2681940.6</v>
      </c>
      <c r="G10" s="2972">
        <v>80.739999999999995</v>
      </c>
      <c r="H10" s="2964" t="s">
        <v>3085</v>
      </c>
      <c r="I10" s="2964" t="s">
        <v>3086</v>
      </c>
      <c r="M10" s="2963">
        <f t="shared" si="0"/>
        <v>33217.000247708696</v>
      </c>
    </row>
    <row r="11" spans="1:13">
      <c r="A11" s="2964" t="s">
        <v>3082</v>
      </c>
      <c r="B11" s="2964" t="s">
        <v>3083</v>
      </c>
      <c r="C11" s="2964"/>
      <c r="D11" s="2964">
        <v>109</v>
      </c>
      <c r="E11" s="2964" t="s">
        <v>3094</v>
      </c>
      <c r="F11" s="2965">
        <v>2682272.7999999998</v>
      </c>
      <c r="G11" s="2972">
        <v>80.75</v>
      </c>
      <c r="H11" s="2964" t="s">
        <v>3085</v>
      </c>
      <c r="I11" s="2964" t="s">
        <v>3086</v>
      </c>
      <c r="M11" s="2963">
        <f t="shared" si="0"/>
        <v>33217.000619195045</v>
      </c>
    </row>
    <row r="12" spans="1:13">
      <c r="A12" s="2964" t="s">
        <v>3082</v>
      </c>
      <c r="B12" s="2964" t="s">
        <v>3083</v>
      </c>
      <c r="C12" s="2964"/>
      <c r="D12" s="2964">
        <v>110</v>
      </c>
      <c r="E12" s="2964" t="s">
        <v>3095</v>
      </c>
      <c r="F12" s="2965">
        <v>1588291.3</v>
      </c>
      <c r="G12" s="2972">
        <v>47.96</v>
      </c>
      <c r="H12" s="2964" t="s">
        <v>3085</v>
      </c>
      <c r="I12" s="2964" t="s">
        <v>3086</v>
      </c>
      <c r="M12" s="2963">
        <f t="shared" si="0"/>
        <v>33116.999582985824</v>
      </c>
    </row>
    <row r="13" spans="1:13">
      <c r="A13" s="2964" t="s">
        <v>3082</v>
      </c>
      <c r="B13" s="2964" t="s">
        <v>3083</v>
      </c>
      <c r="C13" s="2964"/>
      <c r="D13" s="2964">
        <v>111</v>
      </c>
      <c r="E13" s="2964" t="s">
        <v>3096</v>
      </c>
      <c r="F13" s="2965">
        <v>1309722.5</v>
      </c>
      <c r="G13" s="2972">
        <v>42.5</v>
      </c>
      <c r="H13" s="2964" t="s">
        <v>3085</v>
      </c>
      <c r="I13" s="2964" t="s">
        <v>3086</v>
      </c>
      <c r="M13" s="2963">
        <f t="shared" si="0"/>
        <v>30817</v>
      </c>
    </row>
    <row r="14" spans="1:13">
      <c r="A14" s="2964" t="s">
        <v>3082</v>
      </c>
      <c r="B14" s="2964" t="s">
        <v>3083</v>
      </c>
      <c r="C14" s="2964"/>
      <c r="D14" s="2964">
        <v>112</v>
      </c>
      <c r="E14" s="2964" t="s">
        <v>3097</v>
      </c>
      <c r="F14" s="2965">
        <v>1315577.7</v>
      </c>
      <c r="G14" s="2972">
        <v>42.69</v>
      </c>
      <c r="H14" s="2964" t="s">
        <v>3085</v>
      </c>
      <c r="I14" s="2964" t="s">
        <v>3086</v>
      </c>
      <c r="M14" s="2963">
        <f t="shared" si="0"/>
        <v>30816.999297259314</v>
      </c>
    </row>
    <row r="15" spans="1:13">
      <c r="A15" s="2964" t="s">
        <v>3082</v>
      </c>
      <c r="B15" s="2964" t="s">
        <v>3083</v>
      </c>
      <c r="C15" s="2964"/>
      <c r="D15" s="2964">
        <v>113</v>
      </c>
      <c r="E15" s="2964" t="s">
        <v>3098</v>
      </c>
      <c r="F15" s="2965">
        <v>1315577.7</v>
      </c>
      <c r="G15" s="2972">
        <v>42.69</v>
      </c>
      <c r="H15" s="2964" t="s">
        <v>3085</v>
      </c>
      <c r="I15" s="2964" t="s">
        <v>3086</v>
      </c>
      <c r="M15" s="2963">
        <f t="shared" si="0"/>
        <v>30816.999297259314</v>
      </c>
    </row>
    <row r="16" spans="1:13">
      <c r="A16" s="2964" t="s">
        <v>3082</v>
      </c>
      <c r="B16" s="2964" t="s">
        <v>3083</v>
      </c>
      <c r="C16" s="2964"/>
      <c r="D16" s="2964">
        <v>114</v>
      </c>
      <c r="E16" s="2964" t="s">
        <v>3099</v>
      </c>
      <c r="F16" s="2965">
        <v>1315269.6000000001</v>
      </c>
      <c r="G16" s="2972">
        <v>42.68</v>
      </c>
      <c r="H16" s="2964" t="s">
        <v>3085</v>
      </c>
      <c r="I16" s="2964" t="s">
        <v>3086</v>
      </c>
      <c r="M16" s="2963">
        <f t="shared" si="0"/>
        <v>30817.000937207125</v>
      </c>
    </row>
    <row r="17" spans="1:13">
      <c r="A17" s="2964" t="s">
        <v>3082</v>
      </c>
      <c r="B17" s="2964" t="s">
        <v>3083</v>
      </c>
      <c r="C17" s="2964"/>
      <c r="D17" s="2964">
        <v>115</v>
      </c>
      <c r="E17" s="2964" t="s">
        <v>3100</v>
      </c>
      <c r="F17" s="2965">
        <v>1315269.6000000001</v>
      </c>
      <c r="G17" s="2972">
        <v>42.68</v>
      </c>
      <c r="H17" s="2964" t="s">
        <v>3085</v>
      </c>
      <c r="I17" s="2964" t="s">
        <v>3086</v>
      </c>
      <c r="M17" s="2963">
        <f t="shared" si="0"/>
        <v>30817.000937207125</v>
      </c>
    </row>
    <row r="18" spans="1:13">
      <c r="A18" s="2964" t="s">
        <v>3082</v>
      </c>
      <c r="B18" s="2964" t="s">
        <v>3083</v>
      </c>
      <c r="C18" s="2964"/>
      <c r="D18" s="2964">
        <v>116</v>
      </c>
      <c r="E18" s="2964" t="s">
        <v>3101</v>
      </c>
      <c r="F18" s="2965">
        <v>1283836.2</v>
      </c>
      <c r="G18" s="2972">
        <v>41.66</v>
      </c>
      <c r="H18" s="2964" t="s">
        <v>3085</v>
      </c>
      <c r="I18" s="2964" t="s">
        <v>3086</v>
      </c>
      <c r="M18" s="2963">
        <f t="shared" si="0"/>
        <v>30816.999519923189</v>
      </c>
    </row>
    <row r="19" spans="1:13">
      <c r="A19" s="2964" t="s">
        <v>3082</v>
      </c>
      <c r="B19" s="2964" t="s">
        <v>3083</v>
      </c>
      <c r="C19" s="2964"/>
      <c r="D19" s="2964">
        <v>201</v>
      </c>
      <c r="E19" s="2964" t="s">
        <v>3102</v>
      </c>
      <c r="F19" s="2965">
        <v>1535535.3</v>
      </c>
      <c r="G19" s="2972">
        <v>47.96</v>
      </c>
      <c r="H19" s="2964" t="s">
        <v>3085</v>
      </c>
      <c r="I19" s="2964" t="s">
        <v>3086</v>
      </c>
      <c r="M19" s="2963">
        <f t="shared" si="0"/>
        <v>32016.999582985824</v>
      </c>
    </row>
    <row r="20" spans="1:13">
      <c r="A20" s="2964" t="s">
        <v>3082</v>
      </c>
      <c r="B20" s="2964" t="s">
        <v>3083</v>
      </c>
      <c r="C20" s="2964"/>
      <c r="D20" s="2964">
        <v>202</v>
      </c>
      <c r="E20" s="2964" t="s">
        <v>3103</v>
      </c>
      <c r="F20" s="2965">
        <v>2778828.6</v>
      </c>
      <c r="G20" s="2972">
        <v>80.739999999999995</v>
      </c>
      <c r="H20" s="2964" t="s">
        <v>3085</v>
      </c>
      <c r="I20" s="2964" t="s">
        <v>3086</v>
      </c>
      <c r="M20" s="2963">
        <f t="shared" si="0"/>
        <v>34417.000247708696</v>
      </c>
    </row>
    <row r="21" spans="1:13">
      <c r="A21" s="2964" t="s">
        <v>3082</v>
      </c>
      <c r="B21" s="2964" t="s">
        <v>3083</v>
      </c>
      <c r="C21" s="2964"/>
      <c r="D21" s="2964">
        <v>203</v>
      </c>
      <c r="E21" s="2964" t="s">
        <v>3104</v>
      </c>
      <c r="F21" s="2965">
        <v>2779172.8</v>
      </c>
      <c r="G21" s="2972">
        <v>80.75</v>
      </c>
      <c r="H21" s="2964" t="s">
        <v>3085</v>
      </c>
      <c r="I21" s="2964" t="s">
        <v>3086</v>
      </c>
      <c r="M21" s="2963">
        <f t="shared" si="0"/>
        <v>34417.000619195045</v>
      </c>
    </row>
    <row r="22" spans="1:13">
      <c r="A22" s="2964" t="s">
        <v>3082</v>
      </c>
      <c r="B22" s="2964" t="s">
        <v>3083</v>
      </c>
      <c r="C22" s="2964"/>
      <c r="D22" s="2964">
        <v>204</v>
      </c>
      <c r="E22" s="2964" t="s">
        <v>3105</v>
      </c>
      <c r="F22" s="2965">
        <v>2778828.6</v>
      </c>
      <c r="G22" s="2972">
        <v>80.739999999999995</v>
      </c>
      <c r="H22" s="2964" t="s">
        <v>3085</v>
      </c>
      <c r="I22" s="2964" t="s">
        <v>3086</v>
      </c>
      <c r="M22" s="2963">
        <f t="shared" si="0"/>
        <v>34417.000247708696</v>
      </c>
    </row>
    <row r="23" spans="1:13">
      <c r="A23" s="2964" t="s">
        <v>3082</v>
      </c>
      <c r="B23" s="2964" t="s">
        <v>3083</v>
      </c>
      <c r="C23" s="2964"/>
      <c r="D23" s="2964">
        <v>205</v>
      </c>
      <c r="E23" s="2964" t="s">
        <v>3106</v>
      </c>
      <c r="F23" s="2965">
        <v>2779172.8</v>
      </c>
      <c r="G23" s="2972">
        <v>80.75</v>
      </c>
      <c r="H23" s="2964" t="s">
        <v>3085</v>
      </c>
      <c r="I23" s="2964" t="s">
        <v>3086</v>
      </c>
      <c r="M23" s="2963">
        <f t="shared" si="0"/>
        <v>34417.000619195045</v>
      </c>
    </row>
    <row r="24" spans="1:13">
      <c r="A24" s="2964" t="s">
        <v>3082</v>
      </c>
      <c r="B24" s="2964" t="s">
        <v>3083</v>
      </c>
      <c r="C24" s="2964"/>
      <c r="D24" s="2964">
        <v>206</v>
      </c>
      <c r="E24" s="2964" t="s">
        <v>3107</v>
      </c>
      <c r="F24" s="2965">
        <v>2778828.6</v>
      </c>
      <c r="G24" s="2972">
        <v>80.739999999999995</v>
      </c>
      <c r="H24" s="2964" t="s">
        <v>3085</v>
      </c>
      <c r="I24" s="2964" t="s">
        <v>3086</v>
      </c>
      <c r="M24" s="2963">
        <f t="shared" si="0"/>
        <v>34417.000247708696</v>
      </c>
    </row>
    <row r="25" spans="1:13">
      <c r="A25" s="2964" t="s">
        <v>3082</v>
      </c>
      <c r="B25" s="2964" t="s">
        <v>3083</v>
      </c>
      <c r="C25" s="2964"/>
      <c r="D25" s="2964">
        <v>207</v>
      </c>
      <c r="E25" s="2964" t="s">
        <v>3108</v>
      </c>
      <c r="F25" s="2965">
        <v>2779172.8</v>
      </c>
      <c r="G25" s="2972">
        <v>80.75</v>
      </c>
      <c r="H25" s="2964" t="s">
        <v>3085</v>
      </c>
      <c r="I25" s="2964" t="s">
        <v>3086</v>
      </c>
      <c r="M25" s="2963">
        <f t="shared" si="0"/>
        <v>34417.000619195045</v>
      </c>
    </row>
    <row r="26" spans="1:13">
      <c r="A26" s="2964" t="s">
        <v>3082</v>
      </c>
      <c r="B26" s="2964" t="s">
        <v>3083</v>
      </c>
      <c r="C26" s="2964"/>
      <c r="D26" s="2964">
        <v>208</v>
      </c>
      <c r="E26" s="2964" t="s">
        <v>3109</v>
      </c>
      <c r="F26" s="2965">
        <v>2778828.6</v>
      </c>
      <c r="G26" s="2972">
        <v>80.739999999999995</v>
      </c>
      <c r="H26" s="2964" t="s">
        <v>3085</v>
      </c>
      <c r="I26" s="2964" t="s">
        <v>3086</v>
      </c>
      <c r="M26" s="2963">
        <f t="shared" si="0"/>
        <v>34417.000247708696</v>
      </c>
    </row>
    <row r="27" spans="1:13">
      <c r="A27" s="2964" t="s">
        <v>3082</v>
      </c>
      <c r="B27" s="2964" t="s">
        <v>3083</v>
      </c>
      <c r="C27" s="2964"/>
      <c r="D27" s="2964">
        <v>209</v>
      </c>
      <c r="E27" s="2964" t="s">
        <v>3110</v>
      </c>
      <c r="F27" s="2965">
        <v>2779172.8</v>
      </c>
      <c r="G27" s="2972">
        <v>80.75</v>
      </c>
      <c r="H27" s="2964" t="s">
        <v>3085</v>
      </c>
      <c r="I27" s="2964" t="s">
        <v>3086</v>
      </c>
      <c r="M27" s="2963">
        <f t="shared" si="0"/>
        <v>34417.000619195045</v>
      </c>
    </row>
    <row r="28" spans="1:13">
      <c r="A28" s="2964" t="s">
        <v>3082</v>
      </c>
      <c r="B28" s="2964" t="s">
        <v>3083</v>
      </c>
      <c r="C28" s="2964"/>
      <c r="D28" s="2964">
        <v>210</v>
      </c>
      <c r="E28" s="2964" t="s">
        <v>3111</v>
      </c>
      <c r="F28" s="2965">
        <v>1645843.3</v>
      </c>
      <c r="G28" s="2972">
        <v>47.96</v>
      </c>
      <c r="H28" s="2964" t="s">
        <v>3085</v>
      </c>
      <c r="I28" s="2964" t="s">
        <v>3086</v>
      </c>
      <c r="M28" s="2963">
        <f t="shared" si="0"/>
        <v>34316.999582985824</v>
      </c>
    </row>
    <row r="29" spans="1:13">
      <c r="A29" s="2964" t="s">
        <v>3082</v>
      </c>
      <c r="B29" s="2964" t="s">
        <v>3083</v>
      </c>
      <c r="C29" s="2964"/>
      <c r="D29" s="2964">
        <v>211</v>
      </c>
      <c r="E29" s="2964" t="s">
        <v>3112</v>
      </c>
      <c r="F29" s="2965">
        <v>1024682.8</v>
      </c>
      <c r="G29" s="2972">
        <v>32.93</v>
      </c>
      <c r="H29" s="2964" t="s">
        <v>3085</v>
      </c>
      <c r="I29" s="2964" t="s">
        <v>3086</v>
      </c>
      <c r="M29" s="2963">
        <f t="shared" si="0"/>
        <v>31116.99969632554</v>
      </c>
    </row>
    <row r="30" spans="1:13">
      <c r="A30" s="2964" t="s">
        <v>3082</v>
      </c>
      <c r="B30" s="2964" t="s">
        <v>3083</v>
      </c>
      <c r="C30" s="2964"/>
      <c r="D30" s="2964">
        <v>212</v>
      </c>
      <c r="E30" s="2964" t="s">
        <v>3113</v>
      </c>
      <c r="F30" s="2965">
        <v>1269246.8</v>
      </c>
      <c r="G30" s="2972">
        <v>40.4</v>
      </c>
      <c r="H30" s="2964" t="s">
        <v>3085</v>
      </c>
      <c r="I30" s="2964" t="s">
        <v>3086</v>
      </c>
      <c r="M30" s="2963">
        <f t="shared" si="0"/>
        <v>31417.000000000004</v>
      </c>
    </row>
    <row r="31" spans="1:13">
      <c r="A31" s="2964" t="s">
        <v>3082</v>
      </c>
      <c r="B31" s="2964" t="s">
        <v>3083</v>
      </c>
      <c r="C31" s="2964"/>
      <c r="D31" s="2964">
        <v>213</v>
      </c>
      <c r="E31" s="2964" t="s">
        <v>3114</v>
      </c>
      <c r="F31" s="2965">
        <v>2096422.1</v>
      </c>
      <c r="G31" s="2972">
        <v>65.89</v>
      </c>
      <c r="H31" s="2964" t="s">
        <v>3085</v>
      </c>
      <c r="I31" s="2964" t="s">
        <v>3086</v>
      </c>
      <c r="M31" s="2963">
        <f t="shared" si="0"/>
        <v>31816.999544695707</v>
      </c>
    </row>
    <row r="32" spans="1:13">
      <c r="A32" s="2964" t="s">
        <v>3082</v>
      </c>
      <c r="B32" s="2964" t="s">
        <v>3083</v>
      </c>
      <c r="C32" s="2964"/>
      <c r="D32" s="2964">
        <v>214</v>
      </c>
      <c r="E32" s="2964" t="s">
        <v>3115</v>
      </c>
      <c r="F32" s="2965">
        <v>1403007.8</v>
      </c>
      <c r="G32" s="2972">
        <v>43.28</v>
      </c>
      <c r="H32" s="2964" t="s">
        <v>3085</v>
      </c>
      <c r="I32" s="2964" t="s">
        <v>3086</v>
      </c>
      <c r="M32" s="2963">
        <f t="shared" si="0"/>
        <v>32417.000924214419</v>
      </c>
    </row>
    <row r="33" spans="1:13">
      <c r="A33" s="2964" t="s">
        <v>3082</v>
      </c>
      <c r="B33" s="2964" t="s">
        <v>3083</v>
      </c>
      <c r="C33" s="2964"/>
      <c r="D33" s="2964">
        <v>215</v>
      </c>
      <c r="E33" s="2964" t="s">
        <v>3116</v>
      </c>
      <c r="F33" s="2965">
        <v>1408842.8</v>
      </c>
      <c r="G33" s="2972">
        <v>43.46</v>
      </c>
      <c r="H33" s="2964" t="s">
        <v>3085</v>
      </c>
      <c r="I33" s="2964" t="s">
        <v>3086</v>
      </c>
      <c r="M33" s="2963">
        <f t="shared" si="0"/>
        <v>32416.999539806719</v>
      </c>
    </row>
    <row r="34" spans="1:13">
      <c r="A34" s="2964" t="s">
        <v>3082</v>
      </c>
      <c r="B34" s="2964" t="s">
        <v>3083</v>
      </c>
      <c r="C34" s="2964"/>
      <c r="D34" s="2964">
        <v>216</v>
      </c>
      <c r="E34" s="2964" t="s">
        <v>3117</v>
      </c>
      <c r="F34" s="2965">
        <v>1408842.8</v>
      </c>
      <c r="G34" s="2972">
        <v>43.46</v>
      </c>
      <c r="H34" s="2964" t="s">
        <v>3085</v>
      </c>
      <c r="I34" s="2964" t="s">
        <v>3086</v>
      </c>
      <c r="M34" s="2963">
        <f t="shared" si="0"/>
        <v>32416.999539806719</v>
      </c>
    </row>
    <row r="35" spans="1:13">
      <c r="A35" s="2964" t="s">
        <v>3082</v>
      </c>
      <c r="B35" s="2964" t="s">
        <v>3083</v>
      </c>
      <c r="C35" s="2964"/>
      <c r="D35" s="2964">
        <v>217</v>
      </c>
      <c r="E35" s="2964" t="s">
        <v>3118</v>
      </c>
      <c r="F35" s="2965">
        <v>1409167</v>
      </c>
      <c r="G35" s="2972">
        <v>43.47</v>
      </c>
      <c r="H35" s="2964" t="s">
        <v>3085</v>
      </c>
      <c r="I35" s="2964" t="s">
        <v>3086</v>
      </c>
      <c r="M35" s="2963">
        <f t="shared" si="0"/>
        <v>32417.000230043708</v>
      </c>
    </row>
    <row r="36" spans="1:13">
      <c r="A36" s="2964" t="s">
        <v>3082</v>
      </c>
      <c r="B36" s="2964" t="s">
        <v>3083</v>
      </c>
      <c r="C36" s="2964"/>
      <c r="D36" s="2964">
        <v>218</v>
      </c>
      <c r="E36" s="2964" t="s">
        <v>3119</v>
      </c>
      <c r="F36" s="2965">
        <v>1409167</v>
      </c>
      <c r="G36" s="2972">
        <v>43.47</v>
      </c>
      <c r="H36" s="2964" t="s">
        <v>3085</v>
      </c>
      <c r="I36" s="2964" t="s">
        <v>3086</v>
      </c>
      <c r="M36" s="2963">
        <f t="shared" si="0"/>
        <v>32417.000230043708</v>
      </c>
    </row>
    <row r="37" spans="1:13">
      <c r="A37" s="2964" t="s">
        <v>3082</v>
      </c>
      <c r="B37" s="2964" t="s">
        <v>3083</v>
      </c>
      <c r="C37" s="2964"/>
      <c r="D37" s="2964">
        <v>219</v>
      </c>
      <c r="E37" s="2964" t="s">
        <v>3120</v>
      </c>
      <c r="F37" s="2965">
        <v>1402359.4</v>
      </c>
      <c r="G37" s="2972">
        <v>43.26</v>
      </c>
      <c r="H37" s="2964" t="s">
        <v>3085</v>
      </c>
      <c r="I37" s="2964" t="s">
        <v>3086</v>
      </c>
      <c r="M37" s="2963">
        <f t="shared" si="0"/>
        <v>32416.999537679148</v>
      </c>
    </row>
    <row r="38" spans="1:13">
      <c r="A38" s="2964" t="s">
        <v>3082</v>
      </c>
      <c r="B38" s="2964" t="s">
        <v>3083</v>
      </c>
      <c r="C38" s="2964"/>
      <c r="D38" s="2964">
        <v>221</v>
      </c>
      <c r="E38" s="2964" t="s">
        <v>3121</v>
      </c>
      <c r="F38" s="2965">
        <v>1395111.8</v>
      </c>
      <c r="G38" s="2972">
        <v>47.75</v>
      </c>
      <c r="H38" s="2964" t="s">
        <v>3085</v>
      </c>
      <c r="I38" s="2964" t="s">
        <v>3086</v>
      </c>
      <c r="M38" s="2963">
        <f t="shared" si="0"/>
        <v>29217.001047120419</v>
      </c>
    </row>
    <row r="39" spans="1:13">
      <c r="A39" s="2964" t="s">
        <v>3082</v>
      </c>
      <c r="B39" s="2964" t="s">
        <v>3083</v>
      </c>
      <c r="C39" s="2964"/>
      <c r="D39" s="2964">
        <v>301</v>
      </c>
      <c r="E39" s="2964" t="s">
        <v>3122</v>
      </c>
      <c r="F39" s="2965">
        <v>1569107.3</v>
      </c>
      <c r="G39" s="2972">
        <v>47.96</v>
      </c>
      <c r="H39" s="2964" t="s">
        <v>3085</v>
      </c>
      <c r="I39" s="2964" t="s">
        <v>3086</v>
      </c>
      <c r="M39" s="2963">
        <f t="shared" si="0"/>
        <v>32716.999582985824</v>
      </c>
    </row>
    <row r="40" spans="1:13">
      <c r="A40" s="2964" t="s">
        <v>3082</v>
      </c>
      <c r="B40" s="2964" t="s">
        <v>3083</v>
      </c>
      <c r="C40" s="2964"/>
      <c r="D40" s="2964">
        <v>302</v>
      </c>
      <c r="E40" s="2964" t="s">
        <v>3123</v>
      </c>
      <c r="F40" s="2965">
        <v>2864142.5</v>
      </c>
      <c r="G40" s="2972">
        <v>81.56</v>
      </c>
      <c r="H40" s="2964" t="s">
        <v>3085</v>
      </c>
      <c r="I40" s="2964" t="s">
        <v>3086</v>
      </c>
      <c r="M40" s="2963">
        <f t="shared" si="0"/>
        <v>35116.999754781755</v>
      </c>
    </row>
    <row r="41" spans="1:13">
      <c r="A41" s="2964" t="s">
        <v>3082</v>
      </c>
      <c r="B41" s="2964" t="s">
        <v>3083</v>
      </c>
      <c r="C41" s="2964"/>
      <c r="D41" s="2964">
        <v>303</v>
      </c>
      <c r="E41" s="2964" t="s">
        <v>3124</v>
      </c>
      <c r="F41" s="2965">
        <v>2864493.7</v>
      </c>
      <c r="G41" s="2972">
        <v>81.569999999999993</v>
      </c>
      <c r="H41" s="2964" t="s">
        <v>3085</v>
      </c>
      <c r="I41" s="2964" t="s">
        <v>3086</v>
      </c>
      <c r="M41" s="2963">
        <f t="shared" si="0"/>
        <v>35117.000122594094</v>
      </c>
    </row>
    <row r="42" spans="1:13">
      <c r="A42" s="2964" t="s">
        <v>3082</v>
      </c>
      <c r="B42" s="2964" t="s">
        <v>3083</v>
      </c>
      <c r="C42" s="2964"/>
      <c r="D42" s="2964">
        <v>304</v>
      </c>
      <c r="E42" s="2964" t="s">
        <v>3125</v>
      </c>
      <c r="F42" s="2965">
        <v>2864142.5</v>
      </c>
      <c r="G42" s="2972">
        <v>81.56</v>
      </c>
      <c r="H42" s="2964" t="s">
        <v>3085</v>
      </c>
      <c r="I42" s="2964" t="s">
        <v>3086</v>
      </c>
      <c r="M42" s="2963">
        <f t="shared" si="0"/>
        <v>35116.999754781755</v>
      </c>
    </row>
    <row r="43" spans="1:13">
      <c r="A43" s="2964" t="s">
        <v>3082</v>
      </c>
      <c r="B43" s="2964" t="s">
        <v>3083</v>
      </c>
      <c r="C43" s="2964"/>
      <c r="D43" s="2964">
        <v>305</v>
      </c>
      <c r="E43" s="2964" t="s">
        <v>3126</v>
      </c>
      <c r="F43" s="2965">
        <v>2864493.7</v>
      </c>
      <c r="G43" s="2972">
        <v>81.569999999999993</v>
      </c>
      <c r="H43" s="2964" t="s">
        <v>3085</v>
      </c>
      <c r="I43" s="2964" t="s">
        <v>3086</v>
      </c>
      <c r="M43" s="2963">
        <f t="shared" si="0"/>
        <v>35117.000122594094</v>
      </c>
    </row>
    <row r="44" spans="1:13">
      <c r="A44" s="2964" t="s">
        <v>3082</v>
      </c>
      <c r="B44" s="2964" t="s">
        <v>3083</v>
      </c>
      <c r="C44" s="2964"/>
      <c r="D44" s="2964">
        <v>306</v>
      </c>
      <c r="E44" s="2964" t="s">
        <v>3127</v>
      </c>
      <c r="F44" s="2965">
        <v>2864142.5</v>
      </c>
      <c r="G44" s="2972">
        <v>81.56</v>
      </c>
      <c r="H44" s="2964" t="s">
        <v>3085</v>
      </c>
      <c r="I44" s="2964" t="s">
        <v>3086</v>
      </c>
      <c r="M44" s="2963">
        <f t="shared" si="0"/>
        <v>35116.999754781755</v>
      </c>
    </row>
    <row r="45" spans="1:13">
      <c r="A45" s="2964" t="s">
        <v>3082</v>
      </c>
      <c r="B45" s="2964" t="s">
        <v>3083</v>
      </c>
      <c r="C45" s="2964"/>
      <c r="D45" s="2964">
        <v>307</v>
      </c>
      <c r="E45" s="2964" t="s">
        <v>3128</v>
      </c>
      <c r="F45" s="2965">
        <v>2864493.7</v>
      </c>
      <c r="G45" s="2972">
        <v>81.569999999999993</v>
      </c>
      <c r="H45" s="2964" t="s">
        <v>3085</v>
      </c>
      <c r="I45" s="2964" t="s">
        <v>3086</v>
      </c>
      <c r="M45" s="2963">
        <f t="shared" si="0"/>
        <v>35117.000122594094</v>
      </c>
    </row>
    <row r="46" spans="1:13">
      <c r="A46" s="2964" t="s">
        <v>3082</v>
      </c>
      <c r="B46" s="2964" t="s">
        <v>3083</v>
      </c>
      <c r="C46" s="2964"/>
      <c r="D46" s="2964">
        <v>308</v>
      </c>
      <c r="E46" s="2964" t="s">
        <v>3129</v>
      </c>
      <c r="F46" s="2965">
        <v>2864142.5</v>
      </c>
      <c r="G46" s="2972">
        <v>81.56</v>
      </c>
      <c r="H46" s="2964" t="s">
        <v>3085</v>
      </c>
      <c r="I46" s="2964" t="s">
        <v>3086</v>
      </c>
      <c r="M46" s="2963">
        <f t="shared" si="0"/>
        <v>35116.999754781755</v>
      </c>
    </row>
    <row r="47" spans="1:13">
      <c r="A47" s="2964" t="s">
        <v>3082</v>
      </c>
      <c r="B47" s="2964" t="s">
        <v>3083</v>
      </c>
      <c r="C47" s="2964"/>
      <c r="D47" s="2964">
        <v>309</v>
      </c>
      <c r="E47" s="2964" t="s">
        <v>3130</v>
      </c>
      <c r="F47" s="2965">
        <v>2864493.7</v>
      </c>
      <c r="G47" s="2972">
        <v>81.569999999999993</v>
      </c>
      <c r="H47" s="2964" t="s">
        <v>3085</v>
      </c>
      <c r="I47" s="2964" t="s">
        <v>3086</v>
      </c>
      <c r="M47" s="2963">
        <f t="shared" si="0"/>
        <v>35117.000122594094</v>
      </c>
    </row>
    <row r="48" spans="1:13">
      <c r="A48" s="2964" t="s">
        <v>3082</v>
      </c>
      <c r="B48" s="2964" t="s">
        <v>3083</v>
      </c>
      <c r="C48" s="2964"/>
      <c r="D48" s="2964">
        <v>310</v>
      </c>
      <c r="E48" s="2964" t="s">
        <v>3131</v>
      </c>
      <c r="F48" s="2965">
        <v>1679415.3</v>
      </c>
      <c r="G48" s="2972">
        <v>47.96</v>
      </c>
      <c r="H48" s="2964" t="s">
        <v>3085</v>
      </c>
      <c r="I48" s="2964" t="s">
        <v>3086</v>
      </c>
      <c r="M48" s="2963">
        <f t="shared" si="0"/>
        <v>35016.999582985824</v>
      </c>
    </row>
    <row r="49" spans="1:13">
      <c r="A49" s="2964" t="s">
        <v>3082</v>
      </c>
      <c r="B49" s="2964" t="s">
        <v>3083</v>
      </c>
      <c r="C49" s="2964"/>
      <c r="D49" s="2964">
        <v>311</v>
      </c>
      <c r="E49" s="2964" t="s">
        <v>3132</v>
      </c>
      <c r="F49" s="2965">
        <v>1047733.8</v>
      </c>
      <c r="G49" s="2972">
        <v>32.93</v>
      </c>
      <c r="H49" s="2964" t="s">
        <v>3085</v>
      </c>
      <c r="I49" s="2964" t="s">
        <v>3086</v>
      </c>
      <c r="M49" s="2963">
        <f t="shared" si="0"/>
        <v>31816.99969632554</v>
      </c>
    </row>
    <row r="50" spans="1:13">
      <c r="A50" s="2964" t="s">
        <v>3082</v>
      </c>
      <c r="B50" s="2964" t="s">
        <v>3083</v>
      </c>
      <c r="C50" s="2964"/>
      <c r="D50" s="2964">
        <v>312</v>
      </c>
      <c r="E50" s="2964" t="s">
        <v>3133</v>
      </c>
      <c r="F50" s="2965">
        <v>1291424.6000000001</v>
      </c>
      <c r="G50" s="2972">
        <v>40.21</v>
      </c>
      <c r="H50" s="2964" t="s">
        <v>3085</v>
      </c>
      <c r="I50" s="2964" t="s">
        <v>3086</v>
      </c>
      <c r="M50" s="2963">
        <f t="shared" si="0"/>
        <v>32117.000746083064</v>
      </c>
    </row>
    <row r="51" spans="1:13">
      <c r="A51" s="2964" t="s">
        <v>3082</v>
      </c>
      <c r="B51" s="2964" t="s">
        <v>3083</v>
      </c>
      <c r="C51" s="2964"/>
      <c r="D51" s="2964">
        <v>313</v>
      </c>
      <c r="E51" s="2964" t="s">
        <v>3134</v>
      </c>
      <c r="F51" s="2965">
        <v>2142545.1</v>
      </c>
      <c r="G51" s="2972">
        <v>65.89</v>
      </c>
      <c r="H51" s="2964" t="s">
        <v>3085</v>
      </c>
      <c r="I51" s="2964" t="s">
        <v>3086</v>
      </c>
      <c r="M51" s="2963">
        <f t="shared" si="0"/>
        <v>32516.999544695707</v>
      </c>
    </row>
    <row r="52" spans="1:13">
      <c r="A52" s="2964" t="s">
        <v>3082</v>
      </c>
      <c r="B52" s="2964" t="s">
        <v>3083</v>
      </c>
      <c r="C52" s="2964"/>
      <c r="D52" s="2964">
        <v>314</v>
      </c>
      <c r="E52" s="2964" t="s">
        <v>3135</v>
      </c>
      <c r="F52" s="2965">
        <v>1439596</v>
      </c>
      <c r="G52" s="2972">
        <v>43.47</v>
      </c>
      <c r="H52" s="2964" t="s">
        <v>3085</v>
      </c>
      <c r="I52" s="2964" t="s">
        <v>3086</v>
      </c>
      <c r="M52" s="2963">
        <f t="shared" si="0"/>
        <v>33117.000230043712</v>
      </c>
    </row>
    <row r="53" spans="1:13">
      <c r="A53" s="2964" t="s">
        <v>3082</v>
      </c>
      <c r="B53" s="2964" t="s">
        <v>3083</v>
      </c>
      <c r="C53" s="2964"/>
      <c r="D53" s="2964">
        <v>315</v>
      </c>
      <c r="E53" s="2964" t="s">
        <v>3136</v>
      </c>
      <c r="F53" s="2965">
        <v>1439264.8</v>
      </c>
      <c r="G53" s="2972">
        <v>43.46</v>
      </c>
      <c r="H53" s="2964" t="s">
        <v>3085</v>
      </c>
      <c r="I53" s="2964" t="s">
        <v>3086</v>
      </c>
      <c r="M53" s="2963">
        <f t="shared" si="0"/>
        <v>33116.999539806719</v>
      </c>
    </row>
    <row r="54" spans="1:13">
      <c r="A54" s="2964" t="s">
        <v>3082</v>
      </c>
      <c r="B54" s="2964" t="s">
        <v>3083</v>
      </c>
      <c r="C54" s="2964"/>
      <c r="D54" s="2964">
        <v>316</v>
      </c>
      <c r="E54" s="2964" t="s">
        <v>3137</v>
      </c>
      <c r="F54" s="2965">
        <v>1439264.8</v>
      </c>
      <c r="G54" s="2972">
        <v>43.46</v>
      </c>
      <c r="H54" s="2964" t="s">
        <v>3085</v>
      </c>
      <c r="I54" s="2964" t="s">
        <v>3086</v>
      </c>
      <c r="M54" s="2963">
        <f t="shared" si="0"/>
        <v>33116.999539806719</v>
      </c>
    </row>
    <row r="55" spans="1:13">
      <c r="A55" s="2964" t="s">
        <v>3082</v>
      </c>
      <c r="B55" s="2964" t="s">
        <v>3083</v>
      </c>
      <c r="C55" s="2964"/>
      <c r="D55" s="2964">
        <v>317</v>
      </c>
      <c r="E55" s="2964" t="s">
        <v>3138</v>
      </c>
      <c r="F55" s="2965">
        <v>1439596</v>
      </c>
      <c r="G55" s="2972">
        <v>43.47</v>
      </c>
      <c r="H55" s="2964" t="s">
        <v>3085</v>
      </c>
      <c r="I55" s="2964" t="s">
        <v>3086</v>
      </c>
      <c r="M55" s="2963">
        <f t="shared" si="0"/>
        <v>33117.000230043712</v>
      </c>
    </row>
    <row r="56" spans="1:13">
      <c r="A56" s="2964" t="s">
        <v>3082</v>
      </c>
      <c r="B56" s="2964" t="s">
        <v>3083</v>
      </c>
      <c r="C56" s="2964"/>
      <c r="D56" s="2964">
        <v>318</v>
      </c>
      <c r="E56" s="2964" t="s">
        <v>3139</v>
      </c>
      <c r="F56" s="2965">
        <v>1439596</v>
      </c>
      <c r="G56" s="2972">
        <v>43.47</v>
      </c>
      <c r="H56" s="2964" t="s">
        <v>3085</v>
      </c>
      <c r="I56" s="2964" t="s">
        <v>3086</v>
      </c>
      <c r="M56" s="2963">
        <f t="shared" si="0"/>
        <v>33117.000230043712</v>
      </c>
    </row>
    <row r="57" spans="1:13">
      <c r="A57" s="2964" t="s">
        <v>3082</v>
      </c>
      <c r="B57" s="2964" t="s">
        <v>3083</v>
      </c>
      <c r="C57" s="2964"/>
      <c r="D57" s="2964">
        <v>319</v>
      </c>
      <c r="E57" s="2964" t="s">
        <v>3140</v>
      </c>
      <c r="F57" s="2965">
        <v>1439596</v>
      </c>
      <c r="G57" s="2972">
        <v>43.47</v>
      </c>
      <c r="H57" s="2964" t="s">
        <v>3085</v>
      </c>
      <c r="I57" s="2964" t="s">
        <v>3086</v>
      </c>
      <c r="M57" s="2963">
        <f t="shared" si="0"/>
        <v>33117.000230043712</v>
      </c>
    </row>
    <row r="58" spans="1:13">
      <c r="A58" s="2964" t="s">
        <v>3082</v>
      </c>
      <c r="B58" s="2964" t="s">
        <v>3083</v>
      </c>
      <c r="C58" s="2964"/>
      <c r="D58" s="2964">
        <v>321</v>
      </c>
      <c r="E58" s="2964" t="s">
        <v>3141</v>
      </c>
      <c r="F58" s="2965">
        <v>1414176.6</v>
      </c>
      <c r="G58" s="2972">
        <v>47.27</v>
      </c>
      <c r="H58" s="2964" t="s">
        <v>3085</v>
      </c>
      <c r="I58" s="2964" t="s">
        <v>3086</v>
      </c>
      <c r="M58" s="2963">
        <f t="shared" si="0"/>
        <v>29917.000211550665</v>
      </c>
    </row>
    <row r="59" spans="1:13">
      <c r="A59" s="2964" t="s">
        <v>3082</v>
      </c>
      <c r="B59" s="2964" t="s">
        <v>3083</v>
      </c>
      <c r="C59" s="2964"/>
      <c r="D59" s="2964">
        <v>401</v>
      </c>
      <c r="E59" s="2964" t="s">
        <v>3142</v>
      </c>
      <c r="F59" s="2965">
        <v>1597883.3</v>
      </c>
      <c r="G59" s="2972">
        <v>47.96</v>
      </c>
      <c r="H59" s="2964" t="s">
        <v>3085</v>
      </c>
      <c r="I59" s="2964" t="s">
        <v>3086</v>
      </c>
      <c r="M59" s="2963">
        <f t="shared" si="0"/>
        <v>33316.999582985824</v>
      </c>
    </row>
    <row r="60" spans="1:13">
      <c r="A60" s="2964" t="s">
        <v>3082</v>
      </c>
      <c r="B60" s="2964" t="s">
        <v>3083</v>
      </c>
      <c r="C60" s="2964"/>
      <c r="D60" s="2964">
        <v>402</v>
      </c>
      <c r="E60" s="2964" t="s">
        <v>3143</v>
      </c>
      <c r="F60" s="2965">
        <v>2913078.5</v>
      </c>
      <c r="G60" s="2972">
        <v>81.56</v>
      </c>
      <c r="H60" s="2964" t="s">
        <v>3085</v>
      </c>
      <c r="I60" s="2964" t="s">
        <v>3086</v>
      </c>
      <c r="M60" s="2963">
        <f t="shared" si="0"/>
        <v>35716.999754781755</v>
      </c>
    </row>
    <row r="61" spans="1:13">
      <c r="A61" s="2964" t="s">
        <v>3082</v>
      </c>
      <c r="B61" s="2964" t="s">
        <v>3083</v>
      </c>
      <c r="C61" s="2964"/>
      <c r="D61" s="2964">
        <v>403</v>
      </c>
      <c r="E61" s="2964" t="s">
        <v>3144</v>
      </c>
      <c r="F61" s="2965">
        <v>2913435.7</v>
      </c>
      <c r="G61" s="2972">
        <v>81.569999999999993</v>
      </c>
      <c r="H61" s="2964" t="s">
        <v>3085</v>
      </c>
      <c r="I61" s="2964" t="s">
        <v>3086</v>
      </c>
      <c r="M61" s="2963">
        <f t="shared" si="0"/>
        <v>35717.000122594094</v>
      </c>
    </row>
    <row r="62" spans="1:13">
      <c r="A62" s="2964" t="s">
        <v>3082</v>
      </c>
      <c r="B62" s="2964" t="s">
        <v>3083</v>
      </c>
      <c r="C62" s="2964"/>
      <c r="D62" s="2964">
        <v>404</v>
      </c>
      <c r="E62" s="2964" t="s">
        <v>3145</v>
      </c>
      <c r="F62" s="2965">
        <v>2913078.5</v>
      </c>
      <c r="G62" s="2972">
        <v>81.56</v>
      </c>
      <c r="H62" s="2964" t="s">
        <v>3085</v>
      </c>
      <c r="I62" s="2964" t="s">
        <v>3086</v>
      </c>
      <c r="M62" s="2963">
        <f t="shared" si="0"/>
        <v>35716.999754781755</v>
      </c>
    </row>
    <row r="63" spans="1:13">
      <c r="A63" s="2964" t="s">
        <v>3082</v>
      </c>
      <c r="B63" s="2964" t="s">
        <v>3083</v>
      </c>
      <c r="C63" s="2964"/>
      <c r="D63" s="2964">
        <v>405</v>
      </c>
      <c r="E63" s="2964" t="s">
        <v>3146</v>
      </c>
      <c r="F63" s="2965">
        <v>2913435.7</v>
      </c>
      <c r="G63" s="2972">
        <v>81.569999999999993</v>
      </c>
      <c r="H63" s="2964" t="s">
        <v>3085</v>
      </c>
      <c r="I63" s="2964" t="s">
        <v>3086</v>
      </c>
      <c r="M63" s="2963">
        <f t="shared" si="0"/>
        <v>35717.000122594094</v>
      </c>
    </row>
    <row r="64" spans="1:13">
      <c r="A64" s="2964" t="s">
        <v>3082</v>
      </c>
      <c r="B64" s="2964" t="s">
        <v>3083</v>
      </c>
      <c r="C64" s="2964"/>
      <c r="D64" s="2964">
        <v>406</v>
      </c>
      <c r="E64" s="2964" t="s">
        <v>3147</v>
      </c>
      <c r="F64" s="2965">
        <v>2913078.5</v>
      </c>
      <c r="G64" s="2972">
        <v>81.56</v>
      </c>
      <c r="H64" s="2964" t="s">
        <v>3085</v>
      </c>
      <c r="I64" s="2964" t="s">
        <v>3086</v>
      </c>
      <c r="M64" s="2963">
        <f t="shared" si="0"/>
        <v>35716.999754781755</v>
      </c>
    </row>
    <row r="65" spans="1:13">
      <c r="A65" s="2964" t="s">
        <v>3082</v>
      </c>
      <c r="B65" s="2964" t="s">
        <v>3083</v>
      </c>
      <c r="C65" s="2964"/>
      <c r="D65" s="2964">
        <v>407</v>
      </c>
      <c r="E65" s="2964" t="s">
        <v>3148</v>
      </c>
      <c r="F65" s="2965">
        <v>2913435.7</v>
      </c>
      <c r="G65" s="2972">
        <v>81.569999999999993</v>
      </c>
      <c r="H65" s="2964" t="s">
        <v>3085</v>
      </c>
      <c r="I65" s="2964" t="s">
        <v>3086</v>
      </c>
      <c r="M65" s="2963">
        <f t="shared" si="0"/>
        <v>35717.000122594094</v>
      </c>
    </row>
    <row r="66" spans="1:13">
      <c r="A66" s="2964" t="s">
        <v>3082</v>
      </c>
      <c r="B66" s="2964" t="s">
        <v>3083</v>
      </c>
      <c r="C66" s="2964"/>
      <c r="D66" s="2964">
        <v>408</v>
      </c>
      <c r="E66" s="2964" t="s">
        <v>3149</v>
      </c>
      <c r="F66" s="2965">
        <v>2913078.5</v>
      </c>
      <c r="G66" s="2972">
        <v>81.56</v>
      </c>
      <c r="H66" s="2964" t="s">
        <v>3085</v>
      </c>
      <c r="I66" s="2964" t="s">
        <v>3086</v>
      </c>
      <c r="M66" s="2963">
        <f t="shared" si="0"/>
        <v>35716.999754781755</v>
      </c>
    </row>
    <row r="67" spans="1:13">
      <c r="A67" s="2964" t="s">
        <v>3082</v>
      </c>
      <c r="B67" s="2964" t="s">
        <v>3083</v>
      </c>
      <c r="C67" s="2964"/>
      <c r="D67" s="2964">
        <v>409</v>
      </c>
      <c r="E67" s="2964" t="s">
        <v>3150</v>
      </c>
      <c r="F67" s="2965">
        <v>2913435.7</v>
      </c>
      <c r="G67" s="2972">
        <v>81.569999999999993</v>
      </c>
      <c r="H67" s="2964" t="s">
        <v>3085</v>
      </c>
      <c r="I67" s="2964" t="s">
        <v>3086</v>
      </c>
      <c r="M67" s="2963">
        <f t="shared" si="0"/>
        <v>35717.000122594094</v>
      </c>
    </row>
    <row r="68" spans="1:13">
      <c r="A68" s="2964" t="s">
        <v>3082</v>
      </c>
      <c r="B68" s="2964" t="s">
        <v>3083</v>
      </c>
      <c r="C68" s="2964"/>
      <c r="D68" s="2964">
        <v>410</v>
      </c>
      <c r="E68" s="2964" t="s">
        <v>3151</v>
      </c>
      <c r="F68" s="2965">
        <v>1708191.3</v>
      </c>
      <c r="G68" s="2972">
        <v>47.96</v>
      </c>
      <c r="H68" s="2964" t="s">
        <v>3085</v>
      </c>
      <c r="I68" s="2964" t="s">
        <v>3086</v>
      </c>
      <c r="M68" s="2963">
        <f t="shared" ref="M68:M131" si="1">F68/G68</f>
        <v>35616.999582985824</v>
      </c>
    </row>
    <row r="69" spans="1:13">
      <c r="A69" s="2964" t="s">
        <v>3082</v>
      </c>
      <c r="B69" s="2964" t="s">
        <v>3083</v>
      </c>
      <c r="C69" s="2964"/>
      <c r="D69" s="2964">
        <v>411</v>
      </c>
      <c r="E69" s="2964" t="s">
        <v>3152</v>
      </c>
      <c r="F69" s="2965">
        <v>1067491.8</v>
      </c>
      <c r="G69" s="2972">
        <v>32.93</v>
      </c>
      <c r="H69" s="2964" t="s">
        <v>3085</v>
      </c>
      <c r="I69" s="2964" t="s">
        <v>3086</v>
      </c>
      <c r="M69" s="2963">
        <f t="shared" si="1"/>
        <v>32416.99969632554</v>
      </c>
    </row>
    <row r="70" spans="1:13">
      <c r="A70" s="2964" t="s">
        <v>3082</v>
      </c>
      <c r="B70" s="2964" t="s">
        <v>3083</v>
      </c>
      <c r="C70" s="2964"/>
      <c r="D70" s="2964">
        <v>412</v>
      </c>
      <c r="E70" s="2964" t="s">
        <v>3153</v>
      </c>
      <c r="F70" s="2965">
        <v>1315550.6000000001</v>
      </c>
      <c r="G70" s="2972">
        <v>40.21</v>
      </c>
      <c r="H70" s="2964" t="s">
        <v>3085</v>
      </c>
      <c r="I70" s="2964" t="s">
        <v>3086</v>
      </c>
      <c r="M70" s="2963">
        <f t="shared" si="1"/>
        <v>32717.000746083064</v>
      </c>
    </row>
    <row r="71" spans="1:13">
      <c r="A71" s="2964" t="s">
        <v>3082</v>
      </c>
      <c r="B71" s="2964" t="s">
        <v>3083</v>
      </c>
      <c r="C71" s="2964"/>
      <c r="D71" s="2964">
        <v>413</v>
      </c>
      <c r="E71" s="2964" t="s">
        <v>3154</v>
      </c>
      <c r="F71" s="2965">
        <v>2182079.1</v>
      </c>
      <c r="G71" s="2972">
        <v>65.89</v>
      </c>
      <c r="H71" s="2964" t="s">
        <v>3085</v>
      </c>
      <c r="I71" s="2964" t="s">
        <v>3086</v>
      </c>
      <c r="M71" s="2963">
        <f t="shared" si="1"/>
        <v>33116.999544695704</v>
      </c>
    </row>
    <row r="72" spans="1:13">
      <c r="A72" s="2964" t="s">
        <v>3082</v>
      </c>
      <c r="B72" s="2964" t="s">
        <v>3083</v>
      </c>
      <c r="C72" s="2964"/>
      <c r="D72" s="2964">
        <v>414</v>
      </c>
      <c r="E72" s="2964" t="s">
        <v>3155</v>
      </c>
      <c r="F72" s="2965">
        <v>1465678</v>
      </c>
      <c r="G72" s="2972">
        <v>43.47</v>
      </c>
      <c r="H72" s="2964" t="s">
        <v>3085</v>
      </c>
      <c r="I72" s="2964" t="s">
        <v>3086</v>
      </c>
      <c r="M72" s="2963">
        <f t="shared" si="1"/>
        <v>33717.000230043712</v>
      </c>
    </row>
    <row r="73" spans="1:13">
      <c r="A73" s="2964" t="s">
        <v>3082</v>
      </c>
      <c r="B73" s="2964" t="s">
        <v>3083</v>
      </c>
      <c r="C73" s="2964"/>
      <c r="D73" s="2964">
        <v>415</v>
      </c>
      <c r="E73" s="2964" t="s">
        <v>3156</v>
      </c>
      <c r="F73" s="2965">
        <v>1465340.8</v>
      </c>
      <c r="G73" s="2972">
        <v>43.46</v>
      </c>
      <c r="H73" s="2964" t="s">
        <v>3085</v>
      </c>
      <c r="I73" s="2964" t="s">
        <v>3086</v>
      </c>
      <c r="M73" s="2963">
        <f t="shared" si="1"/>
        <v>33716.999539806719</v>
      </c>
    </row>
    <row r="74" spans="1:13">
      <c r="A74" s="2964" t="s">
        <v>3082</v>
      </c>
      <c r="B74" s="2964" t="s">
        <v>3083</v>
      </c>
      <c r="C74" s="2964"/>
      <c r="D74" s="2964">
        <v>416</v>
      </c>
      <c r="E74" s="2964" t="s">
        <v>3157</v>
      </c>
      <c r="F74" s="2965">
        <v>1465340.8</v>
      </c>
      <c r="G74" s="2972">
        <v>43.46</v>
      </c>
      <c r="H74" s="2964" t="s">
        <v>3085</v>
      </c>
      <c r="I74" s="2964" t="s">
        <v>3086</v>
      </c>
      <c r="M74" s="2963">
        <f t="shared" si="1"/>
        <v>33716.999539806719</v>
      </c>
    </row>
    <row r="75" spans="1:13">
      <c r="A75" s="2964" t="s">
        <v>3082</v>
      </c>
      <c r="B75" s="2964" t="s">
        <v>3083</v>
      </c>
      <c r="C75" s="2964"/>
      <c r="D75" s="2964">
        <v>417</v>
      </c>
      <c r="E75" s="2964" t="s">
        <v>3158</v>
      </c>
      <c r="F75" s="2965">
        <v>1465678</v>
      </c>
      <c r="G75" s="2972">
        <v>43.47</v>
      </c>
      <c r="H75" s="2964" t="s">
        <v>3085</v>
      </c>
      <c r="I75" s="2964" t="s">
        <v>3086</v>
      </c>
      <c r="M75" s="2963">
        <f t="shared" si="1"/>
        <v>33717.000230043712</v>
      </c>
    </row>
    <row r="76" spans="1:13">
      <c r="A76" s="2964" t="s">
        <v>3082</v>
      </c>
      <c r="B76" s="2964" t="s">
        <v>3083</v>
      </c>
      <c r="C76" s="2964"/>
      <c r="D76" s="2964">
        <v>418</v>
      </c>
      <c r="E76" s="2964" t="s">
        <v>3159</v>
      </c>
      <c r="F76" s="2965">
        <v>1465678</v>
      </c>
      <c r="G76" s="2972">
        <v>43.47</v>
      </c>
      <c r="H76" s="2964" t="s">
        <v>3085</v>
      </c>
      <c r="I76" s="2964" t="s">
        <v>3086</v>
      </c>
      <c r="M76" s="2963">
        <f t="shared" si="1"/>
        <v>33717.000230043712</v>
      </c>
    </row>
    <row r="77" spans="1:13">
      <c r="A77" s="2964" t="s">
        <v>3082</v>
      </c>
      <c r="B77" s="2964" t="s">
        <v>3083</v>
      </c>
      <c r="C77" s="2964"/>
      <c r="D77" s="2964">
        <v>419</v>
      </c>
      <c r="E77" s="2964" t="s">
        <v>3160</v>
      </c>
      <c r="F77" s="2965">
        <v>1465678</v>
      </c>
      <c r="G77" s="2972">
        <v>43.47</v>
      </c>
      <c r="H77" s="2964" t="s">
        <v>3085</v>
      </c>
      <c r="I77" s="2964" t="s">
        <v>3086</v>
      </c>
      <c r="M77" s="2963">
        <f t="shared" si="1"/>
        <v>33717.000230043712</v>
      </c>
    </row>
    <row r="78" spans="1:13">
      <c r="A78" s="2964" t="s">
        <v>3082</v>
      </c>
      <c r="B78" s="2964" t="s">
        <v>3083</v>
      </c>
      <c r="C78" s="2964"/>
      <c r="D78" s="2964">
        <v>421</v>
      </c>
      <c r="E78" s="2964" t="s">
        <v>3161</v>
      </c>
      <c r="F78" s="2965">
        <v>1442538.6</v>
      </c>
      <c r="G78" s="2972">
        <v>47.27</v>
      </c>
      <c r="H78" s="2964" t="s">
        <v>3085</v>
      </c>
      <c r="I78" s="2964" t="s">
        <v>3086</v>
      </c>
      <c r="M78" s="2963">
        <f t="shared" si="1"/>
        <v>30517.000211550665</v>
      </c>
    </row>
    <row r="79" spans="1:13">
      <c r="A79" s="2964" t="s">
        <v>3082</v>
      </c>
      <c r="B79" s="2964" t="s">
        <v>3083</v>
      </c>
      <c r="C79" s="2964"/>
      <c r="D79" s="2964">
        <v>501</v>
      </c>
      <c r="E79" s="2964" t="s">
        <v>3162</v>
      </c>
      <c r="F79" s="2965">
        <v>1549923.3</v>
      </c>
      <c r="G79" s="2972">
        <v>47.96</v>
      </c>
      <c r="H79" s="2964" t="s">
        <v>3085</v>
      </c>
      <c r="I79" s="2964" t="s">
        <v>3086</v>
      </c>
      <c r="M79" s="2963">
        <f t="shared" si="1"/>
        <v>32316.999582985824</v>
      </c>
    </row>
    <row r="80" spans="1:13">
      <c r="A80" s="2964" t="s">
        <v>3082</v>
      </c>
      <c r="B80" s="2964" t="s">
        <v>3083</v>
      </c>
      <c r="C80" s="2964"/>
      <c r="D80" s="2964">
        <v>502</v>
      </c>
      <c r="E80" s="2964" t="s">
        <v>3163</v>
      </c>
      <c r="F80" s="2965">
        <v>2726326</v>
      </c>
      <c r="G80" s="2972">
        <v>78.53</v>
      </c>
      <c r="H80" s="2964" t="s">
        <v>3085</v>
      </c>
      <c r="I80" s="2964" t="s">
        <v>3086</v>
      </c>
      <c r="M80" s="2963">
        <f t="shared" si="1"/>
        <v>34716.999872660126</v>
      </c>
    </row>
    <row r="81" spans="1:13">
      <c r="A81" s="2964" t="s">
        <v>3082</v>
      </c>
      <c r="B81" s="2964" t="s">
        <v>3083</v>
      </c>
      <c r="C81" s="2964"/>
      <c r="D81" s="2964">
        <v>503</v>
      </c>
      <c r="E81" s="2964" t="s">
        <v>3164</v>
      </c>
      <c r="F81" s="2965">
        <v>2726673.2</v>
      </c>
      <c r="G81" s="2972">
        <v>78.540000000000006</v>
      </c>
      <c r="H81" s="2964" t="s">
        <v>3085</v>
      </c>
      <c r="I81" s="2964" t="s">
        <v>3086</v>
      </c>
      <c r="M81" s="2963">
        <f t="shared" si="1"/>
        <v>34717.000254647312</v>
      </c>
    </row>
    <row r="82" spans="1:13">
      <c r="A82" s="2964" t="s">
        <v>3082</v>
      </c>
      <c r="B82" s="2964" t="s">
        <v>3083</v>
      </c>
      <c r="C82" s="2964"/>
      <c r="D82" s="2964">
        <v>504</v>
      </c>
      <c r="E82" s="2964" t="s">
        <v>3165</v>
      </c>
      <c r="F82" s="2965">
        <v>2726326</v>
      </c>
      <c r="G82" s="2972">
        <v>78.53</v>
      </c>
      <c r="H82" s="2964" t="s">
        <v>3085</v>
      </c>
      <c r="I82" s="2964" t="s">
        <v>3086</v>
      </c>
      <c r="M82" s="2963">
        <f t="shared" si="1"/>
        <v>34716.999872660126</v>
      </c>
    </row>
    <row r="83" spans="1:13">
      <c r="A83" s="2964" t="s">
        <v>3082</v>
      </c>
      <c r="B83" s="2964" t="s">
        <v>3083</v>
      </c>
      <c r="C83" s="2964"/>
      <c r="D83" s="2964">
        <v>505</v>
      </c>
      <c r="E83" s="2964" t="s">
        <v>3166</v>
      </c>
      <c r="F83" s="2965">
        <v>2726326</v>
      </c>
      <c r="G83" s="2972">
        <v>78.53</v>
      </c>
      <c r="H83" s="2964" t="s">
        <v>3085</v>
      </c>
      <c r="I83" s="2964" t="s">
        <v>3086</v>
      </c>
      <c r="M83" s="2963">
        <f t="shared" si="1"/>
        <v>34716.999872660126</v>
      </c>
    </row>
    <row r="84" spans="1:13">
      <c r="A84" s="2964" t="s">
        <v>3082</v>
      </c>
      <c r="B84" s="2964" t="s">
        <v>3083</v>
      </c>
      <c r="C84" s="2964"/>
      <c r="D84" s="2964">
        <v>506</v>
      </c>
      <c r="E84" s="2964" t="s">
        <v>3167</v>
      </c>
      <c r="F84" s="2965">
        <v>2726326</v>
      </c>
      <c r="G84" s="2972">
        <v>78.53</v>
      </c>
      <c r="H84" s="2964" t="s">
        <v>3085</v>
      </c>
      <c r="I84" s="2964" t="s">
        <v>3086</v>
      </c>
      <c r="M84" s="2963">
        <f t="shared" si="1"/>
        <v>34716.999872660126</v>
      </c>
    </row>
    <row r="85" spans="1:13">
      <c r="A85" s="2964" t="s">
        <v>3082</v>
      </c>
      <c r="B85" s="2964" t="s">
        <v>3083</v>
      </c>
      <c r="C85" s="2964"/>
      <c r="D85" s="2964">
        <v>507</v>
      </c>
      <c r="E85" s="2964" t="s">
        <v>3168</v>
      </c>
      <c r="F85" s="2965">
        <v>2726326</v>
      </c>
      <c r="G85" s="2972">
        <v>78.53</v>
      </c>
      <c r="H85" s="2964" t="s">
        <v>3085</v>
      </c>
      <c r="I85" s="2964" t="s">
        <v>3086</v>
      </c>
      <c r="M85" s="2963">
        <f t="shared" si="1"/>
        <v>34716.999872660126</v>
      </c>
    </row>
    <row r="86" spans="1:13">
      <c r="A86" s="2964" t="s">
        <v>3082</v>
      </c>
      <c r="B86" s="2964" t="s">
        <v>3083</v>
      </c>
      <c r="C86" s="2964"/>
      <c r="D86" s="2964">
        <v>508</v>
      </c>
      <c r="E86" s="2964" t="s">
        <v>3169</v>
      </c>
      <c r="F86" s="2965">
        <v>2726326</v>
      </c>
      <c r="G86" s="2972">
        <v>78.53</v>
      </c>
      <c r="H86" s="2964" t="s">
        <v>3085</v>
      </c>
      <c r="I86" s="2964" t="s">
        <v>3086</v>
      </c>
      <c r="M86" s="2963">
        <f t="shared" si="1"/>
        <v>34716.999872660126</v>
      </c>
    </row>
    <row r="87" spans="1:13">
      <c r="A87" s="2964" t="s">
        <v>3082</v>
      </c>
      <c r="B87" s="2964" t="s">
        <v>3083</v>
      </c>
      <c r="C87" s="2964"/>
      <c r="D87" s="2964">
        <v>509</v>
      </c>
      <c r="E87" s="2964" t="s">
        <v>3170</v>
      </c>
      <c r="F87" s="2965">
        <v>2726326</v>
      </c>
      <c r="G87" s="2972">
        <v>78.53</v>
      </c>
      <c r="H87" s="2964" t="s">
        <v>3085</v>
      </c>
      <c r="I87" s="2964" t="s">
        <v>3086</v>
      </c>
      <c r="M87" s="2963">
        <f t="shared" si="1"/>
        <v>34716.999872660126</v>
      </c>
    </row>
    <row r="88" spans="1:13">
      <c r="A88" s="2964" t="s">
        <v>3082</v>
      </c>
      <c r="B88" s="2964" t="s">
        <v>3083</v>
      </c>
      <c r="C88" s="2964"/>
      <c r="D88" s="2964">
        <v>510</v>
      </c>
      <c r="E88" s="2964" t="s">
        <v>3171</v>
      </c>
      <c r="F88" s="2965">
        <v>1660231.3</v>
      </c>
      <c r="G88" s="2972">
        <v>47.96</v>
      </c>
      <c r="H88" s="2964" t="s">
        <v>3085</v>
      </c>
      <c r="I88" s="2964" t="s">
        <v>3086</v>
      </c>
      <c r="M88" s="2963">
        <f t="shared" si="1"/>
        <v>34616.999582985824</v>
      </c>
    </row>
    <row r="89" spans="1:13">
      <c r="A89" s="2964" t="s">
        <v>3082</v>
      </c>
      <c r="B89" s="2964" t="s">
        <v>3083</v>
      </c>
      <c r="C89" s="2964"/>
      <c r="D89" s="2964">
        <v>511</v>
      </c>
      <c r="E89" s="2964" t="s">
        <v>3172</v>
      </c>
      <c r="F89" s="2965">
        <v>1034561.8</v>
      </c>
      <c r="G89" s="2972">
        <v>32.93</v>
      </c>
      <c r="H89" s="2964" t="s">
        <v>3085</v>
      </c>
      <c r="I89" s="2964" t="s">
        <v>3086</v>
      </c>
      <c r="M89" s="2963">
        <f t="shared" si="1"/>
        <v>31416.99969632554</v>
      </c>
    </row>
    <row r="90" spans="1:13">
      <c r="A90" s="2964" t="s">
        <v>3082</v>
      </c>
      <c r="B90" s="2964" t="s">
        <v>3083</v>
      </c>
      <c r="C90" s="2964"/>
      <c r="D90" s="2964">
        <v>512</v>
      </c>
      <c r="E90" s="2964" t="s">
        <v>3173</v>
      </c>
      <c r="F90" s="2965">
        <v>1275340.6000000001</v>
      </c>
      <c r="G90" s="2972">
        <v>40.21</v>
      </c>
      <c r="H90" s="2964" t="s">
        <v>3085</v>
      </c>
      <c r="I90" s="2964" t="s">
        <v>3086</v>
      </c>
      <c r="M90" s="2963">
        <f t="shared" si="1"/>
        <v>31717.000746083064</v>
      </c>
    </row>
    <row r="91" spans="1:13">
      <c r="A91" s="2964" t="s">
        <v>3082</v>
      </c>
      <c r="B91" s="2964" t="s">
        <v>3083</v>
      </c>
      <c r="C91" s="2964"/>
      <c r="D91" s="2964">
        <v>513</v>
      </c>
      <c r="E91" s="2964" t="s">
        <v>3174</v>
      </c>
      <c r="F91" s="2965">
        <v>2091459</v>
      </c>
      <c r="G91" s="2972">
        <v>65.12</v>
      </c>
      <c r="H91" s="2964" t="s">
        <v>3085</v>
      </c>
      <c r="I91" s="2964" t="s">
        <v>3086</v>
      </c>
      <c r="M91" s="2963">
        <f t="shared" si="1"/>
        <v>32116.999385749383</v>
      </c>
    </row>
    <row r="92" spans="1:13">
      <c r="A92" s="2964" t="s">
        <v>3082</v>
      </c>
      <c r="B92" s="2964" t="s">
        <v>3083</v>
      </c>
      <c r="C92" s="2964"/>
      <c r="D92" s="2964">
        <v>514</v>
      </c>
      <c r="E92" s="2964" t="s">
        <v>3175</v>
      </c>
      <c r="F92" s="2965">
        <v>1396688.7</v>
      </c>
      <c r="G92" s="2972">
        <v>42.69</v>
      </c>
      <c r="H92" s="2964" t="s">
        <v>3085</v>
      </c>
      <c r="I92" s="2964" t="s">
        <v>3086</v>
      </c>
      <c r="M92" s="2963">
        <f t="shared" si="1"/>
        <v>32716.999297259314</v>
      </c>
    </row>
    <row r="93" spans="1:13">
      <c r="A93" s="2964" t="s">
        <v>3082</v>
      </c>
      <c r="B93" s="2964" t="s">
        <v>3083</v>
      </c>
      <c r="C93" s="2964"/>
      <c r="D93" s="2964">
        <v>515</v>
      </c>
      <c r="E93" s="2964" t="s">
        <v>3176</v>
      </c>
      <c r="F93" s="2965">
        <v>1396361.6</v>
      </c>
      <c r="G93" s="2972">
        <v>42.68</v>
      </c>
      <c r="H93" s="2964" t="s">
        <v>3085</v>
      </c>
      <c r="I93" s="2964" t="s">
        <v>3086</v>
      </c>
      <c r="M93" s="2963">
        <f t="shared" si="1"/>
        <v>32717.000937207125</v>
      </c>
    </row>
    <row r="94" spans="1:13">
      <c r="A94" s="2964" t="s">
        <v>3082</v>
      </c>
      <c r="B94" s="2964" t="s">
        <v>3083</v>
      </c>
      <c r="C94" s="2964"/>
      <c r="D94" s="2964">
        <v>516</v>
      </c>
      <c r="E94" s="2964" t="s">
        <v>3177</v>
      </c>
      <c r="F94" s="2965">
        <v>1396688.7</v>
      </c>
      <c r="G94" s="2972">
        <v>42.69</v>
      </c>
      <c r="H94" s="2964" t="s">
        <v>3085</v>
      </c>
      <c r="I94" s="2964" t="s">
        <v>3086</v>
      </c>
      <c r="M94" s="2963">
        <f t="shared" si="1"/>
        <v>32716.999297259314</v>
      </c>
    </row>
    <row r="95" spans="1:13">
      <c r="A95" s="2964" t="s">
        <v>3082</v>
      </c>
      <c r="B95" s="2964" t="s">
        <v>3083</v>
      </c>
      <c r="C95" s="2964"/>
      <c r="D95" s="2964">
        <v>517</v>
      </c>
      <c r="E95" s="2964" t="s">
        <v>3178</v>
      </c>
      <c r="F95" s="2965">
        <v>1396688.7</v>
      </c>
      <c r="G95" s="2972">
        <v>42.69</v>
      </c>
      <c r="H95" s="2964" t="s">
        <v>3085</v>
      </c>
      <c r="I95" s="2964" t="s">
        <v>3086</v>
      </c>
      <c r="M95" s="2963">
        <f t="shared" si="1"/>
        <v>32716.999297259314</v>
      </c>
    </row>
    <row r="96" spans="1:13">
      <c r="A96" s="2964" t="s">
        <v>3082</v>
      </c>
      <c r="B96" s="2964" t="s">
        <v>3083</v>
      </c>
      <c r="C96" s="2964"/>
      <c r="D96" s="2964">
        <v>518</v>
      </c>
      <c r="E96" s="2964" t="s">
        <v>3179</v>
      </c>
      <c r="F96" s="2965">
        <v>1396688.7</v>
      </c>
      <c r="G96" s="2972">
        <v>42.69</v>
      </c>
      <c r="H96" s="2964" t="s">
        <v>3085</v>
      </c>
      <c r="I96" s="2964" t="s">
        <v>3086</v>
      </c>
      <c r="M96" s="2963">
        <f t="shared" si="1"/>
        <v>32716.999297259314</v>
      </c>
    </row>
    <row r="97" spans="1:13">
      <c r="A97" s="2964" t="s">
        <v>3082</v>
      </c>
      <c r="B97" s="2964" t="s">
        <v>3083</v>
      </c>
      <c r="C97" s="2964"/>
      <c r="D97" s="2964">
        <v>519</v>
      </c>
      <c r="E97" s="2964" t="s">
        <v>3180</v>
      </c>
      <c r="F97" s="2965">
        <v>1396688.7</v>
      </c>
      <c r="G97" s="2972">
        <v>42.69</v>
      </c>
      <c r="H97" s="2964" t="s">
        <v>3085</v>
      </c>
      <c r="I97" s="2964" t="s">
        <v>3086</v>
      </c>
      <c r="M97" s="2963">
        <f t="shared" si="1"/>
        <v>32716.999297259314</v>
      </c>
    </row>
    <row r="98" spans="1:13">
      <c r="A98" s="2964" t="s">
        <v>3082</v>
      </c>
      <c r="B98" s="2964" t="s">
        <v>3083</v>
      </c>
      <c r="C98" s="2964"/>
      <c r="D98" s="2964">
        <v>521</v>
      </c>
      <c r="E98" s="2964" t="s">
        <v>3181</v>
      </c>
      <c r="F98" s="2965">
        <v>1402943</v>
      </c>
      <c r="G98" s="2972">
        <v>47.53</v>
      </c>
      <c r="H98" s="2964" t="s">
        <v>3085</v>
      </c>
      <c r="I98" s="2964" t="s">
        <v>3086</v>
      </c>
      <c r="M98" s="2963">
        <f t="shared" si="1"/>
        <v>29516.999789606565</v>
      </c>
    </row>
    <row r="99" spans="1:13">
      <c r="A99" s="2964" t="s">
        <v>3182</v>
      </c>
      <c r="B99" s="2964" t="s">
        <v>3183</v>
      </c>
      <c r="C99" s="2964"/>
      <c r="D99" s="2964">
        <v>15</v>
      </c>
      <c r="E99" s="2964" t="s">
        <v>3184</v>
      </c>
      <c r="F99" s="2965">
        <v>1781631</v>
      </c>
      <c r="G99" s="2972">
        <v>47.63</v>
      </c>
      <c r="H99" s="2964" t="s">
        <v>3185</v>
      </c>
      <c r="I99" s="2964" t="s">
        <v>3086</v>
      </c>
      <c r="M99" s="2963">
        <f t="shared" si="1"/>
        <v>37405.647701028764</v>
      </c>
    </row>
    <row r="100" spans="1:13">
      <c r="A100" s="2963" t="s">
        <v>3182</v>
      </c>
      <c r="B100" s="2963" t="s">
        <v>3186</v>
      </c>
      <c r="D100" s="2963">
        <v>-122</v>
      </c>
      <c r="E100" s="2963" t="s">
        <v>3187</v>
      </c>
      <c r="F100" s="2966">
        <v>3228523</v>
      </c>
      <c r="G100" s="2971">
        <v>96.71</v>
      </c>
      <c r="H100" s="2963" t="s">
        <v>3185</v>
      </c>
      <c r="I100" s="2963" t="s">
        <v>3086</v>
      </c>
      <c r="J100" s="2967">
        <v>96.71</v>
      </c>
      <c r="M100" s="2963">
        <f t="shared" si="1"/>
        <v>33383.548754006828</v>
      </c>
    </row>
    <row r="101" spans="1:13">
      <c r="A101" s="2963" t="s">
        <v>3182</v>
      </c>
      <c r="B101" s="2963" t="s">
        <v>3186</v>
      </c>
      <c r="D101" s="2963">
        <v>-123</v>
      </c>
      <c r="E101" s="2963" t="s">
        <v>3188</v>
      </c>
      <c r="F101" s="2966">
        <v>2065630</v>
      </c>
      <c r="G101" s="2971">
        <v>61.64</v>
      </c>
      <c r="H101" s="2963" t="s">
        <v>3185</v>
      </c>
      <c r="I101" s="2963" t="s">
        <v>3086</v>
      </c>
      <c r="J101" s="2967">
        <v>61.64</v>
      </c>
      <c r="M101" s="2963">
        <f t="shared" si="1"/>
        <v>33511.194029850747</v>
      </c>
    </row>
    <row r="102" spans="1:13">
      <c r="A102" s="2963" t="s">
        <v>3182</v>
      </c>
      <c r="B102" s="2963" t="s">
        <v>3186</v>
      </c>
      <c r="D102" s="2963">
        <v>-124</v>
      </c>
      <c r="E102" s="2963" t="s">
        <v>3189</v>
      </c>
      <c r="F102" s="2966">
        <v>3523960</v>
      </c>
      <c r="G102" s="2971">
        <v>95.83</v>
      </c>
      <c r="H102" s="2963" t="s">
        <v>3185</v>
      </c>
      <c r="I102" s="2963" t="s">
        <v>3086</v>
      </c>
      <c r="J102" s="2967">
        <v>95.83</v>
      </c>
      <c r="M102" s="2963">
        <f t="shared" si="1"/>
        <v>36773.035583846395</v>
      </c>
    </row>
    <row r="103" spans="1:13">
      <c r="A103" s="2963" t="s">
        <v>3182</v>
      </c>
      <c r="B103" s="2963" t="s">
        <v>3186</v>
      </c>
      <c r="D103" s="2963">
        <v>-125</v>
      </c>
      <c r="E103" s="2963" t="s">
        <v>3190</v>
      </c>
      <c r="F103" s="2966">
        <v>3571006</v>
      </c>
      <c r="G103" s="2971">
        <v>97.09</v>
      </c>
      <c r="H103" s="2963" t="s">
        <v>3185</v>
      </c>
      <c r="I103" s="2963" t="s">
        <v>3086</v>
      </c>
      <c r="J103" s="2967">
        <v>97.09</v>
      </c>
      <c r="M103" s="2963">
        <f t="shared" si="1"/>
        <v>36780.368730044291</v>
      </c>
    </row>
    <row r="104" spans="1:13">
      <c r="A104" s="2963" t="s">
        <v>3182</v>
      </c>
      <c r="B104" s="2963" t="s">
        <v>3186</v>
      </c>
      <c r="D104" s="2963">
        <v>-126</v>
      </c>
      <c r="E104" s="2963" t="s">
        <v>3191</v>
      </c>
      <c r="F104" s="2966">
        <v>3582954</v>
      </c>
      <c r="G104" s="2971">
        <v>97.32</v>
      </c>
      <c r="H104" s="2963" t="s">
        <v>3185</v>
      </c>
      <c r="I104" s="2963" t="s">
        <v>3086</v>
      </c>
      <c r="J104" s="2967">
        <v>97.32</v>
      </c>
      <c r="M104" s="2963">
        <f t="shared" si="1"/>
        <v>36816.214549938348</v>
      </c>
    </row>
    <row r="105" spans="1:13">
      <c r="A105" s="2963" t="s">
        <v>3182</v>
      </c>
      <c r="B105" s="2963" t="s">
        <v>3186</v>
      </c>
      <c r="D105" s="2963">
        <v>-127</v>
      </c>
      <c r="E105" s="2963" t="s">
        <v>3192</v>
      </c>
      <c r="F105" s="2966">
        <v>3527321</v>
      </c>
      <c r="G105" s="2971">
        <v>95.87</v>
      </c>
      <c r="H105" s="2963" t="s">
        <v>3185</v>
      </c>
      <c r="I105" s="2963" t="s">
        <v>3086</v>
      </c>
      <c r="J105" s="2967">
        <v>95.87</v>
      </c>
      <c r="M105" s="2963">
        <f t="shared" si="1"/>
        <v>36792.750599770523</v>
      </c>
    </row>
    <row r="106" spans="1:13">
      <c r="A106" s="2963" t="s">
        <v>3182</v>
      </c>
      <c r="B106" s="2963" t="s">
        <v>3186</v>
      </c>
      <c r="D106" s="2963">
        <v>-128</v>
      </c>
      <c r="E106" s="2963" t="s">
        <v>3193</v>
      </c>
      <c r="F106" s="2966">
        <v>3473928</v>
      </c>
      <c r="G106" s="2971">
        <v>94.28</v>
      </c>
      <c r="H106" s="2963" t="s">
        <v>3185</v>
      </c>
      <c r="I106" s="2963" t="s">
        <v>3086</v>
      </c>
      <c r="J106" s="2967">
        <v>94.28</v>
      </c>
      <c r="M106" s="2963">
        <f t="shared" si="1"/>
        <v>36846.924056003394</v>
      </c>
    </row>
    <row r="107" spans="1:13">
      <c r="A107" s="2963" t="s">
        <v>3182</v>
      </c>
      <c r="B107" s="2963" t="s">
        <v>3186</v>
      </c>
      <c r="D107" s="2963">
        <v>-129</v>
      </c>
      <c r="E107" s="2963" t="s">
        <v>3194</v>
      </c>
      <c r="F107" s="2966">
        <v>7251532</v>
      </c>
      <c r="G107" s="2971">
        <v>216.93</v>
      </c>
      <c r="H107" s="2963" t="s">
        <v>3185</v>
      </c>
      <c r="I107" s="2963" t="s">
        <v>3086</v>
      </c>
      <c r="J107" s="2967">
        <v>216.93</v>
      </c>
      <c r="M107" s="2963">
        <f t="shared" si="1"/>
        <v>33427.981376480893</v>
      </c>
    </row>
    <row r="108" spans="1:13">
      <c r="A108" s="2963" t="s">
        <v>3182</v>
      </c>
      <c r="B108" s="2963" t="s">
        <v>3195</v>
      </c>
      <c r="D108" s="2963">
        <v>-56</v>
      </c>
      <c r="E108" s="2963" t="s">
        <v>3196</v>
      </c>
      <c r="F108" s="2966">
        <v>1524867</v>
      </c>
      <c r="G108" s="2995">
        <v>49.68</v>
      </c>
      <c r="H108" s="2963" t="s">
        <v>3185</v>
      </c>
      <c r="I108" s="2963" t="s">
        <v>3086</v>
      </c>
      <c r="K108" s="2968" t="s">
        <v>3197</v>
      </c>
      <c r="L108" s="3334" t="s">
        <v>3198</v>
      </c>
      <c r="M108" s="2963">
        <f t="shared" si="1"/>
        <v>30693.780193236715</v>
      </c>
    </row>
    <row r="109" spans="1:13">
      <c r="A109" s="2963" t="s">
        <v>3182</v>
      </c>
      <c r="B109" s="2963" t="s">
        <v>3195</v>
      </c>
      <c r="D109" s="2963">
        <v>-57</v>
      </c>
      <c r="E109" s="2963" t="s">
        <v>3199</v>
      </c>
      <c r="F109" s="2966">
        <v>1453146</v>
      </c>
      <c r="G109" s="2995">
        <v>47.32</v>
      </c>
      <c r="H109" s="2963" t="s">
        <v>3185</v>
      </c>
      <c r="I109" s="2963" t="s">
        <v>3086</v>
      </c>
      <c r="K109" s="2968" t="s">
        <v>3200</v>
      </c>
      <c r="L109" s="3335"/>
      <c r="M109" s="2963">
        <f t="shared" si="1"/>
        <v>30708.91800507185</v>
      </c>
    </row>
    <row r="110" spans="1:13">
      <c r="A110" s="2963" t="s">
        <v>3182</v>
      </c>
      <c r="B110" s="2963" t="s">
        <v>3195</v>
      </c>
      <c r="D110" s="2963">
        <v>-58</v>
      </c>
      <c r="E110" s="2963" t="s">
        <v>3201</v>
      </c>
      <c r="F110" s="2966">
        <v>1076451</v>
      </c>
      <c r="G110" s="2995">
        <v>35.06</v>
      </c>
      <c r="H110" s="2963" t="s">
        <v>3185</v>
      </c>
      <c r="I110" s="2963" t="s">
        <v>3086</v>
      </c>
      <c r="K110" s="2968" t="s">
        <v>3202</v>
      </c>
      <c r="L110" s="3335"/>
      <c r="M110" s="2963">
        <f t="shared" si="1"/>
        <v>30703.108956075299</v>
      </c>
    </row>
    <row r="111" spans="1:13">
      <c r="A111" s="2963" t="s">
        <v>3182</v>
      </c>
      <c r="B111" s="2963" t="s">
        <v>3195</v>
      </c>
      <c r="D111" s="2963">
        <v>-59</v>
      </c>
      <c r="E111" s="2963" t="s">
        <v>3203</v>
      </c>
      <c r="F111" s="2966">
        <v>1076451</v>
      </c>
      <c r="G111" s="2995">
        <v>35.06</v>
      </c>
      <c r="H111" s="2963" t="s">
        <v>3185</v>
      </c>
      <c r="I111" s="2963" t="s">
        <v>3086</v>
      </c>
      <c r="K111" s="2968" t="s">
        <v>3202</v>
      </c>
      <c r="L111" s="3335"/>
      <c r="M111" s="2963">
        <f t="shared" si="1"/>
        <v>30703.108956075299</v>
      </c>
    </row>
    <row r="112" spans="1:13">
      <c r="A112" s="2963" t="s">
        <v>3182</v>
      </c>
      <c r="B112" s="2963" t="s">
        <v>3195</v>
      </c>
      <c r="D112" s="2963">
        <v>-60</v>
      </c>
      <c r="E112" s="2963" t="s">
        <v>3204</v>
      </c>
      <c r="F112" s="2966">
        <v>1130718</v>
      </c>
      <c r="G112" s="2995">
        <v>36.81</v>
      </c>
      <c r="H112" s="2963" t="s">
        <v>3185</v>
      </c>
      <c r="I112" s="2963" t="s">
        <v>3086</v>
      </c>
      <c r="K112" s="2968" t="s">
        <v>3205</v>
      </c>
      <c r="L112" s="3335"/>
      <c r="M112" s="2963">
        <f t="shared" si="1"/>
        <v>30717.68541157294</v>
      </c>
    </row>
    <row r="113" spans="1:13">
      <c r="A113" s="2963" t="s">
        <v>3182</v>
      </c>
      <c r="B113" s="2963" t="s">
        <v>3195</v>
      </c>
      <c r="D113" s="2963">
        <v>-61</v>
      </c>
      <c r="E113" s="2963" t="s">
        <v>3206</v>
      </c>
      <c r="F113" s="2966">
        <v>2171175</v>
      </c>
      <c r="G113" s="2995">
        <v>74.209999999999994</v>
      </c>
      <c r="H113" s="2963" t="s">
        <v>3185</v>
      </c>
      <c r="I113" s="2963" t="s">
        <v>3086</v>
      </c>
      <c r="K113" s="2968" t="s">
        <v>3207</v>
      </c>
      <c r="L113" s="3335"/>
      <c r="M113" s="2963">
        <f t="shared" si="1"/>
        <v>29257.175582805554</v>
      </c>
    </row>
    <row r="114" spans="1:13">
      <c r="A114" s="2963" t="s">
        <v>3182</v>
      </c>
      <c r="B114" s="2963" t="s">
        <v>3195</v>
      </c>
      <c r="D114" s="2963">
        <v>-62</v>
      </c>
      <c r="E114" s="2963" t="s">
        <v>3208</v>
      </c>
      <c r="F114" s="2966">
        <v>2939506</v>
      </c>
      <c r="G114" s="2995">
        <v>113.29</v>
      </c>
      <c r="H114" s="2963" t="s">
        <v>3185</v>
      </c>
      <c r="I114" s="2963" t="s">
        <v>3086</v>
      </c>
      <c r="K114" s="2968" t="s">
        <v>3209</v>
      </c>
      <c r="L114" s="3335"/>
      <c r="M114" s="2963">
        <f t="shared" si="1"/>
        <v>25946.738458822489</v>
      </c>
    </row>
    <row r="115" spans="1:13">
      <c r="A115" s="2963" t="s">
        <v>3182</v>
      </c>
      <c r="B115" s="2963" t="s">
        <v>3195</v>
      </c>
      <c r="D115" s="2963">
        <v>-63</v>
      </c>
      <c r="E115" s="2963" t="s">
        <v>3210</v>
      </c>
      <c r="F115" s="2966">
        <v>1687718</v>
      </c>
      <c r="G115" s="2995">
        <v>57.65</v>
      </c>
      <c r="H115" s="2963" t="s">
        <v>3185</v>
      </c>
      <c r="I115" s="2963" t="s">
        <v>3086</v>
      </c>
      <c r="K115" s="2968" t="s">
        <v>3211</v>
      </c>
      <c r="L115" s="3335"/>
      <c r="M115" s="2963">
        <f t="shared" si="1"/>
        <v>29275.247181266262</v>
      </c>
    </row>
    <row r="116" spans="1:13">
      <c r="A116" s="2963" t="s">
        <v>3182</v>
      </c>
      <c r="B116" s="2963" t="s">
        <v>3195</v>
      </c>
      <c r="D116" s="2963">
        <v>-64</v>
      </c>
      <c r="E116" s="2963" t="s">
        <v>3212</v>
      </c>
      <c r="F116" s="2966">
        <v>2632484</v>
      </c>
      <c r="G116" s="2995">
        <v>90.83</v>
      </c>
      <c r="H116" s="2963" t="s">
        <v>3185</v>
      </c>
      <c r="I116" s="2963" t="s">
        <v>3086</v>
      </c>
      <c r="K116" s="2968" t="s">
        <v>3213</v>
      </c>
      <c r="L116" s="3335"/>
      <c r="M116" s="2963">
        <f t="shared" si="1"/>
        <v>28982.538808763624</v>
      </c>
    </row>
    <row r="117" spans="1:13">
      <c r="A117" s="2963" t="s">
        <v>3182</v>
      </c>
      <c r="B117" s="2963" t="s">
        <v>3195</v>
      </c>
      <c r="D117" s="2963">
        <v>-65</v>
      </c>
      <c r="E117" s="2963" t="s">
        <v>3214</v>
      </c>
      <c r="F117" s="2966">
        <v>2614896</v>
      </c>
      <c r="G117" s="2995">
        <v>90.83</v>
      </c>
      <c r="H117" s="2963" t="s">
        <v>3185</v>
      </c>
      <c r="I117" s="2963" t="s">
        <v>3086</v>
      </c>
      <c r="K117" s="2968" t="s">
        <v>3213</v>
      </c>
      <c r="L117" s="3335"/>
      <c r="M117" s="2963">
        <f t="shared" si="1"/>
        <v>28788.902345040184</v>
      </c>
    </row>
    <row r="118" spans="1:13">
      <c r="A118" s="2963" t="s">
        <v>3182</v>
      </c>
      <c r="B118" s="2963" t="s">
        <v>3195</v>
      </c>
      <c r="D118" s="2963">
        <v>-66</v>
      </c>
      <c r="E118" s="2963" t="s">
        <v>3215</v>
      </c>
      <c r="F118" s="2966">
        <v>1659808</v>
      </c>
      <c r="G118" s="2995">
        <v>57.65</v>
      </c>
      <c r="H118" s="2963" t="s">
        <v>3185</v>
      </c>
      <c r="I118" s="2963" t="s">
        <v>3086</v>
      </c>
      <c r="K118" s="2968" t="s">
        <v>3211</v>
      </c>
      <c r="L118" s="3335"/>
      <c r="M118" s="2963">
        <f t="shared" si="1"/>
        <v>28791.118820468346</v>
      </c>
    </row>
    <row r="119" spans="1:13">
      <c r="A119" s="2963" t="s">
        <v>3182</v>
      </c>
      <c r="B119" s="2963" t="s">
        <v>3195</v>
      </c>
      <c r="D119" s="2963">
        <v>-67</v>
      </c>
      <c r="E119" s="2963" t="s">
        <v>3216</v>
      </c>
      <c r="F119" s="2966">
        <v>1659808</v>
      </c>
      <c r="G119" s="2995">
        <v>57.65</v>
      </c>
      <c r="H119" s="2963" t="s">
        <v>3185</v>
      </c>
      <c r="I119" s="2963" t="s">
        <v>3086</v>
      </c>
      <c r="K119" s="2968" t="s">
        <v>3211</v>
      </c>
      <c r="L119" s="3335"/>
      <c r="M119" s="2963">
        <f t="shared" si="1"/>
        <v>28791.118820468346</v>
      </c>
    </row>
    <row r="120" spans="1:13">
      <c r="A120" s="2963" t="s">
        <v>3182</v>
      </c>
      <c r="B120" s="2963" t="s">
        <v>3195</v>
      </c>
      <c r="D120" s="2963">
        <v>-68</v>
      </c>
      <c r="E120" s="2963" t="s">
        <v>3217</v>
      </c>
      <c r="F120" s="2966">
        <v>2036550</v>
      </c>
      <c r="G120" s="2995">
        <v>70.739999999999995</v>
      </c>
      <c r="H120" s="2963" t="s">
        <v>3185</v>
      </c>
      <c r="I120" s="2963" t="s">
        <v>3086</v>
      </c>
      <c r="K120" s="2968" t="s">
        <v>3218</v>
      </c>
      <c r="L120" s="3335"/>
      <c r="M120" s="2963">
        <f t="shared" si="1"/>
        <v>28789.228159457169</v>
      </c>
    </row>
    <row r="121" spans="1:13">
      <c r="A121" s="2963" t="s">
        <v>3182</v>
      </c>
      <c r="B121" s="2963" t="s">
        <v>3195</v>
      </c>
      <c r="D121" s="2963">
        <v>-69</v>
      </c>
      <c r="E121" s="2963" t="s">
        <v>3219</v>
      </c>
      <c r="F121" s="2966">
        <v>2036550</v>
      </c>
      <c r="G121" s="2995">
        <v>70.739999999999995</v>
      </c>
      <c r="H121" s="2963" t="s">
        <v>3185</v>
      </c>
      <c r="I121" s="2963" t="s">
        <v>3086</v>
      </c>
      <c r="K121" s="2968" t="s">
        <v>3218</v>
      </c>
      <c r="L121" s="3335"/>
      <c r="M121" s="2963">
        <f t="shared" si="1"/>
        <v>28789.228159457169</v>
      </c>
    </row>
    <row r="122" spans="1:13">
      <c r="A122" s="2963" t="s">
        <v>3182</v>
      </c>
      <c r="B122" s="2963" t="s">
        <v>3195</v>
      </c>
      <c r="D122" s="2963">
        <v>-70</v>
      </c>
      <c r="E122" s="2963" t="s">
        <v>3220</v>
      </c>
      <c r="F122" s="2966">
        <v>2665445</v>
      </c>
      <c r="G122" s="2995">
        <v>92.58</v>
      </c>
      <c r="H122" s="2963" t="s">
        <v>3185</v>
      </c>
      <c r="I122" s="2963" t="s">
        <v>3086</v>
      </c>
      <c r="K122" s="2968" t="s">
        <v>3221</v>
      </c>
      <c r="L122" s="3335"/>
      <c r="M122" s="2963">
        <f t="shared" si="1"/>
        <v>28790.721538129186</v>
      </c>
    </row>
    <row r="123" spans="1:13">
      <c r="A123" s="2963" t="s">
        <v>3182</v>
      </c>
      <c r="B123" s="2963" t="s">
        <v>3195</v>
      </c>
      <c r="D123" s="2963">
        <v>-71</v>
      </c>
      <c r="E123" s="2963" t="s">
        <v>3222</v>
      </c>
      <c r="F123" s="2966">
        <v>2036550</v>
      </c>
      <c r="G123" s="2995">
        <v>70.739999999999995</v>
      </c>
      <c r="H123" s="2963" t="s">
        <v>3185</v>
      </c>
      <c r="I123" s="2963" t="s">
        <v>3086</v>
      </c>
      <c r="K123" s="2968" t="s">
        <v>3218</v>
      </c>
      <c r="L123" s="3335"/>
      <c r="M123" s="2963">
        <f t="shared" si="1"/>
        <v>28789.228159457169</v>
      </c>
    </row>
    <row r="124" spans="1:13">
      <c r="A124" s="2963" t="s">
        <v>3182</v>
      </c>
      <c r="B124" s="2963" t="s">
        <v>3195</v>
      </c>
      <c r="D124" s="2963">
        <v>-72</v>
      </c>
      <c r="E124" s="2963" t="s">
        <v>3223</v>
      </c>
      <c r="F124" s="2966">
        <v>2036550</v>
      </c>
      <c r="G124" s="2995">
        <v>70.739999999999995</v>
      </c>
      <c r="H124" s="2963" t="s">
        <v>3185</v>
      </c>
      <c r="I124" s="2963" t="s">
        <v>3086</v>
      </c>
      <c r="K124" s="2968" t="s">
        <v>3218</v>
      </c>
      <c r="L124" s="3335"/>
      <c r="M124" s="2963">
        <f t="shared" si="1"/>
        <v>28789.228159457169</v>
      </c>
    </row>
    <row r="125" spans="1:13">
      <c r="A125" s="2963" t="s">
        <v>3182</v>
      </c>
      <c r="B125" s="2963" t="s">
        <v>3195</v>
      </c>
      <c r="D125" s="2963">
        <v>-73</v>
      </c>
      <c r="E125" s="2963" t="s">
        <v>3224</v>
      </c>
      <c r="F125" s="2966">
        <v>1636318</v>
      </c>
      <c r="G125" s="2995">
        <v>55.89</v>
      </c>
      <c r="H125" s="2963" t="s">
        <v>3185</v>
      </c>
      <c r="I125" s="2963" t="s">
        <v>3086</v>
      </c>
      <c r="K125" s="2968" t="s">
        <v>3225</v>
      </c>
      <c r="L125" s="3335"/>
      <c r="M125" s="2963">
        <f t="shared" si="1"/>
        <v>29277.473608874574</v>
      </c>
    </row>
    <row r="126" spans="1:13">
      <c r="A126" s="2963" t="s">
        <v>3182</v>
      </c>
      <c r="B126" s="2963" t="s">
        <v>3195</v>
      </c>
      <c r="D126" s="2963">
        <v>-74</v>
      </c>
      <c r="E126" s="2963" t="s">
        <v>3226</v>
      </c>
      <c r="F126" s="2966">
        <v>1713115</v>
      </c>
      <c r="G126" s="2995">
        <v>58.51</v>
      </c>
      <c r="H126" s="2963" t="s">
        <v>3185</v>
      </c>
      <c r="I126" s="2963" t="s">
        <v>3086</v>
      </c>
      <c r="K126" s="2968" t="s">
        <v>3227</v>
      </c>
      <c r="L126" s="3335"/>
      <c r="M126" s="2963">
        <f t="shared" si="1"/>
        <v>29279.012134677832</v>
      </c>
    </row>
    <row r="127" spans="1:13">
      <c r="A127" s="2963" t="s">
        <v>3182</v>
      </c>
      <c r="B127" s="2963" t="s">
        <v>3195</v>
      </c>
      <c r="D127" s="2963">
        <v>-94</v>
      </c>
      <c r="E127" s="2963" t="s">
        <v>3228</v>
      </c>
      <c r="F127" s="2966">
        <v>1584405</v>
      </c>
      <c r="G127" s="2995">
        <v>51.2</v>
      </c>
      <c r="H127" s="2963" t="s">
        <v>3185</v>
      </c>
      <c r="I127" s="2963" t="s">
        <v>3086</v>
      </c>
      <c r="K127" s="2968" t="s">
        <v>3229</v>
      </c>
      <c r="L127" s="3335"/>
      <c r="M127" s="2963">
        <f t="shared" si="1"/>
        <v>30945.41015625</v>
      </c>
    </row>
    <row r="128" spans="1:13">
      <c r="A128" s="2963" t="s">
        <v>3182</v>
      </c>
      <c r="B128" s="2963" t="s">
        <v>3195</v>
      </c>
      <c r="D128" s="2963">
        <v>-142</v>
      </c>
      <c r="E128" s="2963" t="s">
        <v>3230</v>
      </c>
      <c r="F128" s="2966">
        <v>2255229</v>
      </c>
      <c r="G128" s="2995">
        <v>76.95</v>
      </c>
      <c r="H128" s="2963" t="s">
        <v>3185</v>
      </c>
      <c r="I128" s="2963" t="s">
        <v>3086</v>
      </c>
      <c r="K128" s="2968" t="s">
        <v>3231</v>
      </c>
      <c r="L128" s="3335"/>
      <c r="M128" s="2963">
        <f t="shared" si="1"/>
        <v>29307.719298245614</v>
      </c>
    </row>
    <row r="129" spans="1:13">
      <c r="A129" s="2963" t="s">
        <v>3182</v>
      </c>
      <c r="B129" s="2963" t="s">
        <v>3195</v>
      </c>
      <c r="D129" s="2963">
        <v>-143</v>
      </c>
      <c r="E129" s="2963" t="s">
        <v>3232</v>
      </c>
      <c r="F129" s="2966">
        <v>2018709</v>
      </c>
      <c r="G129" s="2995">
        <v>70.03</v>
      </c>
      <c r="H129" s="2963" t="s">
        <v>3185</v>
      </c>
      <c r="I129" s="2963" t="s">
        <v>3086</v>
      </c>
      <c r="K129" s="2968" t="s">
        <v>3233</v>
      </c>
      <c r="L129" s="3335"/>
      <c r="M129" s="2963">
        <f t="shared" si="1"/>
        <v>28826.345851777809</v>
      </c>
    </row>
    <row r="130" spans="1:13">
      <c r="A130" s="2963" t="s">
        <v>3182</v>
      </c>
      <c r="B130" s="2963" t="s">
        <v>3195</v>
      </c>
      <c r="D130" s="2963">
        <v>-144</v>
      </c>
      <c r="E130" s="2963" t="s">
        <v>3234</v>
      </c>
      <c r="F130" s="2966">
        <v>1659188</v>
      </c>
      <c r="G130" s="2995">
        <v>58.35</v>
      </c>
      <c r="H130" s="2963" t="s">
        <v>3185</v>
      </c>
      <c r="I130" s="2963" t="s">
        <v>3086</v>
      </c>
      <c r="K130" s="2968" t="s">
        <v>3235</v>
      </c>
      <c r="L130" s="3335"/>
      <c r="M130" s="2963">
        <f t="shared" si="1"/>
        <v>28435.098543273351</v>
      </c>
    </row>
    <row r="131" spans="1:13">
      <c r="A131" s="2963" t="s">
        <v>3182</v>
      </c>
      <c r="B131" s="2963" t="s">
        <v>3195</v>
      </c>
      <c r="D131" s="2963">
        <v>-145</v>
      </c>
      <c r="E131" s="2963" t="s">
        <v>3236</v>
      </c>
      <c r="F131" s="2966">
        <v>1946156</v>
      </c>
      <c r="G131" s="2995">
        <v>67.52</v>
      </c>
      <c r="H131" s="2963" t="s">
        <v>3185</v>
      </c>
      <c r="I131" s="2963" t="s">
        <v>3086</v>
      </c>
      <c r="K131" s="2968" t="s">
        <v>3237</v>
      </c>
      <c r="L131" s="3335"/>
      <c r="M131" s="2963">
        <f t="shared" si="1"/>
        <v>28823.400473933652</v>
      </c>
    </row>
    <row r="132" spans="1:13">
      <c r="A132" s="2963" t="s">
        <v>3182</v>
      </c>
      <c r="B132" s="2963" t="s">
        <v>3195</v>
      </c>
      <c r="D132" s="2963">
        <v>-146</v>
      </c>
      <c r="E132" s="2963" t="s">
        <v>3238</v>
      </c>
      <c r="F132" s="2966">
        <v>967918</v>
      </c>
      <c r="G132" s="2995">
        <v>31.47</v>
      </c>
      <c r="H132" s="2963" t="s">
        <v>3185</v>
      </c>
      <c r="I132" s="2963" t="s">
        <v>3086</v>
      </c>
      <c r="K132" s="2968" t="s">
        <v>3239</v>
      </c>
      <c r="L132" s="3335"/>
      <c r="M132" s="2963">
        <f t="shared" ref="M132:M195" si="2">F132/G132</f>
        <v>30756.847791547505</v>
      </c>
    </row>
    <row r="133" spans="1:13">
      <c r="A133" s="2963" t="s">
        <v>3182</v>
      </c>
      <c r="B133" s="2963" t="s">
        <v>3195</v>
      </c>
      <c r="D133" s="2963">
        <v>-147</v>
      </c>
      <c r="E133" s="2963" t="s">
        <v>3240</v>
      </c>
      <c r="F133" s="2966">
        <v>1512513</v>
      </c>
      <c r="G133" s="2995">
        <v>53.19</v>
      </c>
      <c r="H133" s="2963" t="s">
        <v>3185</v>
      </c>
      <c r="I133" s="2963" t="s">
        <v>3086</v>
      </c>
      <c r="K133" s="2968" t="s">
        <v>3241</v>
      </c>
      <c r="L133" s="3335"/>
      <c r="M133" s="2963">
        <f t="shared" si="2"/>
        <v>28436.040609137057</v>
      </c>
    </row>
    <row r="134" spans="1:13">
      <c r="A134" s="2963" t="s">
        <v>3182</v>
      </c>
      <c r="B134" s="2963" t="s">
        <v>3195</v>
      </c>
      <c r="D134" s="2963">
        <v>-148</v>
      </c>
      <c r="E134" s="2963" t="s">
        <v>3242</v>
      </c>
      <c r="F134" s="2966">
        <v>1202688</v>
      </c>
      <c r="G134" s="2995">
        <v>38.49</v>
      </c>
      <c r="H134" s="2963" t="s">
        <v>3185</v>
      </c>
      <c r="I134" s="2963" t="s">
        <v>3086</v>
      </c>
      <c r="K134" s="2968" t="s">
        <v>3243</v>
      </c>
      <c r="L134" s="3335"/>
      <c r="M134" s="2963">
        <f t="shared" si="2"/>
        <v>31246.765393608726</v>
      </c>
    </row>
    <row r="135" spans="1:13">
      <c r="A135" s="2963" t="s">
        <v>3182</v>
      </c>
      <c r="B135" s="2963" t="s">
        <v>3195</v>
      </c>
      <c r="D135" s="2963">
        <v>-149</v>
      </c>
      <c r="E135" s="2963" t="s">
        <v>3244</v>
      </c>
      <c r="F135" s="2966">
        <v>1418403</v>
      </c>
      <c r="G135" s="2995">
        <v>55.56</v>
      </c>
      <c r="H135" s="2963" t="s">
        <v>3185</v>
      </c>
      <c r="I135" s="2963" t="s">
        <v>3086</v>
      </c>
      <c r="K135" s="2968" t="s">
        <v>3245</v>
      </c>
      <c r="L135" s="3335"/>
      <c r="M135" s="2963">
        <f t="shared" si="2"/>
        <v>25529.211663066955</v>
      </c>
    </row>
    <row r="136" spans="1:13">
      <c r="A136" s="2963" t="s">
        <v>3182</v>
      </c>
      <c r="B136" s="2963" t="s">
        <v>3195</v>
      </c>
      <c r="D136" s="2963">
        <v>-150</v>
      </c>
      <c r="E136" s="2963" t="s">
        <v>3246</v>
      </c>
      <c r="F136" s="2966">
        <v>1347384</v>
      </c>
      <c r="G136" s="2995">
        <v>48.38</v>
      </c>
      <c r="H136" s="2963" t="s">
        <v>3185</v>
      </c>
      <c r="I136" s="2963" t="s">
        <v>3086</v>
      </c>
      <c r="K136" s="2968" t="s">
        <v>3247</v>
      </c>
      <c r="L136" s="3335"/>
      <c r="M136" s="2963">
        <f t="shared" si="2"/>
        <v>27850.02066969822</v>
      </c>
    </row>
    <row r="137" spans="1:13">
      <c r="A137" s="2963" t="s">
        <v>3182</v>
      </c>
      <c r="B137" s="2963" t="s">
        <v>3195</v>
      </c>
      <c r="D137" s="2963">
        <v>-151</v>
      </c>
      <c r="E137" s="2963" t="s">
        <v>3248</v>
      </c>
      <c r="F137" s="2966">
        <v>1653987</v>
      </c>
      <c r="G137" s="2995">
        <v>59.38</v>
      </c>
      <c r="H137" s="2963" t="s">
        <v>3185</v>
      </c>
      <c r="I137" s="2963" t="s">
        <v>3086</v>
      </c>
      <c r="K137" s="2968" t="s">
        <v>3249</v>
      </c>
      <c r="L137" s="3335"/>
      <c r="M137" s="2963">
        <f t="shared" si="2"/>
        <v>27854.277534523408</v>
      </c>
    </row>
    <row r="138" spans="1:13">
      <c r="A138" s="2963" t="s">
        <v>3182</v>
      </c>
      <c r="B138" s="2963" t="s">
        <v>3195</v>
      </c>
      <c r="D138" s="2963">
        <v>-152</v>
      </c>
      <c r="E138" s="2963" t="s">
        <v>3250</v>
      </c>
      <c r="F138" s="2966">
        <v>1710867</v>
      </c>
      <c r="G138" s="2995">
        <v>62.29</v>
      </c>
      <c r="H138" s="2963" t="s">
        <v>3185</v>
      </c>
      <c r="I138" s="2963" t="s">
        <v>3086</v>
      </c>
      <c r="K138" s="2968" t="s">
        <v>3251</v>
      </c>
      <c r="L138" s="3335"/>
      <c r="M138" s="2963">
        <f t="shared" si="2"/>
        <v>27466.158291860651</v>
      </c>
    </row>
    <row r="139" spans="1:13">
      <c r="A139" s="2963" t="s">
        <v>3182</v>
      </c>
      <c r="B139" s="2963" t="s">
        <v>3195</v>
      </c>
      <c r="D139" s="2963">
        <v>-52</v>
      </c>
      <c r="E139" s="2963" t="s">
        <v>3252</v>
      </c>
      <c r="F139" s="2966">
        <v>1994152</v>
      </c>
      <c r="G139" s="2995">
        <v>50.08</v>
      </c>
      <c r="H139" s="2963" t="s">
        <v>3185</v>
      </c>
      <c r="I139" s="2963" t="s">
        <v>3086</v>
      </c>
      <c r="K139" s="2969" t="s">
        <v>3253</v>
      </c>
      <c r="L139" s="3336" t="s">
        <v>3254</v>
      </c>
      <c r="M139" s="2963">
        <f t="shared" si="2"/>
        <v>39819.329073482426</v>
      </c>
    </row>
    <row r="140" spans="1:13">
      <c r="A140" s="2963" t="s">
        <v>3182</v>
      </c>
      <c r="B140" s="2963" t="s">
        <v>3195</v>
      </c>
      <c r="D140" s="2963">
        <v>-53</v>
      </c>
      <c r="E140" s="2963" t="s">
        <v>3255</v>
      </c>
      <c r="F140" s="2966">
        <v>1900389</v>
      </c>
      <c r="G140" s="2995">
        <v>47.7</v>
      </c>
      <c r="H140" s="2963" t="s">
        <v>3185</v>
      </c>
      <c r="I140" s="2963" t="s">
        <v>3086</v>
      </c>
      <c r="K140" s="2969" t="s">
        <v>3256</v>
      </c>
      <c r="L140" s="3337"/>
      <c r="M140" s="2963">
        <f t="shared" si="2"/>
        <v>39840.440251572327</v>
      </c>
    </row>
    <row r="141" spans="1:13">
      <c r="A141" s="2963" t="s">
        <v>3182</v>
      </c>
      <c r="B141" s="2963" t="s">
        <v>3195</v>
      </c>
      <c r="D141" s="2963">
        <v>-54</v>
      </c>
      <c r="E141" s="2963" t="s">
        <v>3257</v>
      </c>
      <c r="F141" s="2966">
        <v>1407637</v>
      </c>
      <c r="G141" s="2995">
        <v>35.340000000000003</v>
      </c>
      <c r="H141" s="2963" t="s">
        <v>3185</v>
      </c>
      <c r="I141" s="2963" t="s">
        <v>3086</v>
      </c>
      <c r="K141" s="2969" t="s">
        <v>3258</v>
      </c>
      <c r="L141" s="3337"/>
      <c r="M141" s="2963">
        <f t="shared" si="2"/>
        <v>39831.267685342384</v>
      </c>
    </row>
    <row r="142" spans="1:13">
      <c r="A142" s="2963" t="s">
        <v>3182</v>
      </c>
      <c r="B142" s="2963" t="s">
        <v>3195</v>
      </c>
      <c r="D142" s="2963">
        <v>-55</v>
      </c>
      <c r="E142" s="2963" t="s">
        <v>3259</v>
      </c>
      <c r="F142" s="2966">
        <v>1407637</v>
      </c>
      <c r="G142" s="2995">
        <v>35.340000000000003</v>
      </c>
      <c r="H142" s="2963" t="s">
        <v>3185</v>
      </c>
      <c r="I142" s="2963" t="s">
        <v>3086</v>
      </c>
      <c r="K142" s="2969" t="s">
        <v>3258</v>
      </c>
      <c r="L142" s="3337"/>
      <c r="M142" s="2963">
        <f t="shared" si="2"/>
        <v>39831.267685342384</v>
      </c>
    </row>
    <row r="143" spans="1:13">
      <c r="A143" s="2963" t="s">
        <v>3182</v>
      </c>
      <c r="B143" s="2963" t="s">
        <v>3195</v>
      </c>
      <c r="D143" s="2963">
        <v>-56</v>
      </c>
      <c r="E143" s="2963" t="s">
        <v>3260</v>
      </c>
      <c r="F143" s="2966">
        <v>1478258</v>
      </c>
      <c r="G143" s="2995">
        <v>37.11</v>
      </c>
      <c r="H143" s="2963" t="s">
        <v>3185</v>
      </c>
      <c r="I143" s="2963" t="s">
        <v>3086</v>
      </c>
      <c r="K143" s="2969" t="s">
        <v>3261</v>
      </c>
      <c r="L143" s="3337"/>
      <c r="M143" s="2963">
        <f t="shared" si="2"/>
        <v>39834.492050660199</v>
      </c>
    </row>
    <row r="144" spans="1:13">
      <c r="A144" s="2963" t="s">
        <v>3182</v>
      </c>
      <c r="B144" s="2963" t="s">
        <v>3195</v>
      </c>
      <c r="D144" s="2963">
        <v>-57</v>
      </c>
      <c r="E144" s="2963" t="s">
        <v>3262</v>
      </c>
      <c r="F144" s="2966">
        <v>2845614</v>
      </c>
      <c r="G144" s="2995">
        <v>74.8</v>
      </c>
      <c r="H144" s="2963" t="s">
        <v>3185</v>
      </c>
      <c r="I144" s="2963" t="s">
        <v>3086</v>
      </c>
      <c r="K144" s="2969" t="s">
        <v>3263</v>
      </c>
      <c r="L144" s="3337"/>
      <c r="M144" s="2963">
        <f t="shared" si="2"/>
        <v>38042.967914438501</v>
      </c>
    </row>
    <row r="145" spans="1:13">
      <c r="A145" s="2963" t="s">
        <v>3182</v>
      </c>
      <c r="B145" s="2963" t="s">
        <v>3195</v>
      </c>
      <c r="D145" s="2963">
        <v>-58</v>
      </c>
      <c r="E145" s="2963" t="s">
        <v>3264</v>
      </c>
      <c r="F145" s="2966">
        <v>3930126</v>
      </c>
      <c r="G145" s="2995">
        <v>114.2</v>
      </c>
      <c r="H145" s="2963" t="s">
        <v>3185</v>
      </c>
      <c r="I145" s="2963" t="s">
        <v>3086</v>
      </c>
      <c r="K145" s="2969" t="s">
        <v>3265</v>
      </c>
      <c r="L145" s="3337"/>
      <c r="M145" s="2963">
        <f t="shared" si="2"/>
        <v>34414.413309982483</v>
      </c>
    </row>
    <row r="146" spans="1:13">
      <c r="A146" s="2963" t="s">
        <v>3182</v>
      </c>
      <c r="B146" s="2963" t="s">
        <v>3195</v>
      </c>
      <c r="D146" s="2963">
        <v>-59</v>
      </c>
      <c r="E146" s="2963" t="s">
        <v>3266</v>
      </c>
      <c r="F146" s="2966">
        <v>2200037</v>
      </c>
      <c r="G146" s="2995">
        <v>58.11</v>
      </c>
      <c r="H146" s="2963" t="s">
        <v>3185</v>
      </c>
      <c r="I146" s="2963" t="s">
        <v>3086</v>
      </c>
      <c r="K146" s="2969" t="s">
        <v>3267</v>
      </c>
      <c r="L146" s="3337"/>
      <c r="M146" s="2963">
        <f t="shared" si="2"/>
        <v>37859.869213560487</v>
      </c>
    </row>
    <row r="147" spans="1:13">
      <c r="A147" s="2963" t="s">
        <v>3182</v>
      </c>
      <c r="B147" s="2963" t="s">
        <v>3195</v>
      </c>
      <c r="D147" s="2963">
        <v>-60</v>
      </c>
      <c r="E147" s="2963" t="s">
        <v>3268</v>
      </c>
      <c r="F147" s="2966">
        <v>3466243</v>
      </c>
      <c r="G147" s="2995">
        <v>91.56</v>
      </c>
      <c r="H147" s="2963" t="s">
        <v>3185</v>
      </c>
      <c r="I147" s="2963" t="s">
        <v>3086</v>
      </c>
      <c r="K147" s="2969" t="s">
        <v>3269</v>
      </c>
      <c r="L147" s="3337"/>
      <c r="M147" s="2963">
        <f t="shared" si="2"/>
        <v>37857.612494539098</v>
      </c>
    </row>
    <row r="148" spans="1:13">
      <c r="A148" s="2963" t="s">
        <v>3182</v>
      </c>
      <c r="B148" s="2963" t="s">
        <v>3195</v>
      </c>
      <c r="D148" s="2963">
        <v>-61</v>
      </c>
      <c r="E148" s="2963" t="s">
        <v>3270</v>
      </c>
      <c r="F148" s="2966">
        <v>3466243</v>
      </c>
      <c r="G148" s="2995">
        <v>91.56</v>
      </c>
      <c r="H148" s="2963" t="s">
        <v>3185</v>
      </c>
      <c r="I148" s="2963" t="s">
        <v>3086</v>
      </c>
      <c r="K148" s="2969" t="s">
        <v>3269</v>
      </c>
      <c r="L148" s="3337"/>
      <c r="M148" s="2963">
        <f t="shared" si="2"/>
        <v>37857.612494539098</v>
      </c>
    </row>
    <row r="149" spans="1:13">
      <c r="A149" s="2963" t="s">
        <v>3182</v>
      </c>
      <c r="B149" s="2963" t="s">
        <v>3195</v>
      </c>
      <c r="D149" s="2963">
        <v>-62</v>
      </c>
      <c r="E149" s="2963" t="s">
        <v>3271</v>
      </c>
      <c r="F149" s="2966">
        <v>2200037</v>
      </c>
      <c r="G149" s="2995">
        <v>58.11</v>
      </c>
      <c r="H149" s="2963" t="s">
        <v>3185</v>
      </c>
      <c r="I149" s="2963" t="s">
        <v>3086</v>
      </c>
      <c r="K149" s="2969" t="s">
        <v>3267</v>
      </c>
      <c r="L149" s="3337"/>
      <c r="M149" s="2963">
        <f t="shared" si="2"/>
        <v>37859.869213560487</v>
      </c>
    </row>
    <row r="150" spans="1:13">
      <c r="A150" s="2963" t="s">
        <v>3182</v>
      </c>
      <c r="B150" s="2963" t="s">
        <v>3195</v>
      </c>
      <c r="D150" s="2963">
        <v>-63</v>
      </c>
      <c r="E150" s="2963" t="s">
        <v>3272</v>
      </c>
      <c r="F150" s="2966">
        <v>2200037</v>
      </c>
      <c r="G150" s="2995">
        <v>58.11</v>
      </c>
      <c r="H150" s="2963" t="s">
        <v>3185</v>
      </c>
      <c r="I150" s="2963" t="s">
        <v>3086</v>
      </c>
      <c r="K150" s="2969" t="s">
        <v>3267</v>
      </c>
      <c r="L150" s="3337"/>
      <c r="M150" s="2963">
        <f t="shared" si="2"/>
        <v>37859.869213560487</v>
      </c>
    </row>
    <row r="151" spans="1:13">
      <c r="A151" s="2963" t="s">
        <v>3182</v>
      </c>
      <c r="B151" s="2963" t="s">
        <v>3195</v>
      </c>
      <c r="D151" s="2963">
        <v>-64</v>
      </c>
      <c r="E151" s="2963" t="s">
        <v>3273</v>
      </c>
      <c r="F151" s="2966">
        <v>2699546</v>
      </c>
      <c r="G151" s="2995">
        <v>71.31</v>
      </c>
      <c r="H151" s="2963" t="s">
        <v>3185</v>
      </c>
      <c r="I151" s="2963" t="s">
        <v>3086</v>
      </c>
      <c r="K151" s="2969" t="s">
        <v>3274</v>
      </c>
      <c r="L151" s="3337"/>
      <c r="M151" s="2963">
        <f t="shared" si="2"/>
        <v>37856.485766372178</v>
      </c>
    </row>
    <row r="152" spans="1:13">
      <c r="A152" s="2963" t="s">
        <v>3182</v>
      </c>
      <c r="B152" s="2963" t="s">
        <v>3195</v>
      </c>
      <c r="D152" s="2963">
        <v>-65</v>
      </c>
      <c r="E152" s="2963" t="s">
        <v>3275</v>
      </c>
      <c r="F152" s="2966">
        <v>2699546</v>
      </c>
      <c r="G152" s="2995">
        <v>71.31</v>
      </c>
      <c r="H152" s="2963" t="s">
        <v>3185</v>
      </c>
      <c r="I152" s="2963" t="s">
        <v>3086</v>
      </c>
      <c r="K152" s="2969" t="s">
        <v>3274</v>
      </c>
      <c r="L152" s="3337"/>
      <c r="M152" s="2963">
        <f t="shared" si="2"/>
        <v>37856.485766372178</v>
      </c>
    </row>
    <row r="153" spans="1:13">
      <c r="A153" s="2963" t="s">
        <v>3182</v>
      </c>
      <c r="B153" s="2963" t="s">
        <v>3195</v>
      </c>
      <c r="D153" s="2963">
        <v>-66</v>
      </c>
      <c r="E153" s="2963" t="s">
        <v>3276</v>
      </c>
      <c r="F153" s="2966">
        <v>3533324</v>
      </c>
      <c r="G153" s="2995">
        <v>93.33</v>
      </c>
      <c r="H153" s="2963" t="s">
        <v>3185</v>
      </c>
      <c r="I153" s="2963" t="s">
        <v>3086</v>
      </c>
      <c r="K153" s="2969" t="s">
        <v>3277</v>
      </c>
      <c r="L153" s="3337"/>
      <c r="M153" s="2963">
        <f t="shared" si="2"/>
        <v>37858.394942676525</v>
      </c>
    </row>
    <row r="154" spans="1:13">
      <c r="A154" s="2963" t="s">
        <v>3182</v>
      </c>
      <c r="B154" s="2963" t="s">
        <v>3195</v>
      </c>
      <c r="D154" s="2963">
        <v>-67</v>
      </c>
      <c r="E154" s="2963" t="s">
        <v>3278</v>
      </c>
      <c r="F154" s="2966">
        <v>2699546</v>
      </c>
      <c r="G154" s="2995">
        <v>71.31</v>
      </c>
      <c r="H154" s="2963" t="s">
        <v>3185</v>
      </c>
      <c r="I154" s="2963" t="s">
        <v>3086</v>
      </c>
      <c r="K154" s="2969" t="s">
        <v>3274</v>
      </c>
      <c r="L154" s="3337"/>
      <c r="M154" s="2963">
        <f t="shared" si="2"/>
        <v>37856.485766372178</v>
      </c>
    </row>
    <row r="155" spans="1:13">
      <c r="A155" s="2963" t="s">
        <v>3182</v>
      </c>
      <c r="B155" s="2963" t="s">
        <v>3195</v>
      </c>
      <c r="D155" s="2963">
        <v>-68</v>
      </c>
      <c r="E155" s="2963" t="s">
        <v>3279</v>
      </c>
      <c r="F155" s="2966">
        <v>2699546</v>
      </c>
      <c r="G155" s="2995">
        <v>71.31</v>
      </c>
      <c r="H155" s="2963" t="s">
        <v>3185</v>
      </c>
      <c r="I155" s="2963" t="s">
        <v>3086</v>
      </c>
      <c r="K155" s="2969" t="s">
        <v>3274</v>
      </c>
      <c r="L155" s="3337"/>
      <c r="M155" s="2963">
        <f t="shared" si="2"/>
        <v>37856.485766372178</v>
      </c>
    </row>
    <row r="156" spans="1:13">
      <c r="A156" s="2963" t="s">
        <v>3182</v>
      </c>
      <c r="B156" s="2963" t="s">
        <v>3195</v>
      </c>
      <c r="D156" s="2963">
        <v>-69</v>
      </c>
      <c r="E156" s="2963" t="s">
        <v>3280</v>
      </c>
      <c r="F156" s="2966">
        <v>2132956</v>
      </c>
      <c r="G156" s="2995">
        <v>56.34</v>
      </c>
      <c r="H156" s="2963" t="s">
        <v>3185</v>
      </c>
      <c r="I156" s="2963" t="s">
        <v>3086</v>
      </c>
      <c r="K156" s="2969" t="s">
        <v>3281</v>
      </c>
      <c r="L156" s="3337"/>
      <c r="M156" s="2963">
        <f t="shared" si="2"/>
        <v>37858.643947461838</v>
      </c>
    </row>
    <row r="157" spans="1:13">
      <c r="A157" s="2963" t="s">
        <v>3182</v>
      </c>
      <c r="B157" s="2963" t="s">
        <v>3195</v>
      </c>
      <c r="D157" s="2963">
        <v>-70</v>
      </c>
      <c r="E157" s="2963" t="s">
        <v>3282</v>
      </c>
      <c r="F157" s="2966">
        <v>2132956</v>
      </c>
      <c r="G157" s="2995">
        <v>56.34</v>
      </c>
      <c r="H157" s="2963" t="s">
        <v>3185</v>
      </c>
      <c r="I157" s="2963" t="s">
        <v>3086</v>
      </c>
      <c r="K157" s="2969" t="s">
        <v>3281</v>
      </c>
      <c r="L157" s="3337"/>
      <c r="M157" s="2963">
        <f t="shared" si="2"/>
        <v>37858.643947461838</v>
      </c>
    </row>
    <row r="158" spans="1:13">
      <c r="A158" s="2963" t="s">
        <v>3182</v>
      </c>
      <c r="B158" s="2963" t="s">
        <v>3195</v>
      </c>
      <c r="D158" s="2963">
        <v>-71</v>
      </c>
      <c r="E158" s="2963" t="s">
        <v>3283</v>
      </c>
      <c r="F158" s="2966">
        <v>2832950</v>
      </c>
      <c r="G158" s="2995">
        <v>74.84</v>
      </c>
      <c r="H158" s="2963" t="s">
        <v>3185</v>
      </c>
      <c r="I158" s="2963" t="s">
        <v>3086</v>
      </c>
      <c r="K158" s="2969" t="s">
        <v>3284</v>
      </c>
      <c r="L158" s="3337"/>
      <c r="M158" s="2963">
        <f t="shared" si="2"/>
        <v>37853.420630678782</v>
      </c>
    </row>
    <row r="159" spans="1:13">
      <c r="A159" s="2963" t="s">
        <v>3182</v>
      </c>
      <c r="B159" s="2963" t="s">
        <v>3195</v>
      </c>
      <c r="D159" s="2963">
        <v>-72</v>
      </c>
      <c r="E159" s="2963" t="s">
        <v>3285</v>
      </c>
      <c r="F159" s="2966">
        <v>2832950</v>
      </c>
      <c r="G159" s="2995">
        <v>74.84</v>
      </c>
      <c r="H159" s="2963" t="s">
        <v>3185</v>
      </c>
      <c r="I159" s="2963" t="s">
        <v>3086</v>
      </c>
      <c r="K159" s="2969" t="s">
        <v>3284</v>
      </c>
      <c r="L159" s="3337"/>
      <c r="M159" s="2963">
        <f t="shared" si="2"/>
        <v>37853.420630678782</v>
      </c>
    </row>
    <row r="160" spans="1:13">
      <c r="A160" s="2963" t="s">
        <v>3182</v>
      </c>
      <c r="B160" s="2963" t="s">
        <v>3195</v>
      </c>
      <c r="D160" s="2963">
        <v>-73</v>
      </c>
      <c r="E160" s="2963" t="s">
        <v>3286</v>
      </c>
      <c r="F160" s="2966">
        <v>2207996</v>
      </c>
      <c r="G160" s="2995">
        <v>58.28</v>
      </c>
      <c r="H160" s="2963" t="s">
        <v>3185</v>
      </c>
      <c r="I160" s="2963" t="s">
        <v>3086</v>
      </c>
      <c r="K160" s="2969" t="s">
        <v>3287</v>
      </c>
      <c r="L160" s="3337"/>
      <c r="M160" s="2963">
        <f t="shared" si="2"/>
        <v>37885.998627316403</v>
      </c>
    </row>
    <row r="161" spans="1:13">
      <c r="A161" s="2963" t="s">
        <v>3182</v>
      </c>
      <c r="B161" s="2963" t="s">
        <v>3195</v>
      </c>
      <c r="D161" s="2963">
        <v>-74</v>
      </c>
      <c r="E161" s="2963" t="s">
        <v>3288</v>
      </c>
      <c r="F161" s="2966">
        <v>2212923</v>
      </c>
      <c r="G161" s="2995">
        <v>58.38</v>
      </c>
      <c r="H161" s="2963" t="s">
        <v>3185</v>
      </c>
      <c r="I161" s="2963" t="s">
        <v>3086</v>
      </c>
      <c r="K161" s="2969" t="s">
        <v>3289</v>
      </c>
      <c r="L161" s="3337"/>
      <c r="M161" s="2963">
        <f t="shared" si="2"/>
        <v>37905.498458376154</v>
      </c>
    </row>
    <row r="162" spans="1:13">
      <c r="A162" s="2963" t="s">
        <v>3182</v>
      </c>
      <c r="B162" s="2963" t="s">
        <v>3195</v>
      </c>
      <c r="D162" s="2963">
        <v>-75</v>
      </c>
      <c r="E162" s="2963" t="s">
        <v>3290</v>
      </c>
      <c r="F162" s="2966">
        <v>1126349</v>
      </c>
      <c r="G162" s="2995">
        <v>28.22</v>
      </c>
      <c r="H162" s="2963" t="s">
        <v>3185</v>
      </c>
      <c r="I162" s="2963" t="s">
        <v>3086</v>
      </c>
      <c r="K162" s="2969" t="s">
        <v>3291</v>
      </c>
      <c r="L162" s="3337"/>
      <c r="M162" s="2963">
        <f t="shared" si="2"/>
        <v>39913.146704464918</v>
      </c>
    </row>
    <row r="163" spans="1:13">
      <c r="A163" s="2963" t="s">
        <v>3182</v>
      </c>
      <c r="B163" s="2963" t="s">
        <v>3195</v>
      </c>
      <c r="D163" s="2963">
        <v>-76</v>
      </c>
      <c r="E163" s="2963" t="s">
        <v>3292</v>
      </c>
      <c r="F163" s="2966">
        <v>1161061</v>
      </c>
      <c r="G163" s="2995">
        <v>29.1</v>
      </c>
      <c r="H163" s="2963" t="s">
        <v>3185</v>
      </c>
      <c r="I163" s="2963" t="s">
        <v>3086</v>
      </c>
      <c r="K163" s="2969" t="s">
        <v>3293</v>
      </c>
      <c r="L163" s="3337"/>
      <c r="M163" s="2963">
        <f t="shared" si="2"/>
        <v>39899.003436426116</v>
      </c>
    </row>
    <row r="164" spans="1:13">
      <c r="A164" s="2963" t="s">
        <v>3182</v>
      </c>
      <c r="B164" s="2963" t="s">
        <v>3195</v>
      </c>
      <c r="D164" s="2963">
        <v>-77</v>
      </c>
      <c r="E164" s="2963" t="s">
        <v>3294</v>
      </c>
      <c r="F164" s="2966">
        <v>1941566</v>
      </c>
      <c r="G164" s="2995">
        <v>51.22</v>
      </c>
      <c r="H164" s="2963" t="s">
        <v>3185</v>
      </c>
      <c r="I164" s="2963" t="s">
        <v>3086</v>
      </c>
      <c r="K164" s="2969" t="s">
        <v>3295</v>
      </c>
      <c r="L164" s="3337"/>
      <c r="M164" s="2963">
        <f t="shared" si="2"/>
        <v>37906.403748535726</v>
      </c>
    </row>
    <row r="165" spans="1:13">
      <c r="A165" s="2963" t="s">
        <v>3182</v>
      </c>
      <c r="B165" s="2963" t="s">
        <v>3195</v>
      </c>
      <c r="D165" s="2963">
        <v>-78</v>
      </c>
      <c r="E165" s="2963" t="s">
        <v>3296</v>
      </c>
      <c r="F165" s="2966">
        <v>1926723</v>
      </c>
      <c r="G165" s="2995">
        <v>48.6</v>
      </c>
      <c r="H165" s="2963" t="s">
        <v>3185</v>
      </c>
      <c r="I165" s="2963" t="s">
        <v>3086</v>
      </c>
      <c r="K165" s="2969" t="s">
        <v>3297</v>
      </c>
      <c r="L165" s="3337"/>
      <c r="M165" s="2963">
        <f t="shared" si="2"/>
        <v>39644.506172839509</v>
      </c>
    </row>
    <row r="166" spans="1:13">
      <c r="A166" s="2963" t="s">
        <v>3182</v>
      </c>
      <c r="B166" s="2963" t="s">
        <v>3195</v>
      </c>
      <c r="D166" s="2963">
        <v>-79</v>
      </c>
      <c r="E166" s="2963" t="s">
        <v>3298</v>
      </c>
      <c r="F166" s="2966">
        <v>2245895</v>
      </c>
      <c r="G166" s="2995">
        <v>59.67</v>
      </c>
      <c r="H166" s="2963" t="s">
        <v>3185</v>
      </c>
      <c r="I166" s="2963" t="s">
        <v>3086</v>
      </c>
      <c r="K166" s="2969" t="s">
        <v>3299</v>
      </c>
      <c r="L166" s="3337"/>
      <c r="M166" s="2963">
        <f t="shared" si="2"/>
        <v>37638.595609183845</v>
      </c>
    </row>
    <row r="167" spans="1:13">
      <c r="A167" s="2963" t="s">
        <v>3182</v>
      </c>
      <c r="B167" s="2963" t="s">
        <v>3195</v>
      </c>
      <c r="D167" s="2963">
        <v>-80</v>
      </c>
      <c r="E167" s="2963" t="s">
        <v>3300</v>
      </c>
      <c r="F167" s="2966">
        <v>3686436</v>
      </c>
      <c r="G167" s="2995">
        <v>97.26</v>
      </c>
      <c r="H167" s="2963" t="s">
        <v>3185</v>
      </c>
      <c r="I167" s="2963" t="s">
        <v>3086</v>
      </c>
      <c r="K167" s="2969" t="s">
        <v>3301</v>
      </c>
      <c r="L167" s="3337"/>
      <c r="M167" s="2963">
        <f t="shared" si="2"/>
        <v>37902.899444787166</v>
      </c>
    </row>
    <row r="168" spans="1:13">
      <c r="A168" s="2963" t="s">
        <v>3182</v>
      </c>
      <c r="B168" s="2963" t="s">
        <v>3195</v>
      </c>
      <c r="D168" s="2963">
        <v>-81</v>
      </c>
      <c r="E168" s="2963" t="s">
        <v>3302</v>
      </c>
      <c r="F168" s="2966">
        <v>3358230</v>
      </c>
      <c r="G168" s="2995">
        <v>88.73</v>
      </c>
      <c r="H168" s="2963" t="s">
        <v>3185</v>
      </c>
      <c r="I168" s="2963" t="s">
        <v>3086</v>
      </c>
      <c r="K168" s="2969" t="s">
        <v>3303</v>
      </c>
      <c r="L168" s="3337"/>
      <c r="M168" s="2963">
        <f t="shared" si="2"/>
        <v>37847.740335850329</v>
      </c>
    </row>
    <row r="169" spans="1:13">
      <c r="A169" s="2963" t="s">
        <v>3182</v>
      </c>
      <c r="B169" s="2963" t="s">
        <v>3195</v>
      </c>
      <c r="D169" s="2963">
        <v>-82</v>
      </c>
      <c r="E169" s="2963" t="s">
        <v>3304</v>
      </c>
      <c r="F169" s="2966">
        <v>2100319</v>
      </c>
      <c r="G169" s="2995">
        <v>56.01</v>
      </c>
      <c r="H169" s="2963" t="s">
        <v>3185</v>
      </c>
      <c r="I169" s="2963" t="s">
        <v>3086</v>
      </c>
      <c r="K169" s="2969" t="s">
        <v>3305</v>
      </c>
      <c r="L169" s="3337"/>
      <c r="M169" s="2963">
        <f t="shared" si="2"/>
        <v>37499.000178539551</v>
      </c>
    </row>
    <row r="170" spans="1:13">
      <c r="A170" s="2963" t="s">
        <v>3182</v>
      </c>
      <c r="B170" s="2963" t="s">
        <v>3195</v>
      </c>
      <c r="D170" s="2963">
        <v>-83</v>
      </c>
      <c r="E170" s="2963" t="s">
        <v>3306</v>
      </c>
      <c r="F170" s="2966">
        <v>1945874</v>
      </c>
      <c r="G170" s="2995">
        <v>48.87</v>
      </c>
      <c r="H170" s="2963" t="s">
        <v>3185</v>
      </c>
      <c r="I170" s="2963" t="s">
        <v>3086</v>
      </c>
      <c r="K170" s="2969" t="s">
        <v>3307</v>
      </c>
      <c r="L170" s="3337"/>
      <c r="M170" s="2963">
        <f t="shared" si="2"/>
        <v>39817.352158788628</v>
      </c>
    </row>
    <row r="171" spans="1:13">
      <c r="A171" s="2963" t="s">
        <v>3182</v>
      </c>
      <c r="B171" s="2963" t="s">
        <v>3195</v>
      </c>
      <c r="D171" s="2963">
        <v>-84</v>
      </c>
      <c r="E171" s="2963" t="s">
        <v>3308</v>
      </c>
      <c r="F171" s="2966">
        <v>2268634</v>
      </c>
      <c r="G171" s="2995">
        <v>60.07</v>
      </c>
      <c r="H171" s="2963" t="s">
        <v>3185</v>
      </c>
      <c r="I171" s="2963" t="s">
        <v>3086</v>
      </c>
      <c r="K171" s="2969" t="s">
        <v>3309</v>
      </c>
      <c r="L171" s="3337"/>
      <c r="M171" s="2963">
        <f t="shared" si="2"/>
        <v>37766.505743299487</v>
      </c>
    </row>
    <row r="172" spans="1:13">
      <c r="A172" s="2963" t="s">
        <v>3182</v>
      </c>
      <c r="B172" s="2963" t="s">
        <v>3195</v>
      </c>
      <c r="D172" s="2963">
        <v>-85</v>
      </c>
      <c r="E172" s="2963" t="s">
        <v>3310</v>
      </c>
      <c r="F172" s="2966">
        <v>2382331</v>
      </c>
      <c r="G172" s="2995">
        <v>63.08</v>
      </c>
      <c r="H172" s="2963" t="s">
        <v>3185</v>
      </c>
      <c r="I172" s="2963" t="s">
        <v>3086</v>
      </c>
      <c r="K172" s="2969" t="s">
        <v>3311</v>
      </c>
      <c r="L172" s="3337"/>
      <c r="M172" s="2963">
        <f t="shared" si="2"/>
        <v>37766.819911223844</v>
      </c>
    </row>
    <row r="173" spans="1:13">
      <c r="A173" s="2963" t="s">
        <v>3182</v>
      </c>
      <c r="B173" s="2963" t="s">
        <v>3195</v>
      </c>
      <c r="D173" s="2963">
        <v>-86</v>
      </c>
      <c r="E173" s="2963" t="s">
        <v>3312</v>
      </c>
      <c r="F173" s="2966">
        <v>2010696</v>
      </c>
      <c r="G173" s="2995">
        <v>53.61</v>
      </c>
      <c r="H173" s="2963" t="s">
        <v>3185</v>
      </c>
      <c r="I173" s="2963" t="s">
        <v>3086</v>
      </c>
      <c r="K173" s="2969" t="s">
        <v>3313</v>
      </c>
      <c r="L173" s="3337"/>
      <c r="M173" s="2963">
        <f t="shared" si="2"/>
        <v>37505.987688864021</v>
      </c>
    </row>
    <row r="174" spans="1:13">
      <c r="A174" s="2963" t="s">
        <v>3182</v>
      </c>
      <c r="B174" s="2963" t="s">
        <v>3195</v>
      </c>
      <c r="D174" s="2963">
        <v>-87</v>
      </c>
      <c r="E174" s="2963" t="s">
        <v>3314</v>
      </c>
      <c r="F174" s="2966">
        <v>1265596</v>
      </c>
      <c r="G174" s="2995">
        <v>31.72</v>
      </c>
      <c r="H174" s="2963" t="s">
        <v>3185</v>
      </c>
      <c r="I174" s="2963" t="s">
        <v>3086</v>
      </c>
      <c r="K174" s="2969" t="s">
        <v>3315</v>
      </c>
      <c r="L174" s="3337"/>
      <c r="M174" s="2963">
        <f t="shared" si="2"/>
        <v>39898.991172761664</v>
      </c>
    </row>
    <row r="175" spans="1:13">
      <c r="A175" s="2963" t="s">
        <v>3182</v>
      </c>
      <c r="B175" s="2963" t="s">
        <v>3195</v>
      </c>
      <c r="D175" s="2963">
        <v>-88</v>
      </c>
      <c r="E175" s="2963" t="s">
        <v>3316</v>
      </c>
      <c r="F175" s="2966">
        <v>2580543</v>
      </c>
      <c r="G175" s="2995">
        <v>68.08</v>
      </c>
      <c r="H175" s="2963" t="s">
        <v>3185</v>
      </c>
      <c r="I175" s="2963" t="s">
        <v>3086</v>
      </c>
      <c r="K175" s="2969" t="s">
        <v>3317</v>
      </c>
      <c r="L175" s="3337"/>
      <c r="M175" s="2963">
        <f t="shared" si="2"/>
        <v>37904.568155111636</v>
      </c>
    </row>
    <row r="176" spans="1:13">
      <c r="A176" s="2963" t="s">
        <v>3182</v>
      </c>
      <c r="B176" s="2963" t="s">
        <v>3195</v>
      </c>
      <c r="D176" s="2963">
        <v>-89</v>
      </c>
      <c r="E176" s="2963" t="s">
        <v>3318</v>
      </c>
      <c r="F176" s="2966">
        <v>2205691</v>
      </c>
      <c r="G176" s="2995">
        <v>58.82</v>
      </c>
      <c r="H176" s="2963" t="s">
        <v>3185</v>
      </c>
      <c r="I176" s="2963" t="s">
        <v>3086</v>
      </c>
      <c r="K176" s="2969" t="s">
        <v>3319</v>
      </c>
      <c r="L176" s="3337"/>
      <c r="M176" s="2963">
        <f t="shared" si="2"/>
        <v>37498.996939816388</v>
      </c>
    </row>
    <row r="177" spans="1:13">
      <c r="A177" s="2963" t="s">
        <v>3182</v>
      </c>
      <c r="B177" s="2963" t="s">
        <v>3195</v>
      </c>
      <c r="D177" s="2963">
        <v>-90</v>
      </c>
      <c r="E177" s="2963" t="s">
        <v>3320</v>
      </c>
      <c r="F177" s="2966">
        <v>2779134</v>
      </c>
      <c r="G177" s="2995">
        <v>73.319999999999993</v>
      </c>
      <c r="H177" s="2963" t="s">
        <v>3185</v>
      </c>
      <c r="I177" s="2963" t="s">
        <v>3086</v>
      </c>
      <c r="K177" s="2969" t="s">
        <v>3321</v>
      </c>
      <c r="L177" s="3337"/>
      <c r="M177" s="2963">
        <f t="shared" si="2"/>
        <v>37904.173486088381</v>
      </c>
    </row>
    <row r="178" spans="1:13">
      <c r="A178" s="2963" t="s">
        <v>3182</v>
      </c>
      <c r="B178" s="2963" t="s">
        <v>3195</v>
      </c>
      <c r="D178" s="2963">
        <v>-91</v>
      </c>
      <c r="E178" s="2963" t="s">
        <v>3322</v>
      </c>
      <c r="F178" s="2966">
        <v>2940962</v>
      </c>
      <c r="G178" s="2995">
        <v>77.59</v>
      </c>
      <c r="H178" s="2963" t="s">
        <v>3185</v>
      </c>
      <c r="I178" s="2963" t="s">
        <v>3086</v>
      </c>
      <c r="K178" s="2969" t="s">
        <v>3323</v>
      </c>
      <c r="L178" s="3337"/>
      <c r="M178" s="2963">
        <f t="shared" si="2"/>
        <v>37903.879365897665</v>
      </c>
    </row>
    <row r="179" spans="1:13">
      <c r="A179" s="2963" t="s">
        <v>3182</v>
      </c>
      <c r="B179" s="2963" t="s">
        <v>3195</v>
      </c>
      <c r="D179" s="2963">
        <v>-92</v>
      </c>
      <c r="E179" s="2963" t="s">
        <v>3324</v>
      </c>
      <c r="F179" s="2966">
        <v>1548081</v>
      </c>
      <c r="G179" s="2995">
        <v>38.799999999999997</v>
      </c>
      <c r="H179" s="2963" t="s">
        <v>3185</v>
      </c>
      <c r="I179" s="2963" t="s">
        <v>3086</v>
      </c>
      <c r="K179" s="2969" t="s">
        <v>3325</v>
      </c>
      <c r="L179" s="3337"/>
      <c r="M179" s="2963">
        <f t="shared" si="2"/>
        <v>39898.99484536083</v>
      </c>
    </row>
    <row r="180" spans="1:13">
      <c r="A180" s="2963" t="s">
        <v>3182</v>
      </c>
      <c r="B180" s="2963" t="s">
        <v>3195</v>
      </c>
      <c r="D180" s="2963">
        <v>-95</v>
      </c>
      <c r="E180" s="2963" t="s">
        <v>3326</v>
      </c>
      <c r="F180" s="2966">
        <v>3671883</v>
      </c>
      <c r="G180" s="2995">
        <v>83.17</v>
      </c>
      <c r="H180" s="2963" t="s">
        <v>3185</v>
      </c>
      <c r="I180" s="2963" t="s">
        <v>3086</v>
      </c>
      <c r="K180" s="2969" t="s">
        <v>3327</v>
      </c>
      <c r="L180" s="3337"/>
      <c r="M180" s="2963">
        <f t="shared" si="2"/>
        <v>44149.128291451241</v>
      </c>
    </row>
    <row r="181" spans="1:13">
      <c r="A181" s="2964" t="s">
        <v>3328</v>
      </c>
      <c r="B181" s="2964" t="s">
        <v>3329</v>
      </c>
      <c r="C181" s="2964"/>
      <c r="D181" s="2964">
        <v>-3001</v>
      </c>
      <c r="E181" s="2964" t="s">
        <v>3330</v>
      </c>
      <c r="F181" s="2965">
        <v>160000</v>
      </c>
      <c r="G181" s="2972">
        <v>40.700000000000003</v>
      </c>
      <c r="H181" s="2964" t="s">
        <v>3185</v>
      </c>
      <c r="I181" s="2964" t="s">
        <v>3086</v>
      </c>
      <c r="K181" s="2970"/>
      <c r="M181" s="2963">
        <f t="shared" si="2"/>
        <v>3931.203931203931</v>
      </c>
    </row>
    <row r="182" spans="1:13">
      <c r="A182" s="2964" t="s">
        <v>3328</v>
      </c>
      <c r="B182" s="2964" t="s">
        <v>3329</v>
      </c>
      <c r="C182" s="2964"/>
      <c r="D182" s="2964">
        <v>-3002</v>
      </c>
      <c r="E182" s="2964" t="s">
        <v>3331</v>
      </c>
      <c r="F182" s="2965">
        <v>160000</v>
      </c>
      <c r="G182" s="2972">
        <v>40.700000000000003</v>
      </c>
      <c r="H182" s="2964" t="s">
        <v>3185</v>
      </c>
      <c r="I182" s="2964" t="s">
        <v>3086</v>
      </c>
      <c r="M182" s="2963">
        <f t="shared" si="2"/>
        <v>3931.203931203931</v>
      </c>
    </row>
    <row r="183" spans="1:13">
      <c r="A183" s="2964" t="s">
        <v>3328</v>
      </c>
      <c r="B183" s="2964" t="s">
        <v>3329</v>
      </c>
      <c r="C183" s="2964"/>
      <c r="D183" s="2964">
        <v>-3003</v>
      </c>
      <c r="E183" s="2964" t="s">
        <v>3332</v>
      </c>
      <c r="F183" s="2965">
        <v>160000</v>
      </c>
      <c r="G183" s="2972">
        <v>40.700000000000003</v>
      </c>
      <c r="H183" s="2964" t="s">
        <v>3185</v>
      </c>
      <c r="I183" s="2964" t="s">
        <v>3086</v>
      </c>
      <c r="M183" s="2963">
        <f t="shared" si="2"/>
        <v>3931.203931203931</v>
      </c>
    </row>
    <row r="184" spans="1:13">
      <c r="A184" s="2964" t="s">
        <v>3328</v>
      </c>
      <c r="B184" s="2964" t="s">
        <v>3329</v>
      </c>
      <c r="C184" s="2964"/>
      <c r="D184" s="2964">
        <v>-3004</v>
      </c>
      <c r="E184" s="2964" t="s">
        <v>3333</v>
      </c>
      <c r="F184" s="2965">
        <v>160000</v>
      </c>
      <c r="G184" s="2972">
        <v>40.700000000000003</v>
      </c>
      <c r="H184" s="2964" t="s">
        <v>3185</v>
      </c>
      <c r="I184" s="2964" t="s">
        <v>3086</v>
      </c>
      <c r="M184" s="2963">
        <f t="shared" si="2"/>
        <v>3931.203931203931</v>
      </c>
    </row>
    <row r="185" spans="1:13">
      <c r="A185" s="2964" t="s">
        <v>3328</v>
      </c>
      <c r="B185" s="2964" t="s">
        <v>3329</v>
      </c>
      <c r="C185" s="2964"/>
      <c r="D185" s="2964">
        <v>-3005</v>
      </c>
      <c r="E185" s="2964" t="s">
        <v>3334</v>
      </c>
      <c r="F185" s="2965">
        <v>160000</v>
      </c>
      <c r="G185" s="2972">
        <v>40.700000000000003</v>
      </c>
      <c r="H185" s="2964" t="s">
        <v>3185</v>
      </c>
      <c r="I185" s="2964" t="s">
        <v>3086</v>
      </c>
      <c r="M185" s="2963">
        <f t="shared" si="2"/>
        <v>3931.203931203931</v>
      </c>
    </row>
    <row r="186" spans="1:13">
      <c r="A186" s="2964" t="s">
        <v>3328</v>
      </c>
      <c r="B186" s="2964" t="s">
        <v>3329</v>
      </c>
      <c r="C186" s="2964"/>
      <c r="D186" s="2964">
        <v>-3006</v>
      </c>
      <c r="E186" s="2964" t="s">
        <v>3335</v>
      </c>
      <c r="F186" s="2965">
        <v>160000</v>
      </c>
      <c r="G186" s="2972">
        <v>40.700000000000003</v>
      </c>
      <c r="H186" s="2964" t="s">
        <v>3185</v>
      </c>
      <c r="I186" s="2964" t="s">
        <v>3086</v>
      </c>
      <c r="M186" s="2963">
        <f t="shared" si="2"/>
        <v>3931.203931203931</v>
      </c>
    </row>
    <row r="187" spans="1:13">
      <c r="A187" s="2964" t="s">
        <v>3328</v>
      </c>
      <c r="B187" s="2964" t="s">
        <v>3329</v>
      </c>
      <c r="C187" s="2964"/>
      <c r="D187" s="2964">
        <v>-3007</v>
      </c>
      <c r="E187" s="2964" t="s">
        <v>3336</v>
      </c>
      <c r="F187" s="2965">
        <v>160000</v>
      </c>
      <c r="G187" s="2972">
        <v>40.700000000000003</v>
      </c>
      <c r="H187" s="2964" t="s">
        <v>3185</v>
      </c>
      <c r="I187" s="2964" t="s">
        <v>3086</v>
      </c>
      <c r="M187" s="2963">
        <f t="shared" si="2"/>
        <v>3931.203931203931</v>
      </c>
    </row>
    <row r="188" spans="1:13">
      <c r="A188" s="2964" t="s">
        <v>3328</v>
      </c>
      <c r="B188" s="2964" t="s">
        <v>3329</v>
      </c>
      <c r="C188" s="2964"/>
      <c r="D188" s="2964">
        <v>-3008</v>
      </c>
      <c r="E188" s="2964" t="s">
        <v>3337</v>
      </c>
      <c r="F188" s="2965">
        <v>160000</v>
      </c>
      <c r="G188" s="2972">
        <v>40.700000000000003</v>
      </c>
      <c r="H188" s="2964" t="s">
        <v>3185</v>
      </c>
      <c r="I188" s="2964" t="s">
        <v>3086</v>
      </c>
      <c r="M188" s="2963">
        <f t="shared" si="2"/>
        <v>3931.203931203931</v>
      </c>
    </row>
    <row r="189" spans="1:13">
      <c r="A189" s="2964" t="s">
        <v>3328</v>
      </c>
      <c r="B189" s="2964" t="s">
        <v>3329</v>
      </c>
      <c r="C189" s="2964"/>
      <c r="D189" s="2964">
        <v>-3009</v>
      </c>
      <c r="E189" s="2964" t="s">
        <v>3338</v>
      </c>
      <c r="F189" s="2965">
        <v>160000</v>
      </c>
      <c r="G189" s="2972">
        <v>40.700000000000003</v>
      </c>
      <c r="H189" s="2964" t="s">
        <v>3185</v>
      </c>
      <c r="I189" s="2964" t="s">
        <v>3086</v>
      </c>
      <c r="M189" s="2963">
        <f t="shared" si="2"/>
        <v>3931.203931203931</v>
      </c>
    </row>
    <row r="190" spans="1:13">
      <c r="A190" s="2964" t="s">
        <v>3328</v>
      </c>
      <c r="B190" s="2964" t="s">
        <v>3329</v>
      </c>
      <c r="C190" s="2964"/>
      <c r="D190" s="2964">
        <v>-3010</v>
      </c>
      <c r="E190" s="2964" t="s">
        <v>3339</v>
      </c>
      <c r="F190" s="2965">
        <v>160000</v>
      </c>
      <c r="G190" s="2972">
        <v>40.700000000000003</v>
      </c>
      <c r="H190" s="2964" t="s">
        <v>3185</v>
      </c>
      <c r="I190" s="2964" t="s">
        <v>3086</v>
      </c>
      <c r="M190" s="2963">
        <f t="shared" si="2"/>
        <v>3931.203931203931</v>
      </c>
    </row>
    <row r="191" spans="1:13">
      <c r="A191" s="2964" t="s">
        <v>3328</v>
      </c>
      <c r="B191" s="2964" t="s">
        <v>3329</v>
      </c>
      <c r="C191" s="2964"/>
      <c r="D191" s="2964">
        <v>-3011</v>
      </c>
      <c r="E191" s="2964" t="s">
        <v>3340</v>
      </c>
      <c r="F191" s="2965">
        <v>160000</v>
      </c>
      <c r="G191" s="2972">
        <v>40.700000000000003</v>
      </c>
      <c r="H191" s="2964" t="s">
        <v>3185</v>
      </c>
      <c r="I191" s="2964" t="s">
        <v>3086</v>
      </c>
      <c r="M191" s="2963">
        <f t="shared" si="2"/>
        <v>3931.203931203931</v>
      </c>
    </row>
    <row r="192" spans="1:13">
      <c r="A192" s="2964" t="s">
        <v>3328</v>
      </c>
      <c r="B192" s="2964" t="s">
        <v>3329</v>
      </c>
      <c r="C192" s="2964"/>
      <c r="D192" s="2964">
        <v>-3012</v>
      </c>
      <c r="E192" s="2964" t="s">
        <v>3341</v>
      </c>
      <c r="F192" s="2965">
        <v>160000</v>
      </c>
      <c r="G192" s="2972">
        <v>40.700000000000003</v>
      </c>
      <c r="H192" s="2964" t="s">
        <v>3185</v>
      </c>
      <c r="I192" s="2964" t="s">
        <v>3086</v>
      </c>
      <c r="M192" s="2963">
        <f t="shared" si="2"/>
        <v>3931.203931203931</v>
      </c>
    </row>
    <row r="193" spans="1:13">
      <c r="A193" s="2964" t="s">
        <v>3328</v>
      </c>
      <c r="B193" s="2964" t="s">
        <v>3329</v>
      </c>
      <c r="C193" s="2964"/>
      <c r="D193" s="2964">
        <v>-3013</v>
      </c>
      <c r="E193" s="2964" t="s">
        <v>3342</v>
      </c>
      <c r="F193" s="2965">
        <v>160000</v>
      </c>
      <c r="G193" s="2972">
        <v>40.700000000000003</v>
      </c>
      <c r="H193" s="2964" t="s">
        <v>3185</v>
      </c>
      <c r="I193" s="2964" t="s">
        <v>3086</v>
      </c>
      <c r="M193" s="2963">
        <f t="shared" si="2"/>
        <v>3931.203931203931</v>
      </c>
    </row>
    <row r="194" spans="1:13">
      <c r="A194" s="2964" t="s">
        <v>3328</v>
      </c>
      <c r="B194" s="2964" t="s">
        <v>3329</v>
      </c>
      <c r="C194" s="2964"/>
      <c r="D194" s="2964">
        <v>-3014</v>
      </c>
      <c r="E194" s="2964" t="s">
        <v>3343</v>
      </c>
      <c r="F194" s="2965">
        <v>160000</v>
      </c>
      <c r="G194" s="2972">
        <v>40.700000000000003</v>
      </c>
      <c r="H194" s="2964" t="s">
        <v>3185</v>
      </c>
      <c r="I194" s="2964" t="s">
        <v>3086</v>
      </c>
      <c r="M194" s="2963">
        <f t="shared" si="2"/>
        <v>3931.203931203931</v>
      </c>
    </row>
    <row r="195" spans="1:13">
      <c r="A195" s="2964" t="s">
        <v>3328</v>
      </c>
      <c r="B195" s="2964" t="s">
        <v>3329</v>
      </c>
      <c r="C195" s="2964"/>
      <c r="D195" s="2964">
        <v>-3015</v>
      </c>
      <c r="E195" s="2964" t="s">
        <v>3344</v>
      </c>
      <c r="F195" s="2965">
        <v>160000</v>
      </c>
      <c r="G195" s="2972">
        <v>40.700000000000003</v>
      </c>
      <c r="H195" s="2964" t="s">
        <v>3185</v>
      </c>
      <c r="I195" s="2964" t="s">
        <v>3086</v>
      </c>
      <c r="M195" s="2963">
        <f t="shared" si="2"/>
        <v>3931.203931203931</v>
      </c>
    </row>
    <row r="196" spans="1:13">
      <c r="A196" s="2964" t="s">
        <v>3328</v>
      </c>
      <c r="B196" s="2964" t="s">
        <v>3329</v>
      </c>
      <c r="C196" s="2964"/>
      <c r="D196" s="2964">
        <v>-3016</v>
      </c>
      <c r="E196" s="2964" t="s">
        <v>3345</v>
      </c>
      <c r="F196" s="2965">
        <v>160000</v>
      </c>
      <c r="G196" s="2972">
        <v>40.700000000000003</v>
      </c>
      <c r="H196" s="2964" t="s">
        <v>3185</v>
      </c>
      <c r="I196" s="2964" t="s">
        <v>3086</v>
      </c>
      <c r="M196" s="2963">
        <f t="shared" ref="M196:M259" si="3">F196/G196</f>
        <v>3931.203931203931</v>
      </c>
    </row>
    <row r="197" spans="1:13">
      <c r="A197" s="2964" t="s">
        <v>3328</v>
      </c>
      <c r="B197" s="2964" t="s">
        <v>3329</v>
      </c>
      <c r="C197" s="2964"/>
      <c r="D197" s="2964">
        <v>-3017</v>
      </c>
      <c r="E197" s="2964" t="s">
        <v>3346</v>
      </c>
      <c r="F197" s="2965">
        <v>160000</v>
      </c>
      <c r="G197" s="2972">
        <v>40.700000000000003</v>
      </c>
      <c r="H197" s="2964" t="s">
        <v>3185</v>
      </c>
      <c r="I197" s="2964" t="s">
        <v>3086</v>
      </c>
      <c r="M197" s="2963">
        <f t="shared" si="3"/>
        <v>3931.203931203931</v>
      </c>
    </row>
    <row r="198" spans="1:13">
      <c r="A198" s="2964" t="s">
        <v>3328</v>
      </c>
      <c r="B198" s="2964" t="s">
        <v>3329</v>
      </c>
      <c r="C198" s="2964"/>
      <c r="D198" s="2964">
        <v>-3018</v>
      </c>
      <c r="E198" s="2964" t="s">
        <v>3347</v>
      </c>
      <c r="F198" s="2965">
        <v>160000</v>
      </c>
      <c r="G198" s="2972">
        <v>40.700000000000003</v>
      </c>
      <c r="H198" s="2964" t="s">
        <v>3185</v>
      </c>
      <c r="I198" s="2964" t="s">
        <v>3086</v>
      </c>
      <c r="M198" s="2963">
        <f t="shared" si="3"/>
        <v>3931.203931203931</v>
      </c>
    </row>
    <row r="199" spans="1:13">
      <c r="A199" s="2964" t="s">
        <v>3328</v>
      </c>
      <c r="B199" s="2964" t="s">
        <v>3329</v>
      </c>
      <c r="C199" s="2964"/>
      <c r="D199" s="2964">
        <v>-3019</v>
      </c>
      <c r="E199" s="2964" t="s">
        <v>3348</v>
      </c>
      <c r="F199" s="2965">
        <v>160000</v>
      </c>
      <c r="G199" s="2972">
        <v>40.700000000000003</v>
      </c>
      <c r="H199" s="2964" t="s">
        <v>3185</v>
      </c>
      <c r="I199" s="2964" t="s">
        <v>3086</v>
      </c>
      <c r="M199" s="2963">
        <f t="shared" si="3"/>
        <v>3931.203931203931</v>
      </c>
    </row>
    <row r="200" spans="1:13">
      <c r="A200" s="2964" t="s">
        <v>3328</v>
      </c>
      <c r="B200" s="2964" t="s">
        <v>3329</v>
      </c>
      <c r="C200" s="2964"/>
      <c r="D200" s="2964">
        <v>-3020</v>
      </c>
      <c r="E200" s="2964" t="s">
        <v>3349</v>
      </c>
      <c r="F200" s="2965">
        <v>160000</v>
      </c>
      <c r="G200" s="2972">
        <v>40.700000000000003</v>
      </c>
      <c r="H200" s="2964" t="s">
        <v>3185</v>
      </c>
      <c r="I200" s="2964" t="s">
        <v>3086</v>
      </c>
      <c r="M200" s="2963">
        <f t="shared" si="3"/>
        <v>3931.203931203931</v>
      </c>
    </row>
    <row r="201" spans="1:13">
      <c r="A201" s="2964" t="s">
        <v>3328</v>
      </c>
      <c r="B201" s="2964" t="s">
        <v>3329</v>
      </c>
      <c r="C201" s="2964"/>
      <c r="D201" s="2964">
        <v>-3021</v>
      </c>
      <c r="E201" s="2964" t="s">
        <v>3350</v>
      </c>
      <c r="F201" s="2965">
        <v>160000</v>
      </c>
      <c r="G201" s="2972">
        <v>40.700000000000003</v>
      </c>
      <c r="H201" s="2964" t="s">
        <v>3185</v>
      </c>
      <c r="I201" s="2964" t="s">
        <v>3086</v>
      </c>
      <c r="M201" s="2963">
        <f t="shared" si="3"/>
        <v>3931.203931203931</v>
      </c>
    </row>
    <row r="202" spans="1:13">
      <c r="A202" s="2964" t="s">
        <v>3328</v>
      </c>
      <c r="B202" s="2964" t="s">
        <v>3329</v>
      </c>
      <c r="C202" s="2964"/>
      <c r="D202" s="2964">
        <v>-3022</v>
      </c>
      <c r="E202" s="2964" t="s">
        <v>3351</v>
      </c>
      <c r="F202" s="2965">
        <v>160000</v>
      </c>
      <c r="G202" s="2972">
        <v>40.700000000000003</v>
      </c>
      <c r="H202" s="2964" t="s">
        <v>3185</v>
      </c>
      <c r="I202" s="2964" t="s">
        <v>3086</v>
      </c>
      <c r="M202" s="2963">
        <f t="shared" si="3"/>
        <v>3931.203931203931</v>
      </c>
    </row>
    <row r="203" spans="1:13">
      <c r="A203" s="2964" t="s">
        <v>3328</v>
      </c>
      <c r="B203" s="2964" t="s">
        <v>3329</v>
      </c>
      <c r="C203" s="2964"/>
      <c r="D203" s="2964">
        <v>-3023</v>
      </c>
      <c r="E203" s="2964" t="s">
        <v>3352</v>
      </c>
      <c r="F203" s="2965">
        <v>160000</v>
      </c>
      <c r="G203" s="2972">
        <v>40.700000000000003</v>
      </c>
      <c r="H203" s="2964" t="s">
        <v>3185</v>
      </c>
      <c r="I203" s="2964" t="s">
        <v>3086</v>
      </c>
      <c r="M203" s="2963">
        <f t="shared" si="3"/>
        <v>3931.203931203931</v>
      </c>
    </row>
    <row r="204" spans="1:13">
      <c r="A204" s="2964" t="s">
        <v>3328</v>
      </c>
      <c r="B204" s="2964" t="s">
        <v>3329</v>
      </c>
      <c r="C204" s="2964"/>
      <c r="D204" s="2964">
        <v>-3024</v>
      </c>
      <c r="E204" s="2964" t="s">
        <v>3353</v>
      </c>
      <c r="F204" s="2965">
        <v>160000</v>
      </c>
      <c r="G204" s="2972">
        <v>40.700000000000003</v>
      </c>
      <c r="H204" s="2964" t="s">
        <v>3185</v>
      </c>
      <c r="I204" s="2964" t="s">
        <v>3086</v>
      </c>
      <c r="M204" s="2963">
        <f t="shared" si="3"/>
        <v>3931.203931203931</v>
      </c>
    </row>
    <row r="205" spans="1:13">
      <c r="A205" s="2964" t="s">
        <v>3328</v>
      </c>
      <c r="B205" s="2964" t="s">
        <v>3329</v>
      </c>
      <c r="C205" s="2964"/>
      <c r="D205" s="2964">
        <v>-3025</v>
      </c>
      <c r="E205" s="2964" t="s">
        <v>3354</v>
      </c>
      <c r="F205" s="2965">
        <v>160000</v>
      </c>
      <c r="G205" s="2972">
        <v>40.700000000000003</v>
      </c>
      <c r="H205" s="2964" t="s">
        <v>3185</v>
      </c>
      <c r="I205" s="2964" t="s">
        <v>3086</v>
      </c>
      <c r="M205" s="2963">
        <f t="shared" si="3"/>
        <v>3931.203931203931</v>
      </c>
    </row>
    <row r="206" spans="1:13">
      <c r="A206" s="2963" t="s">
        <v>3328</v>
      </c>
      <c r="B206" s="2963" t="s">
        <v>3355</v>
      </c>
      <c r="D206" s="2963">
        <v>-1002</v>
      </c>
      <c r="E206" s="2963" t="s">
        <v>3356</v>
      </c>
      <c r="F206" s="2966">
        <v>180000</v>
      </c>
      <c r="G206" s="2971">
        <v>39.159999999999997</v>
      </c>
      <c r="H206" s="2963" t="s">
        <v>3185</v>
      </c>
      <c r="I206" s="2963" t="s">
        <v>3086</v>
      </c>
      <c r="M206" s="2963">
        <f t="shared" si="3"/>
        <v>4596.5270684371808</v>
      </c>
    </row>
    <row r="207" spans="1:13">
      <c r="A207" s="2963" t="s">
        <v>3328</v>
      </c>
      <c r="B207" s="2963" t="s">
        <v>3355</v>
      </c>
      <c r="D207" s="2963">
        <v>-1007</v>
      </c>
      <c r="E207" s="2963" t="s">
        <v>3357</v>
      </c>
      <c r="F207" s="2966">
        <v>180000</v>
      </c>
      <c r="G207" s="2971">
        <v>39.159999999999997</v>
      </c>
      <c r="H207" s="2963" t="s">
        <v>3185</v>
      </c>
      <c r="I207" s="2963" t="s">
        <v>3086</v>
      </c>
      <c r="M207" s="2963">
        <f t="shared" si="3"/>
        <v>4596.5270684371808</v>
      </c>
    </row>
    <row r="208" spans="1:13">
      <c r="A208" s="2963" t="s">
        <v>3328</v>
      </c>
      <c r="B208" s="2963" t="s">
        <v>3355</v>
      </c>
      <c r="D208" s="2963">
        <v>-1009</v>
      </c>
      <c r="E208" s="2963" t="s">
        <v>3358</v>
      </c>
      <c r="F208" s="2966">
        <v>180000</v>
      </c>
      <c r="G208" s="2971">
        <v>39.159999999999997</v>
      </c>
      <c r="H208" s="2963" t="s">
        <v>3185</v>
      </c>
      <c r="I208" s="2963" t="s">
        <v>3086</v>
      </c>
      <c r="M208" s="2963">
        <f t="shared" si="3"/>
        <v>4596.5270684371808</v>
      </c>
    </row>
    <row r="209" spans="1:13">
      <c r="A209" s="2963" t="s">
        <v>3328</v>
      </c>
      <c r="B209" s="2963" t="s">
        <v>3355</v>
      </c>
      <c r="D209" s="2963">
        <v>-1010</v>
      </c>
      <c r="E209" s="2963" t="s">
        <v>3359</v>
      </c>
      <c r="F209" s="2966">
        <v>180000</v>
      </c>
      <c r="G209" s="2971">
        <v>39.159999999999997</v>
      </c>
      <c r="H209" s="2963" t="s">
        <v>3185</v>
      </c>
      <c r="I209" s="2963" t="s">
        <v>3086</v>
      </c>
      <c r="M209" s="2963">
        <f t="shared" si="3"/>
        <v>4596.5270684371808</v>
      </c>
    </row>
    <row r="210" spans="1:13">
      <c r="A210" s="2963" t="s">
        <v>3328</v>
      </c>
      <c r="B210" s="2963" t="s">
        <v>3355</v>
      </c>
      <c r="D210" s="2963">
        <v>-1011</v>
      </c>
      <c r="E210" s="2963" t="s">
        <v>3360</v>
      </c>
      <c r="F210" s="2966">
        <v>180000</v>
      </c>
      <c r="G210" s="2971">
        <v>39.159999999999997</v>
      </c>
      <c r="H210" s="2963" t="s">
        <v>3185</v>
      </c>
      <c r="I210" s="2963" t="s">
        <v>3086</v>
      </c>
      <c r="M210" s="2963">
        <f t="shared" si="3"/>
        <v>4596.5270684371808</v>
      </c>
    </row>
    <row r="211" spans="1:13">
      <c r="A211" s="2963" t="s">
        <v>3328</v>
      </c>
      <c r="B211" s="2963" t="s">
        <v>3355</v>
      </c>
      <c r="D211" s="2963">
        <v>-1012</v>
      </c>
      <c r="E211" s="2963" t="s">
        <v>3361</v>
      </c>
      <c r="F211" s="2966">
        <v>180000</v>
      </c>
      <c r="G211" s="2971">
        <v>39.159999999999997</v>
      </c>
      <c r="H211" s="2963" t="s">
        <v>3185</v>
      </c>
      <c r="I211" s="2963" t="s">
        <v>3086</v>
      </c>
      <c r="M211" s="2963">
        <f t="shared" si="3"/>
        <v>4596.5270684371808</v>
      </c>
    </row>
    <row r="212" spans="1:13">
      <c r="A212" s="2963" t="s">
        <v>3328</v>
      </c>
      <c r="B212" s="2963" t="s">
        <v>3355</v>
      </c>
      <c r="D212" s="2963">
        <v>-1014</v>
      </c>
      <c r="E212" s="2963" t="s">
        <v>3362</v>
      </c>
      <c r="F212" s="2966">
        <v>180000</v>
      </c>
      <c r="G212" s="2971">
        <v>39.159999999999997</v>
      </c>
      <c r="H212" s="2963" t="s">
        <v>3185</v>
      </c>
      <c r="I212" s="2963" t="s">
        <v>3086</v>
      </c>
      <c r="M212" s="2963">
        <f t="shared" si="3"/>
        <v>4596.5270684371808</v>
      </c>
    </row>
    <row r="213" spans="1:13">
      <c r="A213" s="2963" t="s">
        <v>3328</v>
      </c>
      <c r="B213" s="2963" t="s">
        <v>3355</v>
      </c>
      <c r="D213" s="2963">
        <v>-1015</v>
      </c>
      <c r="E213" s="2963" t="s">
        <v>3363</v>
      </c>
      <c r="F213" s="2966">
        <v>180000</v>
      </c>
      <c r="G213" s="2971">
        <v>39.159999999999997</v>
      </c>
      <c r="H213" s="2963" t="s">
        <v>3185</v>
      </c>
      <c r="I213" s="2963" t="s">
        <v>3086</v>
      </c>
      <c r="M213" s="2963">
        <f t="shared" si="3"/>
        <v>4596.5270684371808</v>
      </c>
    </row>
    <row r="214" spans="1:13">
      <c r="A214" s="2963" t="s">
        <v>3328</v>
      </c>
      <c r="B214" s="2963" t="s">
        <v>3355</v>
      </c>
      <c r="D214" s="2963">
        <v>-1021</v>
      </c>
      <c r="E214" s="2963" t="s">
        <v>3364</v>
      </c>
      <c r="F214" s="2966">
        <v>180000</v>
      </c>
      <c r="G214" s="2971">
        <v>39.159999999999997</v>
      </c>
      <c r="H214" s="2963" t="s">
        <v>3185</v>
      </c>
      <c r="I214" s="2963" t="s">
        <v>3086</v>
      </c>
      <c r="M214" s="2963">
        <f t="shared" si="3"/>
        <v>4596.5270684371808</v>
      </c>
    </row>
    <row r="215" spans="1:13">
      <c r="A215" s="2963" t="s">
        <v>3328</v>
      </c>
      <c r="B215" s="2963" t="s">
        <v>3355</v>
      </c>
      <c r="D215" s="2963">
        <v>-1024</v>
      </c>
      <c r="E215" s="2963" t="s">
        <v>3365</v>
      </c>
      <c r="F215" s="2966">
        <v>180000</v>
      </c>
      <c r="G215" s="2971">
        <v>39.159999999999997</v>
      </c>
      <c r="H215" s="2963" t="s">
        <v>3185</v>
      </c>
      <c r="I215" s="2963" t="s">
        <v>3086</v>
      </c>
      <c r="M215" s="2963">
        <f t="shared" si="3"/>
        <v>4596.5270684371808</v>
      </c>
    </row>
    <row r="216" spans="1:13">
      <c r="A216" s="2963" t="s">
        <v>3328</v>
      </c>
      <c r="B216" s="2963" t="s">
        <v>3355</v>
      </c>
      <c r="D216" s="2963">
        <v>-1027</v>
      </c>
      <c r="E216" s="2963" t="s">
        <v>3366</v>
      </c>
      <c r="F216" s="2966">
        <v>180000</v>
      </c>
      <c r="G216" s="2971">
        <v>39.159999999999997</v>
      </c>
      <c r="H216" s="2963" t="s">
        <v>3185</v>
      </c>
      <c r="I216" s="2963" t="s">
        <v>3086</v>
      </c>
      <c r="M216" s="2963">
        <f t="shared" si="3"/>
        <v>4596.5270684371808</v>
      </c>
    </row>
    <row r="217" spans="1:13">
      <c r="A217" s="2963" t="s">
        <v>3328</v>
      </c>
      <c r="B217" s="2963" t="s">
        <v>3355</v>
      </c>
      <c r="D217" s="2963">
        <v>-1029</v>
      </c>
      <c r="E217" s="2963" t="s">
        <v>3367</v>
      </c>
      <c r="F217" s="2966">
        <v>180000</v>
      </c>
      <c r="G217" s="2971">
        <v>39.159999999999997</v>
      </c>
      <c r="H217" s="2963" t="s">
        <v>3185</v>
      </c>
      <c r="I217" s="2963" t="s">
        <v>3086</v>
      </c>
      <c r="M217" s="2963">
        <f t="shared" si="3"/>
        <v>4596.5270684371808</v>
      </c>
    </row>
    <row r="218" spans="1:13">
      <c r="A218" s="2963" t="s">
        <v>3328</v>
      </c>
      <c r="B218" s="2963" t="s">
        <v>3355</v>
      </c>
      <c r="D218" s="2963">
        <v>-1030</v>
      </c>
      <c r="E218" s="2963" t="s">
        <v>3368</v>
      </c>
      <c r="F218" s="2966">
        <v>180000</v>
      </c>
      <c r="G218" s="2971">
        <v>39.159999999999997</v>
      </c>
      <c r="H218" s="2963" t="s">
        <v>3185</v>
      </c>
      <c r="I218" s="2963" t="s">
        <v>3086</v>
      </c>
      <c r="M218" s="2963">
        <f t="shared" si="3"/>
        <v>4596.5270684371808</v>
      </c>
    </row>
    <row r="219" spans="1:13">
      <c r="A219" s="2963" t="s">
        <v>3328</v>
      </c>
      <c r="B219" s="2963" t="s">
        <v>3355</v>
      </c>
      <c r="D219" s="2963">
        <v>-1036</v>
      </c>
      <c r="E219" s="2963" t="s">
        <v>3369</v>
      </c>
      <c r="F219" s="2966">
        <v>180000</v>
      </c>
      <c r="G219" s="2971">
        <v>39.159999999999997</v>
      </c>
      <c r="H219" s="2963" t="s">
        <v>3185</v>
      </c>
      <c r="I219" s="2963" t="s">
        <v>3086</v>
      </c>
      <c r="M219" s="2963">
        <f t="shared" si="3"/>
        <v>4596.5270684371808</v>
      </c>
    </row>
    <row r="220" spans="1:13">
      <c r="A220" s="2963" t="s">
        <v>3328</v>
      </c>
      <c r="B220" s="2963" t="s">
        <v>3355</v>
      </c>
      <c r="D220" s="2963">
        <v>-1037</v>
      </c>
      <c r="E220" s="2963" t="s">
        <v>3370</v>
      </c>
      <c r="F220" s="2966">
        <v>180000</v>
      </c>
      <c r="G220" s="2971">
        <v>39.159999999999997</v>
      </c>
      <c r="H220" s="2963" t="s">
        <v>3185</v>
      </c>
      <c r="I220" s="2963" t="s">
        <v>3086</v>
      </c>
      <c r="M220" s="2963">
        <f t="shared" si="3"/>
        <v>4596.5270684371808</v>
      </c>
    </row>
    <row r="221" spans="1:13">
      <c r="A221" s="2963" t="s">
        <v>3328</v>
      </c>
      <c r="B221" s="2963" t="s">
        <v>3355</v>
      </c>
      <c r="D221" s="2963">
        <v>-1038</v>
      </c>
      <c r="E221" s="2963" t="s">
        <v>3371</v>
      </c>
      <c r="F221" s="2966">
        <v>180000</v>
      </c>
      <c r="G221" s="2971">
        <v>39.159999999999997</v>
      </c>
      <c r="H221" s="2963" t="s">
        <v>3185</v>
      </c>
      <c r="I221" s="2963" t="s">
        <v>3086</v>
      </c>
      <c r="M221" s="2963">
        <f t="shared" si="3"/>
        <v>4596.5270684371808</v>
      </c>
    </row>
    <row r="222" spans="1:13">
      <c r="A222" s="2963" t="s">
        <v>3328</v>
      </c>
      <c r="B222" s="2963" t="s">
        <v>3355</v>
      </c>
      <c r="D222" s="2963">
        <v>-1039</v>
      </c>
      <c r="E222" s="2963" t="s">
        <v>3372</v>
      </c>
      <c r="F222" s="2966">
        <v>180000</v>
      </c>
      <c r="G222" s="2971">
        <v>39.159999999999997</v>
      </c>
      <c r="H222" s="2963" t="s">
        <v>3185</v>
      </c>
      <c r="I222" s="2963" t="s">
        <v>3086</v>
      </c>
      <c r="M222" s="2963">
        <f t="shared" si="3"/>
        <v>4596.5270684371808</v>
      </c>
    </row>
    <row r="223" spans="1:13">
      <c r="A223" s="2963" t="s">
        <v>3328</v>
      </c>
      <c r="B223" s="2963" t="s">
        <v>3355</v>
      </c>
      <c r="D223" s="2963">
        <v>-1040</v>
      </c>
      <c r="E223" s="2963" t="s">
        <v>3373</v>
      </c>
      <c r="F223" s="2966">
        <v>180000</v>
      </c>
      <c r="G223" s="2971">
        <v>39.159999999999997</v>
      </c>
      <c r="H223" s="2963" t="s">
        <v>3185</v>
      </c>
      <c r="I223" s="2963" t="s">
        <v>3086</v>
      </c>
      <c r="M223" s="2963">
        <f t="shared" si="3"/>
        <v>4596.5270684371808</v>
      </c>
    </row>
    <row r="224" spans="1:13">
      <c r="A224" s="2963" t="s">
        <v>3328</v>
      </c>
      <c r="B224" s="2963" t="s">
        <v>3355</v>
      </c>
      <c r="D224" s="2963">
        <v>-1041</v>
      </c>
      <c r="E224" s="2963" t="s">
        <v>3374</v>
      </c>
      <c r="F224" s="2966">
        <v>180000</v>
      </c>
      <c r="G224" s="2971">
        <v>39.159999999999997</v>
      </c>
      <c r="H224" s="2963" t="s">
        <v>3185</v>
      </c>
      <c r="I224" s="2963" t="s">
        <v>3086</v>
      </c>
      <c r="M224" s="2963">
        <f t="shared" si="3"/>
        <v>4596.5270684371808</v>
      </c>
    </row>
    <row r="225" spans="1:13">
      <c r="A225" s="2963" t="s">
        <v>3328</v>
      </c>
      <c r="B225" s="2963" t="s">
        <v>3355</v>
      </c>
      <c r="D225" s="2963">
        <v>-1042</v>
      </c>
      <c r="E225" s="2963" t="s">
        <v>3375</v>
      </c>
      <c r="F225" s="2966">
        <v>180000</v>
      </c>
      <c r="G225" s="2971">
        <v>39.159999999999997</v>
      </c>
      <c r="H225" s="2963" t="s">
        <v>3185</v>
      </c>
      <c r="I225" s="2963" t="s">
        <v>3086</v>
      </c>
      <c r="M225" s="2963">
        <f t="shared" si="3"/>
        <v>4596.5270684371808</v>
      </c>
    </row>
    <row r="226" spans="1:13">
      <c r="A226" s="2963" t="s">
        <v>3328</v>
      </c>
      <c r="B226" s="2963" t="s">
        <v>3355</v>
      </c>
      <c r="D226" s="2963">
        <v>-1044</v>
      </c>
      <c r="E226" s="2963" t="s">
        <v>3376</v>
      </c>
      <c r="F226" s="2966">
        <v>180000</v>
      </c>
      <c r="G226" s="2971">
        <v>39.159999999999997</v>
      </c>
      <c r="H226" s="2963" t="s">
        <v>3185</v>
      </c>
      <c r="I226" s="2963" t="s">
        <v>3086</v>
      </c>
      <c r="M226" s="2963">
        <f t="shared" si="3"/>
        <v>4596.5270684371808</v>
      </c>
    </row>
    <row r="227" spans="1:13">
      <c r="A227" s="2963" t="s">
        <v>3328</v>
      </c>
      <c r="B227" s="2963" t="s">
        <v>3355</v>
      </c>
      <c r="D227" s="2963">
        <v>-1045</v>
      </c>
      <c r="E227" s="2963" t="s">
        <v>3377</v>
      </c>
      <c r="F227" s="2966">
        <v>180000</v>
      </c>
      <c r="G227" s="2971">
        <v>39.159999999999997</v>
      </c>
      <c r="H227" s="2963" t="s">
        <v>3185</v>
      </c>
      <c r="I227" s="2963" t="s">
        <v>3086</v>
      </c>
      <c r="M227" s="2963">
        <f t="shared" si="3"/>
        <v>4596.5270684371808</v>
      </c>
    </row>
    <row r="228" spans="1:13">
      <c r="A228" s="2963" t="s">
        <v>3328</v>
      </c>
      <c r="B228" s="2963" t="s">
        <v>3355</v>
      </c>
      <c r="D228" s="2963">
        <v>-1046</v>
      </c>
      <c r="E228" s="2963" t="s">
        <v>3378</v>
      </c>
      <c r="F228" s="2966">
        <v>180000</v>
      </c>
      <c r="G228" s="2971">
        <v>39.159999999999997</v>
      </c>
      <c r="H228" s="2963" t="s">
        <v>3185</v>
      </c>
      <c r="I228" s="2963" t="s">
        <v>3086</v>
      </c>
      <c r="M228" s="2963">
        <f t="shared" si="3"/>
        <v>4596.5270684371808</v>
      </c>
    </row>
    <row r="229" spans="1:13">
      <c r="A229" s="2963" t="s">
        <v>3328</v>
      </c>
      <c r="B229" s="2963" t="s">
        <v>3355</v>
      </c>
      <c r="D229" s="2963">
        <v>-1047</v>
      </c>
      <c r="E229" s="2963" t="s">
        <v>3379</v>
      </c>
      <c r="F229" s="2966">
        <v>180000</v>
      </c>
      <c r="G229" s="2971">
        <v>39.159999999999997</v>
      </c>
      <c r="H229" s="2963" t="s">
        <v>3185</v>
      </c>
      <c r="I229" s="2963" t="s">
        <v>3086</v>
      </c>
      <c r="M229" s="2963">
        <f t="shared" si="3"/>
        <v>4596.5270684371808</v>
      </c>
    </row>
    <row r="230" spans="1:13">
      <c r="A230" s="2963" t="s">
        <v>3328</v>
      </c>
      <c r="B230" s="2963" t="s">
        <v>3355</v>
      </c>
      <c r="D230" s="2963">
        <v>-1048</v>
      </c>
      <c r="E230" s="2963" t="s">
        <v>3380</v>
      </c>
      <c r="F230" s="2966">
        <v>180000</v>
      </c>
      <c r="G230" s="2971">
        <v>39.159999999999997</v>
      </c>
      <c r="H230" s="2963" t="s">
        <v>3185</v>
      </c>
      <c r="I230" s="2963" t="s">
        <v>3086</v>
      </c>
      <c r="M230" s="2963">
        <f t="shared" si="3"/>
        <v>4596.5270684371808</v>
      </c>
    </row>
    <row r="231" spans="1:13">
      <c r="A231" s="2963" t="s">
        <v>3328</v>
      </c>
      <c r="B231" s="2963" t="s">
        <v>3355</v>
      </c>
      <c r="D231" s="2963">
        <v>-1049</v>
      </c>
      <c r="E231" s="2963" t="s">
        <v>3381</v>
      </c>
      <c r="F231" s="2966">
        <v>180000</v>
      </c>
      <c r="G231" s="2971">
        <v>39.159999999999997</v>
      </c>
      <c r="H231" s="2963" t="s">
        <v>3185</v>
      </c>
      <c r="I231" s="2963" t="s">
        <v>3086</v>
      </c>
      <c r="M231" s="2963">
        <f t="shared" si="3"/>
        <v>4596.5270684371808</v>
      </c>
    </row>
    <row r="232" spans="1:13">
      <c r="A232" s="2963" t="s">
        <v>3328</v>
      </c>
      <c r="B232" s="2963" t="s">
        <v>3355</v>
      </c>
      <c r="D232" s="2963">
        <v>-1050</v>
      </c>
      <c r="E232" s="2963" t="s">
        <v>3382</v>
      </c>
      <c r="F232" s="2966">
        <v>180000</v>
      </c>
      <c r="G232" s="2971">
        <v>39.159999999999997</v>
      </c>
      <c r="H232" s="2963" t="s">
        <v>3185</v>
      </c>
      <c r="I232" s="2963" t="s">
        <v>3086</v>
      </c>
      <c r="M232" s="2963">
        <f t="shared" si="3"/>
        <v>4596.5270684371808</v>
      </c>
    </row>
    <row r="233" spans="1:13">
      <c r="A233" s="2963" t="s">
        <v>3328</v>
      </c>
      <c r="B233" s="2963" t="s">
        <v>3355</v>
      </c>
      <c r="D233" s="2963">
        <v>-1051</v>
      </c>
      <c r="E233" s="2963" t="s">
        <v>3383</v>
      </c>
      <c r="F233" s="2966">
        <v>180000</v>
      </c>
      <c r="G233" s="2971">
        <v>39.159999999999997</v>
      </c>
      <c r="H233" s="2963" t="s">
        <v>3185</v>
      </c>
      <c r="I233" s="2963" t="s">
        <v>3086</v>
      </c>
      <c r="M233" s="2963">
        <f t="shared" si="3"/>
        <v>4596.5270684371808</v>
      </c>
    </row>
    <row r="234" spans="1:13">
      <c r="A234" s="2963" t="s">
        <v>3328</v>
      </c>
      <c r="B234" s="2963" t="s">
        <v>3355</v>
      </c>
      <c r="D234" s="2963">
        <v>-1052</v>
      </c>
      <c r="E234" s="2963" t="s">
        <v>3384</v>
      </c>
      <c r="F234" s="2966">
        <v>180000</v>
      </c>
      <c r="G234" s="2971">
        <v>39.159999999999997</v>
      </c>
      <c r="H234" s="2963" t="s">
        <v>3185</v>
      </c>
      <c r="I234" s="2963" t="s">
        <v>3086</v>
      </c>
      <c r="M234" s="2963">
        <f t="shared" si="3"/>
        <v>4596.5270684371808</v>
      </c>
    </row>
    <row r="235" spans="1:13">
      <c r="A235" s="2963" t="s">
        <v>3328</v>
      </c>
      <c r="B235" s="2963" t="s">
        <v>3355</v>
      </c>
      <c r="D235" s="2963">
        <v>-1053</v>
      </c>
      <c r="E235" s="2963" t="s">
        <v>3385</v>
      </c>
      <c r="F235" s="2966">
        <v>180000</v>
      </c>
      <c r="G235" s="2971">
        <v>39.159999999999997</v>
      </c>
      <c r="H235" s="2963" t="s">
        <v>3185</v>
      </c>
      <c r="I235" s="2963" t="s">
        <v>3086</v>
      </c>
      <c r="M235" s="2963">
        <f t="shared" si="3"/>
        <v>4596.5270684371808</v>
      </c>
    </row>
    <row r="236" spans="1:13">
      <c r="A236" s="2963" t="s">
        <v>3328</v>
      </c>
      <c r="B236" s="2963" t="s">
        <v>3355</v>
      </c>
      <c r="D236" s="2963">
        <v>-1054</v>
      </c>
      <c r="E236" s="2963" t="s">
        <v>3386</v>
      </c>
      <c r="F236" s="2966">
        <v>180000</v>
      </c>
      <c r="G236" s="2971">
        <v>39.159999999999997</v>
      </c>
      <c r="H236" s="2963" t="s">
        <v>3185</v>
      </c>
      <c r="I236" s="2963" t="s">
        <v>3086</v>
      </c>
      <c r="M236" s="2963">
        <f t="shared" si="3"/>
        <v>4596.5270684371808</v>
      </c>
    </row>
    <row r="237" spans="1:13">
      <c r="A237" s="2963" t="s">
        <v>3328</v>
      </c>
      <c r="B237" s="2963" t="s">
        <v>3355</v>
      </c>
      <c r="D237" s="2963">
        <v>-1055</v>
      </c>
      <c r="E237" s="2963" t="s">
        <v>3387</v>
      </c>
      <c r="F237" s="2966">
        <v>180000</v>
      </c>
      <c r="G237" s="2971">
        <v>39.159999999999997</v>
      </c>
      <c r="H237" s="2963" t="s">
        <v>3185</v>
      </c>
      <c r="I237" s="2963" t="s">
        <v>3086</v>
      </c>
      <c r="M237" s="2963">
        <f t="shared" si="3"/>
        <v>4596.5270684371808</v>
      </c>
    </row>
    <row r="238" spans="1:13">
      <c r="A238" s="2963" t="s">
        <v>3328</v>
      </c>
      <c r="B238" s="2963" t="s">
        <v>3355</v>
      </c>
      <c r="D238" s="2963">
        <v>-1056</v>
      </c>
      <c r="E238" s="2963" t="s">
        <v>3388</v>
      </c>
      <c r="F238" s="2966">
        <v>180000</v>
      </c>
      <c r="G238" s="2971">
        <v>39.159999999999997</v>
      </c>
      <c r="H238" s="2963" t="s">
        <v>3185</v>
      </c>
      <c r="I238" s="2963" t="s">
        <v>3086</v>
      </c>
      <c r="M238" s="2963">
        <f t="shared" si="3"/>
        <v>4596.5270684371808</v>
      </c>
    </row>
    <row r="239" spans="1:13">
      <c r="A239" s="2963" t="s">
        <v>3328</v>
      </c>
      <c r="B239" s="2963" t="s">
        <v>3355</v>
      </c>
      <c r="D239" s="2963">
        <v>-1057</v>
      </c>
      <c r="E239" s="2963" t="s">
        <v>3389</v>
      </c>
      <c r="F239" s="2966">
        <v>180000</v>
      </c>
      <c r="G239" s="2971">
        <v>39.159999999999997</v>
      </c>
      <c r="H239" s="2963" t="s">
        <v>3185</v>
      </c>
      <c r="I239" s="2963" t="s">
        <v>3086</v>
      </c>
      <c r="M239" s="2963">
        <f t="shared" si="3"/>
        <v>4596.5270684371808</v>
      </c>
    </row>
    <row r="240" spans="1:13">
      <c r="A240" s="2963" t="s">
        <v>3328</v>
      </c>
      <c r="B240" s="2963" t="s">
        <v>3355</v>
      </c>
      <c r="D240" s="2963">
        <v>-1058</v>
      </c>
      <c r="E240" s="2963" t="s">
        <v>3390</v>
      </c>
      <c r="F240" s="2966">
        <v>180000</v>
      </c>
      <c r="G240" s="2971">
        <v>39.159999999999997</v>
      </c>
      <c r="H240" s="2963" t="s">
        <v>3185</v>
      </c>
      <c r="I240" s="2963" t="s">
        <v>3086</v>
      </c>
      <c r="M240" s="2963">
        <f t="shared" si="3"/>
        <v>4596.5270684371808</v>
      </c>
    </row>
    <row r="241" spans="1:13">
      <c r="A241" s="2963" t="s">
        <v>3328</v>
      </c>
      <c r="B241" s="2963" t="s">
        <v>3355</v>
      </c>
      <c r="D241" s="2963">
        <v>-1059</v>
      </c>
      <c r="E241" s="2963" t="s">
        <v>3391</v>
      </c>
      <c r="F241" s="2966">
        <v>180000</v>
      </c>
      <c r="G241" s="2971">
        <v>39.159999999999997</v>
      </c>
      <c r="H241" s="2963" t="s">
        <v>3185</v>
      </c>
      <c r="I241" s="2963" t="s">
        <v>3086</v>
      </c>
      <c r="M241" s="2963">
        <f t="shared" si="3"/>
        <v>4596.5270684371808</v>
      </c>
    </row>
    <row r="242" spans="1:13">
      <c r="A242" s="2963" t="s">
        <v>3328</v>
      </c>
      <c r="B242" s="2963" t="s">
        <v>3355</v>
      </c>
      <c r="D242" s="2963">
        <v>-1060</v>
      </c>
      <c r="E242" s="2963" t="s">
        <v>3392</v>
      </c>
      <c r="F242" s="2966">
        <v>180000</v>
      </c>
      <c r="G242" s="2971">
        <v>39.159999999999997</v>
      </c>
      <c r="H242" s="2963" t="s">
        <v>3185</v>
      </c>
      <c r="I242" s="2963" t="s">
        <v>3086</v>
      </c>
      <c r="M242" s="2963">
        <f t="shared" si="3"/>
        <v>4596.5270684371808</v>
      </c>
    </row>
    <row r="243" spans="1:13">
      <c r="A243" s="2963" t="s">
        <v>3328</v>
      </c>
      <c r="B243" s="2963" t="s">
        <v>3355</v>
      </c>
      <c r="D243" s="2963">
        <v>-1061</v>
      </c>
      <c r="E243" s="2963" t="s">
        <v>3393</v>
      </c>
      <c r="F243" s="2966">
        <v>180000</v>
      </c>
      <c r="G243" s="2971">
        <v>39.159999999999997</v>
      </c>
      <c r="H243" s="2963" t="s">
        <v>3185</v>
      </c>
      <c r="I243" s="2963" t="s">
        <v>3086</v>
      </c>
      <c r="M243" s="2963">
        <f t="shared" si="3"/>
        <v>4596.5270684371808</v>
      </c>
    </row>
    <row r="244" spans="1:13">
      <c r="A244" s="2963" t="s">
        <v>3328</v>
      </c>
      <c r="B244" s="2963" t="s">
        <v>3355</v>
      </c>
      <c r="D244" s="2963">
        <v>-1062</v>
      </c>
      <c r="E244" s="2963" t="s">
        <v>3394</v>
      </c>
      <c r="F244" s="2966">
        <v>180000</v>
      </c>
      <c r="G244" s="2971">
        <v>39.159999999999997</v>
      </c>
      <c r="H244" s="2963" t="s">
        <v>3185</v>
      </c>
      <c r="I244" s="2963" t="s">
        <v>3086</v>
      </c>
      <c r="M244" s="2963">
        <f t="shared" si="3"/>
        <v>4596.5270684371808</v>
      </c>
    </row>
    <row r="245" spans="1:13">
      <c r="A245" s="2963" t="s">
        <v>3328</v>
      </c>
      <c r="B245" s="2963" t="s">
        <v>3355</v>
      </c>
      <c r="D245" s="2963">
        <v>-1063</v>
      </c>
      <c r="E245" s="2963" t="s">
        <v>3395</v>
      </c>
      <c r="F245" s="2966">
        <v>180000</v>
      </c>
      <c r="G245" s="2971">
        <v>39.159999999999997</v>
      </c>
      <c r="H245" s="2963" t="s">
        <v>3185</v>
      </c>
      <c r="I245" s="2963" t="s">
        <v>3086</v>
      </c>
      <c r="M245" s="2963">
        <f t="shared" si="3"/>
        <v>4596.5270684371808</v>
      </c>
    </row>
    <row r="246" spans="1:13">
      <c r="A246" s="2963" t="s">
        <v>3328</v>
      </c>
      <c r="B246" s="2963" t="s">
        <v>3355</v>
      </c>
      <c r="D246" s="2963">
        <v>-1064</v>
      </c>
      <c r="E246" s="2963" t="s">
        <v>3396</v>
      </c>
      <c r="F246" s="2966">
        <v>180000</v>
      </c>
      <c r="G246" s="2971">
        <v>39.159999999999997</v>
      </c>
      <c r="H246" s="2963" t="s">
        <v>3185</v>
      </c>
      <c r="I246" s="2963" t="s">
        <v>3086</v>
      </c>
      <c r="M246" s="2963">
        <f t="shared" si="3"/>
        <v>4596.5270684371808</v>
      </c>
    </row>
    <row r="247" spans="1:13">
      <c r="A247" s="2963" t="s">
        <v>3328</v>
      </c>
      <c r="B247" s="2963" t="s">
        <v>3355</v>
      </c>
      <c r="D247" s="2963">
        <v>-1065</v>
      </c>
      <c r="E247" s="2963" t="s">
        <v>3397</v>
      </c>
      <c r="F247" s="2966">
        <v>180000</v>
      </c>
      <c r="G247" s="2971">
        <v>39.159999999999997</v>
      </c>
      <c r="H247" s="2963" t="s">
        <v>3185</v>
      </c>
      <c r="I247" s="2963" t="s">
        <v>3086</v>
      </c>
      <c r="M247" s="2963">
        <f t="shared" si="3"/>
        <v>4596.5270684371808</v>
      </c>
    </row>
    <row r="248" spans="1:13">
      <c r="A248" s="2963" t="s">
        <v>3328</v>
      </c>
      <c r="B248" s="2963" t="s">
        <v>3355</v>
      </c>
      <c r="D248" s="2963">
        <v>-1067</v>
      </c>
      <c r="E248" s="2963" t="s">
        <v>3398</v>
      </c>
      <c r="F248" s="2966">
        <v>180000</v>
      </c>
      <c r="G248" s="2971">
        <v>39.159999999999997</v>
      </c>
      <c r="H248" s="2963" t="s">
        <v>3185</v>
      </c>
      <c r="I248" s="2963" t="s">
        <v>3086</v>
      </c>
      <c r="M248" s="2963">
        <f t="shared" si="3"/>
        <v>4596.5270684371808</v>
      </c>
    </row>
    <row r="249" spans="1:13">
      <c r="A249" s="2963" t="s">
        <v>3328</v>
      </c>
      <c r="B249" s="2963" t="s">
        <v>3355</v>
      </c>
      <c r="D249" s="2963">
        <v>-1069</v>
      </c>
      <c r="E249" s="2963" t="s">
        <v>3399</v>
      </c>
      <c r="F249" s="2966">
        <v>180000</v>
      </c>
      <c r="G249" s="2971">
        <v>39.159999999999997</v>
      </c>
      <c r="H249" s="2963" t="s">
        <v>3185</v>
      </c>
      <c r="I249" s="2963" t="s">
        <v>3086</v>
      </c>
      <c r="M249" s="2963">
        <f t="shared" si="3"/>
        <v>4596.5270684371808</v>
      </c>
    </row>
    <row r="250" spans="1:13">
      <c r="A250" s="2963" t="s">
        <v>3328</v>
      </c>
      <c r="B250" s="2963" t="s">
        <v>3355</v>
      </c>
      <c r="D250" s="2963">
        <v>-1070</v>
      </c>
      <c r="E250" s="2963" t="s">
        <v>3400</v>
      </c>
      <c r="F250" s="2966">
        <v>180000</v>
      </c>
      <c r="G250" s="2971">
        <v>39.159999999999997</v>
      </c>
      <c r="H250" s="2963" t="s">
        <v>3185</v>
      </c>
      <c r="I250" s="2963" t="s">
        <v>3086</v>
      </c>
      <c r="M250" s="2963">
        <f t="shared" si="3"/>
        <v>4596.5270684371808</v>
      </c>
    </row>
    <row r="251" spans="1:13">
      <c r="A251" s="2963" t="s">
        <v>3328</v>
      </c>
      <c r="B251" s="2963" t="s">
        <v>3355</v>
      </c>
      <c r="D251" s="2963">
        <v>-1071</v>
      </c>
      <c r="E251" s="2963" t="s">
        <v>3401</v>
      </c>
      <c r="F251" s="2966">
        <v>180000</v>
      </c>
      <c r="G251" s="2971">
        <v>39.159999999999997</v>
      </c>
      <c r="H251" s="2963" t="s">
        <v>3185</v>
      </c>
      <c r="I251" s="2963" t="s">
        <v>3086</v>
      </c>
      <c r="M251" s="2963">
        <f t="shared" si="3"/>
        <v>4596.5270684371808</v>
      </c>
    </row>
    <row r="252" spans="1:13">
      <c r="A252" s="2963" t="s">
        <v>3328</v>
      </c>
      <c r="B252" s="2963" t="s">
        <v>3355</v>
      </c>
      <c r="D252" s="2963">
        <v>-1072</v>
      </c>
      <c r="E252" s="2963" t="s">
        <v>3402</v>
      </c>
      <c r="F252" s="2966">
        <v>180000</v>
      </c>
      <c r="G252" s="2971">
        <v>39.159999999999997</v>
      </c>
      <c r="H252" s="2963" t="s">
        <v>3185</v>
      </c>
      <c r="I252" s="2963" t="s">
        <v>3086</v>
      </c>
      <c r="M252" s="2963">
        <f t="shared" si="3"/>
        <v>4596.5270684371808</v>
      </c>
    </row>
    <row r="253" spans="1:13">
      <c r="A253" s="2963" t="s">
        <v>3328</v>
      </c>
      <c r="B253" s="2963" t="s">
        <v>3355</v>
      </c>
      <c r="D253" s="2963">
        <v>-1073</v>
      </c>
      <c r="E253" s="2963" t="s">
        <v>3403</v>
      </c>
      <c r="F253" s="2966">
        <v>180000</v>
      </c>
      <c r="G253" s="2971">
        <v>39.159999999999997</v>
      </c>
      <c r="H253" s="2963" t="s">
        <v>3185</v>
      </c>
      <c r="I253" s="2963" t="s">
        <v>3086</v>
      </c>
      <c r="M253" s="2963">
        <f t="shared" si="3"/>
        <v>4596.5270684371808</v>
      </c>
    </row>
    <row r="254" spans="1:13">
      <c r="A254" s="2963" t="s">
        <v>3328</v>
      </c>
      <c r="B254" s="2963" t="s">
        <v>3355</v>
      </c>
      <c r="D254" s="2963">
        <v>-1074</v>
      </c>
      <c r="E254" s="2963" t="s">
        <v>3404</v>
      </c>
      <c r="F254" s="2966">
        <v>180000</v>
      </c>
      <c r="G254" s="2971">
        <v>39.159999999999997</v>
      </c>
      <c r="H254" s="2963" t="s">
        <v>3185</v>
      </c>
      <c r="I254" s="2963" t="s">
        <v>3086</v>
      </c>
      <c r="M254" s="2963">
        <f t="shared" si="3"/>
        <v>4596.5270684371808</v>
      </c>
    </row>
    <row r="255" spans="1:13">
      <c r="A255" s="2963" t="s">
        <v>3328</v>
      </c>
      <c r="B255" s="2963" t="s">
        <v>3355</v>
      </c>
      <c r="D255" s="2963">
        <v>-1075</v>
      </c>
      <c r="E255" s="2963" t="s">
        <v>3405</v>
      </c>
      <c r="F255" s="2966">
        <v>180000</v>
      </c>
      <c r="G255" s="2971">
        <v>39.159999999999997</v>
      </c>
      <c r="H255" s="2963" t="s">
        <v>3185</v>
      </c>
      <c r="I255" s="2963" t="s">
        <v>3086</v>
      </c>
      <c r="M255" s="2963">
        <f t="shared" si="3"/>
        <v>4596.5270684371808</v>
      </c>
    </row>
    <row r="256" spans="1:13">
      <c r="A256" s="2963" t="s">
        <v>3328</v>
      </c>
      <c r="B256" s="2963" t="s">
        <v>3355</v>
      </c>
      <c r="D256" s="2963">
        <v>-1076</v>
      </c>
      <c r="E256" s="2963" t="s">
        <v>3406</v>
      </c>
      <c r="F256" s="2966">
        <v>180000</v>
      </c>
      <c r="G256" s="2971">
        <v>39.159999999999997</v>
      </c>
      <c r="H256" s="2963" t="s">
        <v>3185</v>
      </c>
      <c r="I256" s="2963" t="s">
        <v>3086</v>
      </c>
      <c r="M256" s="2963">
        <f t="shared" si="3"/>
        <v>4596.5270684371808</v>
      </c>
    </row>
    <row r="257" spans="1:13">
      <c r="A257" s="2963" t="s">
        <v>3328</v>
      </c>
      <c r="B257" s="2963" t="s">
        <v>3355</v>
      </c>
      <c r="D257" s="2963">
        <v>-1077</v>
      </c>
      <c r="E257" s="2963" t="s">
        <v>3407</v>
      </c>
      <c r="F257" s="2966">
        <v>180000</v>
      </c>
      <c r="G257" s="2971">
        <v>39.159999999999997</v>
      </c>
      <c r="H257" s="2963" t="s">
        <v>3185</v>
      </c>
      <c r="I257" s="2963" t="s">
        <v>3086</v>
      </c>
      <c r="M257" s="2963">
        <f t="shared" si="3"/>
        <v>4596.5270684371808</v>
      </c>
    </row>
    <row r="258" spans="1:13">
      <c r="A258" s="2963" t="s">
        <v>3328</v>
      </c>
      <c r="B258" s="2963" t="s">
        <v>3355</v>
      </c>
      <c r="D258" s="2963">
        <v>-1080</v>
      </c>
      <c r="E258" s="2963" t="s">
        <v>3408</v>
      </c>
      <c r="F258" s="2966">
        <v>180000</v>
      </c>
      <c r="G258" s="2971">
        <v>39.159999999999997</v>
      </c>
      <c r="H258" s="2963" t="s">
        <v>3185</v>
      </c>
      <c r="I258" s="2963" t="s">
        <v>3086</v>
      </c>
      <c r="M258" s="2963">
        <f t="shared" si="3"/>
        <v>4596.5270684371808</v>
      </c>
    </row>
    <row r="259" spans="1:13">
      <c r="A259" s="2963" t="s">
        <v>3328</v>
      </c>
      <c r="B259" s="2963" t="s">
        <v>3355</v>
      </c>
      <c r="D259" s="2963">
        <v>-1085</v>
      </c>
      <c r="E259" s="2963" t="s">
        <v>3409</v>
      </c>
      <c r="F259" s="2966">
        <v>180000</v>
      </c>
      <c r="G259" s="2971">
        <v>39.159999999999997</v>
      </c>
      <c r="H259" s="2963" t="s">
        <v>3185</v>
      </c>
      <c r="I259" s="2963" t="s">
        <v>3086</v>
      </c>
      <c r="M259" s="2963">
        <f t="shared" si="3"/>
        <v>4596.5270684371808</v>
      </c>
    </row>
    <row r="260" spans="1:13">
      <c r="A260" s="2963" t="s">
        <v>3328</v>
      </c>
      <c r="B260" s="2963" t="s">
        <v>3355</v>
      </c>
      <c r="D260" s="2963">
        <v>-1086</v>
      </c>
      <c r="E260" s="2963" t="s">
        <v>3410</v>
      </c>
      <c r="F260" s="2966">
        <v>180000</v>
      </c>
      <c r="G260" s="2971">
        <v>39.159999999999997</v>
      </c>
      <c r="H260" s="2963" t="s">
        <v>3185</v>
      </c>
      <c r="I260" s="2963" t="s">
        <v>3086</v>
      </c>
      <c r="M260" s="2963">
        <f t="shared" ref="M260:M322" si="4">F260/G260</f>
        <v>4596.5270684371808</v>
      </c>
    </row>
    <row r="261" spans="1:13">
      <c r="A261" s="2963" t="s">
        <v>3328</v>
      </c>
      <c r="B261" s="2963" t="s">
        <v>3355</v>
      </c>
      <c r="D261" s="2963">
        <v>-1087</v>
      </c>
      <c r="E261" s="2963" t="s">
        <v>3411</v>
      </c>
      <c r="F261" s="2966">
        <v>180000</v>
      </c>
      <c r="G261" s="2971">
        <v>39.159999999999997</v>
      </c>
      <c r="H261" s="2963" t="s">
        <v>3185</v>
      </c>
      <c r="I261" s="2963" t="s">
        <v>3086</v>
      </c>
      <c r="M261" s="2963">
        <f t="shared" si="4"/>
        <v>4596.5270684371808</v>
      </c>
    </row>
    <row r="262" spans="1:13">
      <c r="A262" s="2963" t="s">
        <v>3328</v>
      </c>
      <c r="B262" s="2963" t="s">
        <v>3355</v>
      </c>
      <c r="D262" s="2963">
        <v>-1088</v>
      </c>
      <c r="E262" s="2963" t="s">
        <v>3412</v>
      </c>
      <c r="F262" s="2966">
        <v>180000</v>
      </c>
      <c r="G262" s="2971">
        <v>39.159999999999997</v>
      </c>
      <c r="H262" s="2963" t="s">
        <v>3185</v>
      </c>
      <c r="I262" s="2963" t="s">
        <v>3086</v>
      </c>
      <c r="M262" s="2963">
        <f t="shared" si="4"/>
        <v>4596.5270684371808</v>
      </c>
    </row>
    <row r="263" spans="1:13">
      <c r="A263" s="2963" t="s">
        <v>3328</v>
      </c>
      <c r="B263" s="2963" t="s">
        <v>3355</v>
      </c>
      <c r="D263" s="2963">
        <v>-1089</v>
      </c>
      <c r="E263" s="2963" t="s">
        <v>3413</v>
      </c>
      <c r="F263" s="2966">
        <v>180000</v>
      </c>
      <c r="G263" s="2971">
        <v>39.159999999999997</v>
      </c>
      <c r="H263" s="2963" t="s">
        <v>3185</v>
      </c>
      <c r="I263" s="2963" t="s">
        <v>3086</v>
      </c>
      <c r="M263" s="2963">
        <f t="shared" si="4"/>
        <v>4596.5270684371808</v>
      </c>
    </row>
    <row r="264" spans="1:13">
      <c r="A264" s="2963" t="s">
        <v>3328</v>
      </c>
      <c r="B264" s="2963" t="s">
        <v>3355</v>
      </c>
      <c r="D264" s="2963">
        <v>-1094</v>
      </c>
      <c r="E264" s="2963" t="s">
        <v>3414</v>
      </c>
      <c r="F264" s="2966">
        <v>180000</v>
      </c>
      <c r="G264" s="2971">
        <v>39.159999999999997</v>
      </c>
      <c r="H264" s="2963" t="s">
        <v>3185</v>
      </c>
      <c r="I264" s="2963" t="s">
        <v>3086</v>
      </c>
      <c r="M264" s="2963">
        <f t="shared" si="4"/>
        <v>4596.5270684371808</v>
      </c>
    </row>
    <row r="265" spans="1:13">
      <c r="A265" s="2963" t="s">
        <v>3328</v>
      </c>
      <c r="B265" s="2963" t="s">
        <v>3355</v>
      </c>
      <c r="D265" s="2963">
        <v>-1095</v>
      </c>
      <c r="E265" s="2963" t="s">
        <v>3415</v>
      </c>
      <c r="F265" s="2966">
        <v>180000</v>
      </c>
      <c r="G265" s="2971">
        <v>39.159999999999997</v>
      </c>
      <c r="H265" s="2963" t="s">
        <v>3185</v>
      </c>
      <c r="I265" s="2963" t="s">
        <v>3086</v>
      </c>
      <c r="M265" s="2963">
        <f t="shared" si="4"/>
        <v>4596.5270684371808</v>
      </c>
    </row>
    <row r="266" spans="1:13">
      <c r="A266" s="2963" t="s">
        <v>3328</v>
      </c>
      <c r="B266" s="2963" t="s">
        <v>3355</v>
      </c>
      <c r="D266" s="2963">
        <v>-1099</v>
      </c>
      <c r="E266" s="2963" t="s">
        <v>3416</v>
      </c>
      <c r="F266" s="2966">
        <v>180000</v>
      </c>
      <c r="G266" s="2971">
        <v>39.159999999999997</v>
      </c>
      <c r="H266" s="2963" t="s">
        <v>3185</v>
      </c>
      <c r="I266" s="2963" t="s">
        <v>3086</v>
      </c>
      <c r="M266" s="2963">
        <f t="shared" si="4"/>
        <v>4596.5270684371808</v>
      </c>
    </row>
    <row r="267" spans="1:13">
      <c r="A267" s="2963" t="s">
        <v>3328</v>
      </c>
      <c r="B267" s="2963" t="s">
        <v>3355</v>
      </c>
      <c r="D267" s="2963">
        <v>-1100</v>
      </c>
      <c r="E267" s="2963" t="s">
        <v>3417</v>
      </c>
      <c r="F267" s="2966">
        <v>180000</v>
      </c>
      <c r="G267" s="2971">
        <v>39.159999999999997</v>
      </c>
      <c r="H267" s="2963" t="s">
        <v>3185</v>
      </c>
      <c r="I267" s="2963" t="s">
        <v>3086</v>
      </c>
      <c r="M267" s="2963">
        <f t="shared" si="4"/>
        <v>4596.5270684371808</v>
      </c>
    </row>
    <row r="268" spans="1:13">
      <c r="A268" s="2963" t="s">
        <v>3328</v>
      </c>
      <c r="B268" s="2963" t="s">
        <v>3355</v>
      </c>
      <c r="D268" s="2963">
        <v>-1101</v>
      </c>
      <c r="E268" s="2963" t="s">
        <v>3418</v>
      </c>
      <c r="F268" s="2966">
        <v>180000</v>
      </c>
      <c r="G268" s="2971">
        <v>39.159999999999997</v>
      </c>
      <c r="H268" s="2963" t="s">
        <v>3185</v>
      </c>
      <c r="I268" s="2963" t="s">
        <v>3086</v>
      </c>
      <c r="M268" s="2963">
        <f t="shared" si="4"/>
        <v>4596.5270684371808</v>
      </c>
    </row>
    <row r="269" spans="1:13">
      <c r="A269" s="2963" t="s">
        <v>3328</v>
      </c>
      <c r="B269" s="2963" t="s">
        <v>3355</v>
      </c>
      <c r="D269" s="2963">
        <v>-1102</v>
      </c>
      <c r="E269" s="2963" t="s">
        <v>3419</v>
      </c>
      <c r="F269" s="2966">
        <v>180000</v>
      </c>
      <c r="G269" s="2971">
        <v>27.52</v>
      </c>
      <c r="H269" s="2963" t="s">
        <v>3185</v>
      </c>
      <c r="I269" s="2963" t="s">
        <v>3086</v>
      </c>
      <c r="M269" s="2963">
        <f t="shared" si="4"/>
        <v>6540.6976744186049</v>
      </c>
    </row>
    <row r="270" spans="1:13">
      <c r="A270" s="2963" t="s">
        <v>3328</v>
      </c>
      <c r="B270" s="2963" t="s">
        <v>3355</v>
      </c>
      <c r="D270" s="2963">
        <v>-1103</v>
      </c>
      <c r="E270" s="2963" t="s">
        <v>3420</v>
      </c>
      <c r="F270" s="2966">
        <v>180000</v>
      </c>
      <c r="G270" s="2971">
        <v>27.52</v>
      </c>
      <c r="H270" s="2963" t="s">
        <v>3185</v>
      </c>
      <c r="I270" s="2963" t="s">
        <v>3086</v>
      </c>
      <c r="M270" s="2963">
        <f t="shared" si="4"/>
        <v>6540.6976744186049</v>
      </c>
    </row>
    <row r="271" spans="1:13">
      <c r="A271" s="2963" t="s">
        <v>3328</v>
      </c>
      <c r="B271" s="2963" t="s">
        <v>3355</v>
      </c>
      <c r="D271" s="2963">
        <v>-1104</v>
      </c>
      <c r="E271" s="2963" t="s">
        <v>3421</v>
      </c>
      <c r="F271" s="2966">
        <v>180000</v>
      </c>
      <c r="G271" s="2971">
        <v>39.159999999999997</v>
      </c>
      <c r="H271" s="2963" t="s">
        <v>3185</v>
      </c>
      <c r="I271" s="2963" t="s">
        <v>3086</v>
      </c>
      <c r="M271" s="2963">
        <f t="shared" si="4"/>
        <v>4596.5270684371808</v>
      </c>
    </row>
    <row r="272" spans="1:13">
      <c r="A272" s="2963" t="s">
        <v>3328</v>
      </c>
      <c r="B272" s="2963" t="s">
        <v>3355</v>
      </c>
      <c r="D272" s="2963">
        <v>-1108</v>
      </c>
      <c r="E272" s="2963" t="s">
        <v>3422</v>
      </c>
      <c r="F272" s="2966">
        <v>180000</v>
      </c>
      <c r="G272" s="2971">
        <v>39.159999999999997</v>
      </c>
      <c r="H272" s="2963" t="s">
        <v>3185</v>
      </c>
      <c r="I272" s="2963" t="s">
        <v>3086</v>
      </c>
      <c r="M272" s="2963">
        <f t="shared" si="4"/>
        <v>4596.5270684371808</v>
      </c>
    </row>
    <row r="273" spans="1:13">
      <c r="A273" s="2963" t="s">
        <v>3328</v>
      </c>
      <c r="B273" s="2963" t="s">
        <v>3355</v>
      </c>
      <c r="D273" s="2963">
        <v>-1110</v>
      </c>
      <c r="E273" s="2963" t="s">
        <v>3423</v>
      </c>
      <c r="F273" s="2966">
        <v>180000</v>
      </c>
      <c r="G273" s="2971">
        <v>39.159999999999997</v>
      </c>
      <c r="H273" s="2963" t="s">
        <v>3185</v>
      </c>
      <c r="I273" s="2963" t="s">
        <v>3086</v>
      </c>
      <c r="M273" s="2963">
        <f t="shared" si="4"/>
        <v>4596.5270684371808</v>
      </c>
    </row>
    <row r="274" spans="1:13">
      <c r="A274" s="2963" t="s">
        <v>3328</v>
      </c>
      <c r="B274" s="2963" t="s">
        <v>3355</v>
      </c>
      <c r="D274" s="2963">
        <v>-1112</v>
      </c>
      <c r="E274" s="2963" t="s">
        <v>3424</v>
      </c>
      <c r="F274" s="2966">
        <v>180000</v>
      </c>
      <c r="G274" s="2971">
        <v>39.159999999999997</v>
      </c>
      <c r="H274" s="2963" t="s">
        <v>3185</v>
      </c>
      <c r="I274" s="2963" t="s">
        <v>3086</v>
      </c>
      <c r="M274" s="2963">
        <f t="shared" si="4"/>
        <v>4596.5270684371808</v>
      </c>
    </row>
    <row r="275" spans="1:13">
      <c r="A275" s="2963" t="s">
        <v>3328</v>
      </c>
      <c r="B275" s="2963" t="s">
        <v>3355</v>
      </c>
      <c r="D275" s="2963">
        <v>-1113</v>
      </c>
      <c r="E275" s="2963" t="s">
        <v>3425</v>
      </c>
      <c r="F275" s="2966">
        <v>180000</v>
      </c>
      <c r="G275" s="2971">
        <v>39.159999999999997</v>
      </c>
      <c r="H275" s="2963" t="s">
        <v>3185</v>
      </c>
      <c r="I275" s="2963" t="s">
        <v>3086</v>
      </c>
      <c r="M275" s="2963">
        <f t="shared" si="4"/>
        <v>4596.5270684371808</v>
      </c>
    </row>
    <row r="276" spans="1:13">
      <c r="A276" s="2963" t="s">
        <v>3328</v>
      </c>
      <c r="B276" s="2963" t="s">
        <v>3355</v>
      </c>
      <c r="D276" s="2963">
        <v>-1114</v>
      </c>
      <c r="E276" s="2963" t="s">
        <v>3426</v>
      </c>
      <c r="F276" s="2966">
        <v>180000</v>
      </c>
      <c r="G276" s="2971">
        <v>39.159999999999997</v>
      </c>
      <c r="H276" s="2963" t="s">
        <v>3185</v>
      </c>
      <c r="I276" s="2963" t="s">
        <v>3086</v>
      </c>
      <c r="M276" s="2963">
        <f t="shared" si="4"/>
        <v>4596.5270684371808</v>
      </c>
    </row>
    <row r="277" spans="1:13">
      <c r="A277" s="2963" t="s">
        <v>3328</v>
      </c>
      <c r="B277" s="2963" t="s">
        <v>3355</v>
      </c>
      <c r="D277" s="2963">
        <v>-1115</v>
      </c>
      <c r="E277" s="2963" t="s">
        <v>3427</v>
      </c>
      <c r="F277" s="2966">
        <v>180000</v>
      </c>
      <c r="G277" s="2971">
        <v>39.159999999999997</v>
      </c>
      <c r="H277" s="2963" t="s">
        <v>3185</v>
      </c>
      <c r="I277" s="2963" t="s">
        <v>3086</v>
      </c>
      <c r="M277" s="2963">
        <f t="shared" si="4"/>
        <v>4596.5270684371808</v>
      </c>
    </row>
    <row r="278" spans="1:13">
      <c r="A278" s="2963" t="s">
        <v>3328</v>
      </c>
      <c r="B278" s="2963" t="s">
        <v>3355</v>
      </c>
      <c r="D278" s="2963">
        <v>-1116</v>
      </c>
      <c r="E278" s="2963" t="s">
        <v>3428</v>
      </c>
      <c r="F278" s="2966">
        <v>180000</v>
      </c>
      <c r="G278" s="2971">
        <v>39.159999999999997</v>
      </c>
      <c r="H278" s="2963" t="s">
        <v>3185</v>
      </c>
      <c r="I278" s="2963" t="s">
        <v>3086</v>
      </c>
      <c r="M278" s="2963">
        <f t="shared" si="4"/>
        <v>4596.5270684371808</v>
      </c>
    </row>
    <row r="279" spans="1:13">
      <c r="A279" s="2963" t="s">
        <v>3328</v>
      </c>
      <c r="B279" s="2963" t="s">
        <v>3355</v>
      </c>
      <c r="D279" s="2963">
        <v>-1117</v>
      </c>
      <c r="E279" s="2963" t="s">
        <v>3429</v>
      </c>
      <c r="F279" s="2966">
        <v>180000</v>
      </c>
      <c r="G279" s="2971">
        <v>39.159999999999997</v>
      </c>
      <c r="H279" s="2963" t="s">
        <v>3185</v>
      </c>
      <c r="I279" s="2963" t="s">
        <v>3086</v>
      </c>
      <c r="M279" s="2963">
        <f t="shared" si="4"/>
        <v>4596.5270684371808</v>
      </c>
    </row>
    <row r="280" spans="1:13">
      <c r="A280" s="2963" t="s">
        <v>3328</v>
      </c>
      <c r="B280" s="2963" t="s">
        <v>3355</v>
      </c>
      <c r="D280" s="2963">
        <v>-1119</v>
      </c>
      <c r="E280" s="2963" t="s">
        <v>3430</v>
      </c>
      <c r="F280" s="2966">
        <v>180000</v>
      </c>
      <c r="G280" s="2971">
        <v>39.159999999999997</v>
      </c>
      <c r="H280" s="2963" t="s">
        <v>3185</v>
      </c>
      <c r="I280" s="2963" t="s">
        <v>3086</v>
      </c>
      <c r="M280" s="2963">
        <f t="shared" si="4"/>
        <v>4596.5270684371808</v>
      </c>
    </row>
    <row r="281" spans="1:13">
      <c r="A281" s="2963" t="s">
        <v>3328</v>
      </c>
      <c r="B281" s="2963" t="s">
        <v>3355</v>
      </c>
      <c r="D281" s="2963">
        <v>-1120</v>
      </c>
      <c r="E281" s="2963" t="s">
        <v>3431</v>
      </c>
      <c r="F281" s="2966">
        <v>180000</v>
      </c>
      <c r="G281" s="2971">
        <v>39.159999999999997</v>
      </c>
      <c r="H281" s="2963" t="s">
        <v>3185</v>
      </c>
      <c r="I281" s="2963" t="s">
        <v>3086</v>
      </c>
      <c r="M281" s="2963">
        <f t="shared" si="4"/>
        <v>4596.5270684371808</v>
      </c>
    </row>
    <row r="282" spans="1:13">
      <c r="A282" s="2963" t="s">
        <v>3328</v>
      </c>
      <c r="B282" s="2963" t="s">
        <v>3355</v>
      </c>
      <c r="D282" s="2963">
        <v>-1121</v>
      </c>
      <c r="E282" s="2963" t="s">
        <v>3432</v>
      </c>
      <c r="F282" s="2966">
        <v>180000</v>
      </c>
      <c r="G282" s="2971">
        <v>39.159999999999997</v>
      </c>
      <c r="H282" s="2963" t="s">
        <v>3185</v>
      </c>
      <c r="I282" s="2963" t="s">
        <v>3086</v>
      </c>
      <c r="M282" s="2963">
        <f t="shared" si="4"/>
        <v>4596.5270684371808</v>
      </c>
    </row>
    <row r="283" spans="1:13">
      <c r="A283" s="2963" t="s">
        <v>3328</v>
      </c>
      <c r="B283" s="2963" t="s">
        <v>3355</v>
      </c>
      <c r="D283" s="2963">
        <v>-1122</v>
      </c>
      <c r="E283" s="2963" t="s">
        <v>3433</v>
      </c>
      <c r="F283" s="2966">
        <v>180000</v>
      </c>
      <c r="G283" s="2971">
        <v>39.159999999999997</v>
      </c>
      <c r="H283" s="2963" t="s">
        <v>3185</v>
      </c>
      <c r="I283" s="2963" t="s">
        <v>3086</v>
      </c>
      <c r="M283" s="2963">
        <f t="shared" si="4"/>
        <v>4596.5270684371808</v>
      </c>
    </row>
    <row r="284" spans="1:13">
      <c r="A284" s="2963" t="s">
        <v>3328</v>
      </c>
      <c r="B284" s="2963" t="s">
        <v>3355</v>
      </c>
      <c r="D284" s="2963">
        <v>-1123</v>
      </c>
      <c r="E284" s="2963" t="s">
        <v>3434</v>
      </c>
      <c r="F284" s="2966">
        <v>180000</v>
      </c>
      <c r="G284" s="2971">
        <v>39.159999999999997</v>
      </c>
      <c r="H284" s="2963" t="s">
        <v>3185</v>
      </c>
      <c r="I284" s="2963" t="s">
        <v>3086</v>
      </c>
      <c r="M284" s="2963">
        <f t="shared" si="4"/>
        <v>4596.5270684371808</v>
      </c>
    </row>
    <row r="285" spans="1:13">
      <c r="A285" s="2963" t="s">
        <v>3328</v>
      </c>
      <c r="B285" s="2963" t="s">
        <v>3355</v>
      </c>
      <c r="D285" s="2963">
        <v>-1124</v>
      </c>
      <c r="E285" s="2963" t="s">
        <v>3435</v>
      </c>
      <c r="F285" s="2966">
        <v>180000</v>
      </c>
      <c r="G285" s="2971">
        <v>39.159999999999997</v>
      </c>
      <c r="H285" s="2963" t="s">
        <v>3185</v>
      </c>
      <c r="I285" s="2963" t="s">
        <v>3086</v>
      </c>
      <c r="M285" s="2963">
        <f t="shared" si="4"/>
        <v>4596.5270684371808</v>
      </c>
    </row>
    <row r="286" spans="1:13">
      <c r="A286" s="2963" t="s">
        <v>3328</v>
      </c>
      <c r="B286" s="2963" t="s">
        <v>3355</v>
      </c>
      <c r="D286" s="2963">
        <v>-1125</v>
      </c>
      <c r="E286" s="2963" t="s">
        <v>3436</v>
      </c>
      <c r="F286" s="2966">
        <v>180000</v>
      </c>
      <c r="G286" s="2971">
        <v>39.159999999999997</v>
      </c>
      <c r="H286" s="2963" t="s">
        <v>3185</v>
      </c>
      <c r="I286" s="2963" t="s">
        <v>3086</v>
      </c>
      <c r="M286" s="2963">
        <f t="shared" si="4"/>
        <v>4596.5270684371808</v>
      </c>
    </row>
    <row r="287" spans="1:13">
      <c r="A287" s="2963" t="s">
        <v>3328</v>
      </c>
      <c r="B287" s="2963" t="s">
        <v>3355</v>
      </c>
      <c r="D287" s="2963">
        <v>-1126</v>
      </c>
      <c r="E287" s="2963" t="s">
        <v>3437</v>
      </c>
      <c r="F287" s="2966">
        <v>180000</v>
      </c>
      <c r="G287" s="2971">
        <v>39.159999999999997</v>
      </c>
      <c r="H287" s="2963" t="s">
        <v>3185</v>
      </c>
      <c r="I287" s="2963" t="s">
        <v>3086</v>
      </c>
      <c r="M287" s="2963">
        <f t="shared" si="4"/>
        <v>4596.5270684371808</v>
      </c>
    </row>
    <row r="288" spans="1:13">
      <c r="A288" s="2963" t="s">
        <v>3328</v>
      </c>
      <c r="B288" s="2963" t="s">
        <v>3355</v>
      </c>
      <c r="D288" s="2963">
        <v>-1127</v>
      </c>
      <c r="E288" s="2963" t="s">
        <v>3438</v>
      </c>
      <c r="F288" s="2966">
        <v>180000</v>
      </c>
      <c r="G288" s="2971">
        <v>39.159999999999997</v>
      </c>
      <c r="H288" s="2963" t="s">
        <v>3185</v>
      </c>
      <c r="I288" s="2963" t="s">
        <v>3086</v>
      </c>
      <c r="M288" s="2963">
        <f t="shared" si="4"/>
        <v>4596.5270684371808</v>
      </c>
    </row>
    <row r="289" spans="1:13">
      <c r="A289" s="2963" t="s">
        <v>3328</v>
      </c>
      <c r="B289" s="2963" t="s">
        <v>3355</v>
      </c>
      <c r="D289" s="2963">
        <v>-1128</v>
      </c>
      <c r="E289" s="2963" t="s">
        <v>3439</v>
      </c>
      <c r="F289" s="2966">
        <v>180000</v>
      </c>
      <c r="G289" s="2971">
        <v>39.159999999999997</v>
      </c>
      <c r="H289" s="2963" t="s">
        <v>3185</v>
      </c>
      <c r="I289" s="2963" t="s">
        <v>3086</v>
      </c>
      <c r="M289" s="2963">
        <f t="shared" si="4"/>
        <v>4596.5270684371808</v>
      </c>
    </row>
    <row r="290" spans="1:13">
      <c r="A290" s="2963" t="s">
        <v>3328</v>
      </c>
      <c r="B290" s="2963" t="s">
        <v>3355</v>
      </c>
      <c r="D290" s="2963">
        <v>-1129</v>
      </c>
      <c r="E290" s="2963" t="s">
        <v>3440</v>
      </c>
      <c r="F290" s="2966">
        <v>180000</v>
      </c>
      <c r="G290" s="2971">
        <v>39.159999999999997</v>
      </c>
      <c r="H290" s="2963" t="s">
        <v>3185</v>
      </c>
      <c r="I290" s="2963" t="s">
        <v>3086</v>
      </c>
      <c r="M290" s="2963">
        <f t="shared" si="4"/>
        <v>4596.5270684371808</v>
      </c>
    </row>
    <row r="291" spans="1:13">
      <c r="A291" s="2963" t="s">
        <v>3328</v>
      </c>
      <c r="B291" s="2963" t="s">
        <v>3355</v>
      </c>
      <c r="D291" s="2963">
        <v>-1130</v>
      </c>
      <c r="E291" s="2963" t="s">
        <v>3441</v>
      </c>
      <c r="F291" s="2966">
        <v>180000</v>
      </c>
      <c r="G291" s="2971">
        <v>39.159999999999997</v>
      </c>
      <c r="H291" s="2963" t="s">
        <v>3185</v>
      </c>
      <c r="I291" s="2963" t="s">
        <v>3086</v>
      </c>
      <c r="M291" s="2963">
        <f t="shared" si="4"/>
        <v>4596.5270684371808</v>
      </c>
    </row>
    <row r="292" spans="1:13">
      <c r="A292" s="2963" t="s">
        <v>3328</v>
      </c>
      <c r="B292" s="2963" t="s">
        <v>3355</v>
      </c>
      <c r="D292" s="2963">
        <v>-1131</v>
      </c>
      <c r="E292" s="2963" t="s">
        <v>3442</v>
      </c>
      <c r="F292" s="2966">
        <v>180000</v>
      </c>
      <c r="G292" s="2971">
        <v>39.159999999999997</v>
      </c>
      <c r="H292" s="2963" t="s">
        <v>3185</v>
      </c>
      <c r="I292" s="2963" t="s">
        <v>3086</v>
      </c>
      <c r="M292" s="2963">
        <f t="shared" si="4"/>
        <v>4596.5270684371808</v>
      </c>
    </row>
    <row r="293" spans="1:13">
      <c r="A293" s="2963" t="s">
        <v>3328</v>
      </c>
      <c r="B293" s="2963" t="s">
        <v>3355</v>
      </c>
      <c r="D293" s="2963">
        <v>-1132</v>
      </c>
      <c r="E293" s="2963" t="s">
        <v>3443</v>
      </c>
      <c r="F293" s="2966">
        <v>180000</v>
      </c>
      <c r="G293" s="2971">
        <v>39.159999999999997</v>
      </c>
      <c r="H293" s="2963" t="s">
        <v>3185</v>
      </c>
      <c r="I293" s="2963" t="s">
        <v>3086</v>
      </c>
      <c r="M293" s="2963">
        <f t="shared" si="4"/>
        <v>4596.5270684371808</v>
      </c>
    </row>
    <row r="294" spans="1:13">
      <c r="A294" s="2963" t="s">
        <v>3328</v>
      </c>
      <c r="B294" s="2963" t="s">
        <v>3355</v>
      </c>
      <c r="D294" s="2963">
        <v>-1133</v>
      </c>
      <c r="E294" s="2963" t="s">
        <v>3444</v>
      </c>
      <c r="F294" s="2966">
        <v>180000</v>
      </c>
      <c r="G294" s="2971">
        <v>39.159999999999997</v>
      </c>
      <c r="H294" s="2963" t="s">
        <v>3185</v>
      </c>
      <c r="I294" s="2963" t="s">
        <v>3086</v>
      </c>
      <c r="M294" s="2963">
        <f t="shared" si="4"/>
        <v>4596.5270684371808</v>
      </c>
    </row>
    <row r="295" spans="1:13">
      <c r="A295" s="2963" t="s">
        <v>3328</v>
      </c>
      <c r="B295" s="2963" t="s">
        <v>3355</v>
      </c>
      <c r="D295" s="2963">
        <v>-1134</v>
      </c>
      <c r="E295" s="2963" t="s">
        <v>3445</v>
      </c>
      <c r="F295" s="2966">
        <v>180000</v>
      </c>
      <c r="G295" s="2971">
        <v>39.159999999999997</v>
      </c>
      <c r="H295" s="2963" t="s">
        <v>3185</v>
      </c>
      <c r="I295" s="2963" t="s">
        <v>3086</v>
      </c>
      <c r="M295" s="2963">
        <f t="shared" si="4"/>
        <v>4596.5270684371808</v>
      </c>
    </row>
    <row r="296" spans="1:13">
      <c r="A296" s="2963" t="s">
        <v>3328</v>
      </c>
      <c r="B296" s="2963" t="s">
        <v>3355</v>
      </c>
      <c r="D296" s="2963">
        <v>-1135</v>
      </c>
      <c r="E296" s="2963" t="s">
        <v>3446</v>
      </c>
      <c r="F296" s="2966">
        <v>180000</v>
      </c>
      <c r="G296" s="2971">
        <v>39.159999999999997</v>
      </c>
      <c r="H296" s="2963" t="s">
        <v>3185</v>
      </c>
      <c r="I296" s="2963" t="s">
        <v>3086</v>
      </c>
      <c r="M296" s="2963">
        <f t="shared" si="4"/>
        <v>4596.5270684371808</v>
      </c>
    </row>
    <row r="297" spans="1:13">
      <c r="A297" s="2963" t="s">
        <v>3328</v>
      </c>
      <c r="B297" s="2963" t="s">
        <v>3355</v>
      </c>
      <c r="D297" s="2963">
        <v>-1136</v>
      </c>
      <c r="E297" s="2963" t="s">
        <v>3447</v>
      </c>
      <c r="F297" s="2966">
        <v>180000</v>
      </c>
      <c r="G297" s="2971">
        <v>39.159999999999997</v>
      </c>
      <c r="H297" s="2963" t="s">
        <v>3185</v>
      </c>
      <c r="I297" s="2963" t="s">
        <v>3086</v>
      </c>
      <c r="M297" s="2963">
        <f t="shared" si="4"/>
        <v>4596.5270684371808</v>
      </c>
    </row>
    <row r="298" spans="1:13">
      <c r="A298" s="2963" t="s">
        <v>3328</v>
      </c>
      <c r="B298" s="2963" t="s">
        <v>3355</v>
      </c>
      <c r="D298" s="2963">
        <v>-1137</v>
      </c>
      <c r="E298" s="2963" t="s">
        <v>3448</v>
      </c>
      <c r="F298" s="2966">
        <v>180000</v>
      </c>
      <c r="G298" s="2971">
        <v>39.159999999999997</v>
      </c>
      <c r="H298" s="2963" t="s">
        <v>3185</v>
      </c>
      <c r="I298" s="2963" t="s">
        <v>3086</v>
      </c>
      <c r="M298" s="2963">
        <f t="shared" si="4"/>
        <v>4596.5270684371808</v>
      </c>
    </row>
    <row r="299" spans="1:13">
      <c r="A299" s="2963" t="s">
        <v>3328</v>
      </c>
      <c r="B299" s="2963" t="s">
        <v>3355</v>
      </c>
      <c r="D299" s="2963">
        <v>-1138</v>
      </c>
      <c r="E299" s="2963" t="s">
        <v>3449</v>
      </c>
      <c r="F299" s="2966">
        <v>180000</v>
      </c>
      <c r="G299" s="2971">
        <v>39.159999999999997</v>
      </c>
      <c r="H299" s="2963" t="s">
        <v>3185</v>
      </c>
      <c r="I299" s="2963" t="s">
        <v>3086</v>
      </c>
      <c r="M299" s="2963">
        <f t="shared" si="4"/>
        <v>4596.5270684371808</v>
      </c>
    </row>
    <row r="300" spans="1:13">
      <c r="A300" s="2963" t="s">
        <v>3328</v>
      </c>
      <c r="B300" s="2963" t="s">
        <v>3355</v>
      </c>
      <c r="D300" s="2963">
        <v>-1222</v>
      </c>
      <c r="E300" s="2963" t="s">
        <v>3450</v>
      </c>
      <c r="F300" s="2966">
        <v>180000</v>
      </c>
      <c r="G300" s="2971">
        <v>39.159999999999997</v>
      </c>
      <c r="H300" s="2963" t="s">
        <v>3185</v>
      </c>
      <c r="I300" s="2963" t="s">
        <v>3086</v>
      </c>
      <c r="M300" s="2963">
        <f t="shared" si="4"/>
        <v>4596.5270684371808</v>
      </c>
    </row>
    <row r="301" spans="1:13">
      <c r="A301" s="2963" t="s">
        <v>3328</v>
      </c>
      <c r="B301" s="2963" t="s">
        <v>3355</v>
      </c>
      <c r="D301" s="2963">
        <v>-2001</v>
      </c>
      <c r="E301" s="2963" t="s">
        <v>3451</v>
      </c>
      <c r="F301" s="2966">
        <v>170000</v>
      </c>
      <c r="G301" s="2971">
        <v>38.04</v>
      </c>
      <c r="H301" s="2963" t="s">
        <v>3185</v>
      </c>
      <c r="I301" s="2963" t="s">
        <v>3086</v>
      </c>
      <c r="M301" s="2963">
        <f t="shared" si="4"/>
        <v>4468.9800210304948</v>
      </c>
    </row>
    <row r="302" spans="1:13">
      <c r="A302" s="2963" t="s">
        <v>3328</v>
      </c>
      <c r="B302" s="2963" t="s">
        <v>3355</v>
      </c>
      <c r="D302" s="2963">
        <v>-2005</v>
      </c>
      <c r="E302" s="2963" t="s">
        <v>3452</v>
      </c>
      <c r="F302" s="2966">
        <v>170000</v>
      </c>
      <c r="G302" s="2971">
        <v>38.04</v>
      </c>
      <c r="H302" s="2963" t="s">
        <v>3185</v>
      </c>
      <c r="I302" s="2963" t="s">
        <v>3086</v>
      </c>
      <c r="M302" s="2963">
        <f t="shared" si="4"/>
        <v>4468.9800210304948</v>
      </c>
    </row>
    <row r="303" spans="1:13">
      <c r="A303" s="2963" t="s">
        <v>3328</v>
      </c>
      <c r="B303" s="2963" t="s">
        <v>3355</v>
      </c>
      <c r="D303" s="2963">
        <v>-2006</v>
      </c>
      <c r="E303" s="2963" t="s">
        <v>3453</v>
      </c>
      <c r="F303" s="2966">
        <v>170000</v>
      </c>
      <c r="G303" s="2971">
        <v>38.04</v>
      </c>
      <c r="H303" s="2963" t="s">
        <v>3185</v>
      </c>
      <c r="I303" s="2963" t="s">
        <v>3086</v>
      </c>
      <c r="M303" s="2963">
        <f t="shared" si="4"/>
        <v>4468.9800210304948</v>
      </c>
    </row>
    <row r="304" spans="1:13">
      <c r="A304" s="2963" t="s">
        <v>3328</v>
      </c>
      <c r="B304" s="2963" t="s">
        <v>3355</v>
      </c>
      <c r="D304" s="2963">
        <v>-2007</v>
      </c>
      <c r="E304" s="2963" t="s">
        <v>3454</v>
      </c>
      <c r="F304" s="2966">
        <v>170000</v>
      </c>
      <c r="G304" s="2971">
        <v>38.04</v>
      </c>
      <c r="H304" s="2963" t="s">
        <v>3185</v>
      </c>
      <c r="I304" s="2963" t="s">
        <v>3086</v>
      </c>
      <c r="M304" s="2963">
        <f t="shared" si="4"/>
        <v>4468.9800210304948</v>
      </c>
    </row>
    <row r="305" spans="1:13">
      <c r="A305" s="2963" t="s">
        <v>3328</v>
      </c>
      <c r="B305" s="2963" t="s">
        <v>3355</v>
      </c>
      <c r="D305" s="2963">
        <v>-2008</v>
      </c>
      <c r="E305" s="2963" t="s">
        <v>3455</v>
      </c>
      <c r="F305" s="2966">
        <v>170000</v>
      </c>
      <c r="G305" s="2971">
        <v>38.04</v>
      </c>
      <c r="H305" s="2963" t="s">
        <v>3185</v>
      </c>
      <c r="I305" s="2963" t="s">
        <v>3086</v>
      </c>
      <c r="M305" s="2963">
        <f t="shared" si="4"/>
        <v>4468.9800210304948</v>
      </c>
    </row>
    <row r="306" spans="1:13">
      <c r="A306" s="2963" t="s">
        <v>3328</v>
      </c>
      <c r="B306" s="2963" t="s">
        <v>3355</v>
      </c>
      <c r="D306" s="2963">
        <v>-2009</v>
      </c>
      <c r="E306" s="2963" t="s">
        <v>3456</v>
      </c>
      <c r="F306" s="2966">
        <v>170000</v>
      </c>
      <c r="G306" s="2971">
        <v>38.04</v>
      </c>
      <c r="H306" s="2963" t="s">
        <v>3185</v>
      </c>
      <c r="I306" s="2963" t="s">
        <v>3086</v>
      </c>
      <c r="M306" s="2963">
        <f t="shared" si="4"/>
        <v>4468.9800210304948</v>
      </c>
    </row>
    <row r="307" spans="1:13">
      <c r="A307" s="2963" t="s">
        <v>3328</v>
      </c>
      <c r="B307" s="2963" t="s">
        <v>3355</v>
      </c>
      <c r="D307" s="2963">
        <v>-2010</v>
      </c>
      <c r="E307" s="2963" t="s">
        <v>3457</v>
      </c>
      <c r="F307" s="2966">
        <v>170000</v>
      </c>
      <c r="G307" s="2971">
        <v>38.04</v>
      </c>
      <c r="H307" s="2963" t="s">
        <v>3185</v>
      </c>
      <c r="I307" s="2963" t="s">
        <v>3086</v>
      </c>
      <c r="M307" s="2963">
        <f t="shared" si="4"/>
        <v>4468.9800210304948</v>
      </c>
    </row>
    <row r="308" spans="1:13">
      <c r="A308" s="2963" t="s">
        <v>3328</v>
      </c>
      <c r="B308" s="2963" t="s">
        <v>3355</v>
      </c>
      <c r="D308" s="2963">
        <v>-2011</v>
      </c>
      <c r="E308" s="2963" t="s">
        <v>3458</v>
      </c>
      <c r="F308" s="2966">
        <v>170000</v>
      </c>
      <c r="G308" s="2971">
        <v>38.04</v>
      </c>
      <c r="H308" s="2963" t="s">
        <v>3185</v>
      </c>
      <c r="I308" s="2963" t="s">
        <v>3086</v>
      </c>
      <c r="M308" s="2963">
        <f t="shared" si="4"/>
        <v>4468.9800210304948</v>
      </c>
    </row>
    <row r="309" spans="1:13">
      <c r="A309" s="2963" t="s">
        <v>3328</v>
      </c>
      <c r="B309" s="2963" t="s">
        <v>3355</v>
      </c>
      <c r="D309" s="2963">
        <v>-2012</v>
      </c>
      <c r="E309" s="2963" t="s">
        <v>3459</v>
      </c>
      <c r="F309" s="2966">
        <v>170000</v>
      </c>
      <c r="G309" s="2971">
        <v>38.04</v>
      </c>
      <c r="H309" s="2963" t="s">
        <v>3185</v>
      </c>
      <c r="I309" s="2963" t="s">
        <v>3086</v>
      </c>
      <c r="M309" s="2963">
        <f t="shared" si="4"/>
        <v>4468.9800210304948</v>
      </c>
    </row>
    <row r="310" spans="1:13">
      <c r="A310" s="2963" t="s">
        <v>3328</v>
      </c>
      <c r="B310" s="2963" t="s">
        <v>3355</v>
      </c>
      <c r="D310" s="2963">
        <v>-2013</v>
      </c>
      <c r="E310" s="2963" t="s">
        <v>3460</v>
      </c>
      <c r="F310" s="2966">
        <v>170000</v>
      </c>
      <c r="G310" s="2971">
        <v>38.04</v>
      </c>
      <c r="H310" s="2963" t="s">
        <v>3185</v>
      </c>
      <c r="I310" s="2963" t="s">
        <v>3086</v>
      </c>
      <c r="M310" s="2963">
        <f t="shared" si="4"/>
        <v>4468.9800210304948</v>
      </c>
    </row>
    <row r="311" spans="1:13">
      <c r="A311" s="2963" t="s">
        <v>3328</v>
      </c>
      <c r="B311" s="2963" t="s">
        <v>3355</v>
      </c>
      <c r="D311" s="2963">
        <v>-2014</v>
      </c>
      <c r="E311" s="2963" t="s">
        <v>3461</v>
      </c>
      <c r="F311" s="2966">
        <v>170000</v>
      </c>
      <c r="G311" s="2971">
        <v>38.04</v>
      </c>
      <c r="H311" s="2963" t="s">
        <v>3185</v>
      </c>
      <c r="I311" s="2963" t="s">
        <v>3086</v>
      </c>
      <c r="M311" s="2963">
        <f t="shared" si="4"/>
        <v>4468.9800210304948</v>
      </c>
    </row>
    <row r="312" spans="1:13">
      <c r="A312" s="2963" t="s">
        <v>3328</v>
      </c>
      <c r="B312" s="2963" t="s">
        <v>3355</v>
      </c>
      <c r="D312" s="2963">
        <v>-2015</v>
      </c>
      <c r="E312" s="2963" t="s">
        <v>3462</v>
      </c>
      <c r="F312" s="2966">
        <v>170000</v>
      </c>
      <c r="G312" s="2971">
        <v>38.04</v>
      </c>
      <c r="H312" s="2963" t="s">
        <v>3185</v>
      </c>
      <c r="I312" s="2963" t="s">
        <v>3086</v>
      </c>
      <c r="M312" s="2963">
        <f t="shared" si="4"/>
        <v>4468.9800210304948</v>
      </c>
    </row>
    <row r="313" spans="1:13">
      <c r="A313" s="2963" t="s">
        <v>3328</v>
      </c>
      <c r="B313" s="2963" t="s">
        <v>3355</v>
      </c>
      <c r="D313" s="2963">
        <v>-2016</v>
      </c>
      <c r="E313" s="2963" t="s">
        <v>3463</v>
      </c>
      <c r="F313" s="2966">
        <v>170000</v>
      </c>
      <c r="G313" s="2971">
        <v>38.04</v>
      </c>
      <c r="H313" s="2963" t="s">
        <v>3185</v>
      </c>
      <c r="I313" s="2963" t="s">
        <v>3086</v>
      </c>
      <c r="M313" s="2963">
        <f t="shared" si="4"/>
        <v>4468.9800210304948</v>
      </c>
    </row>
    <row r="314" spans="1:13">
      <c r="A314" s="2963" t="s">
        <v>3328</v>
      </c>
      <c r="B314" s="2963" t="s">
        <v>3355</v>
      </c>
      <c r="D314" s="2963">
        <v>-2017</v>
      </c>
      <c r="E314" s="2963" t="s">
        <v>3464</v>
      </c>
      <c r="F314" s="2966">
        <v>170000</v>
      </c>
      <c r="G314" s="2971">
        <v>38.04</v>
      </c>
      <c r="H314" s="2963" t="s">
        <v>3185</v>
      </c>
      <c r="I314" s="2963" t="s">
        <v>3086</v>
      </c>
      <c r="M314" s="2963">
        <f t="shared" si="4"/>
        <v>4468.9800210304948</v>
      </c>
    </row>
    <row r="315" spans="1:13">
      <c r="A315" s="2963" t="s">
        <v>3328</v>
      </c>
      <c r="B315" s="2963" t="s">
        <v>3355</v>
      </c>
      <c r="D315" s="2963">
        <v>-2018</v>
      </c>
      <c r="E315" s="2963" t="s">
        <v>3465</v>
      </c>
      <c r="F315" s="2966">
        <v>170000</v>
      </c>
      <c r="G315" s="2971">
        <v>38.04</v>
      </c>
      <c r="H315" s="2963" t="s">
        <v>3185</v>
      </c>
      <c r="I315" s="2963" t="s">
        <v>3086</v>
      </c>
      <c r="M315" s="2963">
        <f t="shared" si="4"/>
        <v>4468.9800210304948</v>
      </c>
    </row>
    <row r="316" spans="1:13">
      <c r="A316" s="2963" t="s">
        <v>3328</v>
      </c>
      <c r="B316" s="2963" t="s">
        <v>3355</v>
      </c>
      <c r="D316" s="2963">
        <v>-2019</v>
      </c>
      <c r="E316" s="2963" t="s">
        <v>3466</v>
      </c>
      <c r="F316" s="2966">
        <v>170000</v>
      </c>
      <c r="G316" s="2971">
        <v>38.04</v>
      </c>
      <c r="H316" s="2963" t="s">
        <v>3185</v>
      </c>
      <c r="I316" s="2963" t="s">
        <v>3086</v>
      </c>
      <c r="M316" s="2963">
        <f t="shared" si="4"/>
        <v>4468.9800210304948</v>
      </c>
    </row>
    <row r="317" spans="1:13">
      <c r="A317" s="2963" t="s">
        <v>3328</v>
      </c>
      <c r="B317" s="2963" t="s">
        <v>3355</v>
      </c>
      <c r="D317" s="2963">
        <v>-2020</v>
      </c>
      <c r="E317" s="2963" t="s">
        <v>3467</v>
      </c>
      <c r="F317" s="2966">
        <v>170000</v>
      </c>
      <c r="G317" s="2971">
        <v>38.04</v>
      </c>
      <c r="H317" s="2963" t="s">
        <v>3185</v>
      </c>
      <c r="I317" s="2963" t="s">
        <v>3086</v>
      </c>
      <c r="M317" s="2963">
        <f t="shared" si="4"/>
        <v>4468.9800210304948</v>
      </c>
    </row>
    <row r="318" spans="1:13">
      <c r="A318" s="2963" t="s">
        <v>3328</v>
      </c>
      <c r="B318" s="2963" t="s">
        <v>3355</v>
      </c>
      <c r="D318" s="2963">
        <v>-2021</v>
      </c>
      <c r="E318" s="2963" t="s">
        <v>3468</v>
      </c>
      <c r="F318" s="2966">
        <v>170000</v>
      </c>
      <c r="G318" s="2971">
        <v>38.04</v>
      </c>
      <c r="H318" s="2963" t="s">
        <v>3185</v>
      </c>
      <c r="I318" s="2963" t="s">
        <v>3086</v>
      </c>
      <c r="M318" s="2963">
        <f t="shared" si="4"/>
        <v>4468.9800210304948</v>
      </c>
    </row>
    <row r="319" spans="1:13">
      <c r="A319" s="2963" t="s">
        <v>3328</v>
      </c>
      <c r="B319" s="2963" t="s">
        <v>3355</v>
      </c>
      <c r="D319" s="2963">
        <v>-2022</v>
      </c>
      <c r="E319" s="2963" t="s">
        <v>3469</v>
      </c>
      <c r="F319" s="2966">
        <v>170000</v>
      </c>
      <c r="G319" s="2971">
        <v>38.04</v>
      </c>
      <c r="H319" s="2963" t="s">
        <v>3185</v>
      </c>
      <c r="I319" s="2963" t="s">
        <v>3086</v>
      </c>
      <c r="M319" s="2963">
        <f t="shared" si="4"/>
        <v>4468.9800210304948</v>
      </c>
    </row>
    <row r="320" spans="1:13">
      <c r="A320" s="2963" t="s">
        <v>3328</v>
      </c>
      <c r="B320" s="2963" t="s">
        <v>3355</v>
      </c>
      <c r="D320" s="2963">
        <v>-2023</v>
      </c>
      <c r="E320" s="2963" t="s">
        <v>3470</v>
      </c>
      <c r="F320" s="2966">
        <v>170000</v>
      </c>
      <c r="G320" s="2971">
        <v>38.04</v>
      </c>
      <c r="H320" s="2963" t="s">
        <v>3185</v>
      </c>
      <c r="I320" s="2963" t="s">
        <v>3086</v>
      </c>
      <c r="M320" s="2963">
        <f t="shared" si="4"/>
        <v>4468.9800210304948</v>
      </c>
    </row>
    <row r="321" spans="1:13">
      <c r="A321" s="2963" t="s">
        <v>3328</v>
      </c>
      <c r="B321" s="2963" t="s">
        <v>3355</v>
      </c>
      <c r="D321" s="2963">
        <v>-2024</v>
      </c>
      <c r="E321" s="2963" t="s">
        <v>3471</v>
      </c>
      <c r="F321" s="2966">
        <v>170000</v>
      </c>
      <c r="G321" s="2971">
        <v>38.04</v>
      </c>
      <c r="H321" s="2963" t="s">
        <v>3185</v>
      </c>
      <c r="I321" s="2963" t="s">
        <v>3086</v>
      </c>
      <c r="M321" s="2963">
        <f t="shared" si="4"/>
        <v>4468.9800210304948</v>
      </c>
    </row>
    <row r="322" spans="1:13">
      <c r="A322" s="2963" t="s">
        <v>3328</v>
      </c>
      <c r="B322" s="2963" t="s">
        <v>3355</v>
      </c>
      <c r="D322" s="2963">
        <v>-2025</v>
      </c>
      <c r="E322" s="2963" t="s">
        <v>3472</v>
      </c>
      <c r="F322" s="2966">
        <v>170000</v>
      </c>
      <c r="G322" s="2971">
        <v>38.04</v>
      </c>
      <c r="H322" s="2963" t="s">
        <v>3185</v>
      </c>
      <c r="I322" s="2963" t="s">
        <v>3086</v>
      </c>
      <c r="M322" s="2963">
        <f t="shared" si="4"/>
        <v>4468.9800210304948</v>
      </c>
    </row>
    <row r="323" spans="1:13">
      <c r="A323" s="2963" t="s">
        <v>3328</v>
      </c>
      <c r="B323" s="2963" t="s">
        <v>3355</v>
      </c>
      <c r="D323" s="2963">
        <v>-2026</v>
      </c>
      <c r="E323" s="2963" t="s">
        <v>3473</v>
      </c>
      <c r="F323" s="2966">
        <v>170000</v>
      </c>
      <c r="G323" s="2971">
        <v>38.04</v>
      </c>
      <c r="H323" s="2963" t="s">
        <v>3185</v>
      </c>
      <c r="I323" s="2963" t="s">
        <v>3086</v>
      </c>
    </row>
    <row r="324" spans="1:13">
      <c r="A324" s="2963" t="s">
        <v>3328</v>
      </c>
      <c r="B324" s="2963" t="s">
        <v>3355</v>
      </c>
      <c r="D324" s="2963">
        <v>-2027</v>
      </c>
      <c r="E324" s="2963" t="s">
        <v>3474</v>
      </c>
      <c r="F324" s="2966">
        <v>170000</v>
      </c>
      <c r="G324" s="2971">
        <v>38.04</v>
      </c>
      <c r="H324" s="2963" t="s">
        <v>3185</v>
      </c>
      <c r="I324" s="2963" t="s">
        <v>3086</v>
      </c>
    </row>
    <row r="325" spans="1:13">
      <c r="A325" s="2963" t="s">
        <v>3328</v>
      </c>
      <c r="B325" s="2963" t="s">
        <v>3355</v>
      </c>
      <c r="D325" s="2963">
        <v>-2028</v>
      </c>
      <c r="E325" s="2963" t="s">
        <v>3475</v>
      </c>
      <c r="F325" s="2966">
        <v>170000</v>
      </c>
      <c r="G325" s="2971">
        <v>38.04</v>
      </c>
      <c r="H325" s="2963" t="s">
        <v>3185</v>
      </c>
      <c r="I325" s="2963" t="s">
        <v>3086</v>
      </c>
    </row>
    <row r="326" spans="1:13">
      <c r="A326" s="2963" t="s">
        <v>3328</v>
      </c>
      <c r="B326" s="2963" t="s">
        <v>3355</v>
      </c>
      <c r="D326" s="2963">
        <v>-2029</v>
      </c>
      <c r="E326" s="2963" t="s">
        <v>3476</v>
      </c>
      <c r="F326" s="2966">
        <v>170000</v>
      </c>
      <c r="G326" s="2971">
        <v>38.04</v>
      </c>
      <c r="H326" s="2963" t="s">
        <v>3185</v>
      </c>
      <c r="I326" s="2963" t="s">
        <v>3086</v>
      </c>
    </row>
    <row r="327" spans="1:13">
      <c r="A327" s="2963" t="s">
        <v>3328</v>
      </c>
      <c r="B327" s="2963" t="s">
        <v>3355</v>
      </c>
      <c r="D327" s="2963">
        <v>-2030</v>
      </c>
      <c r="E327" s="2963" t="s">
        <v>3477</v>
      </c>
      <c r="F327" s="2966">
        <v>170000</v>
      </c>
      <c r="G327" s="2971">
        <v>38.04</v>
      </c>
      <c r="H327" s="2963" t="s">
        <v>3185</v>
      </c>
      <c r="I327" s="2963" t="s">
        <v>3086</v>
      </c>
    </row>
    <row r="328" spans="1:13">
      <c r="A328" s="2963" t="s">
        <v>3328</v>
      </c>
      <c r="B328" s="2963" t="s">
        <v>3355</v>
      </c>
      <c r="D328" s="2963">
        <v>-2031</v>
      </c>
      <c r="E328" s="2963" t="s">
        <v>3478</v>
      </c>
      <c r="F328" s="2966">
        <v>170000</v>
      </c>
      <c r="G328" s="2971">
        <v>38.04</v>
      </c>
      <c r="H328" s="2963" t="s">
        <v>3185</v>
      </c>
      <c r="I328" s="2963" t="s">
        <v>3086</v>
      </c>
    </row>
    <row r="329" spans="1:13">
      <c r="A329" s="2963" t="s">
        <v>3328</v>
      </c>
      <c r="B329" s="2963" t="s">
        <v>3355</v>
      </c>
      <c r="D329" s="2963">
        <v>-2032</v>
      </c>
      <c r="E329" s="2963" t="s">
        <v>3479</v>
      </c>
      <c r="F329" s="2966">
        <v>170000</v>
      </c>
      <c r="G329" s="2971">
        <v>38.04</v>
      </c>
      <c r="H329" s="2963" t="s">
        <v>3185</v>
      </c>
      <c r="I329" s="2963" t="s">
        <v>3086</v>
      </c>
    </row>
    <row r="330" spans="1:13">
      <c r="A330" s="2963" t="s">
        <v>3328</v>
      </c>
      <c r="B330" s="2963" t="s">
        <v>3355</v>
      </c>
      <c r="D330" s="2963">
        <v>-2033</v>
      </c>
      <c r="E330" s="2963" t="s">
        <v>3480</v>
      </c>
      <c r="F330" s="2966">
        <v>170000</v>
      </c>
      <c r="G330" s="2971">
        <v>38.04</v>
      </c>
      <c r="H330" s="2963" t="s">
        <v>3185</v>
      </c>
      <c r="I330" s="2963" t="s">
        <v>3086</v>
      </c>
    </row>
    <row r="331" spans="1:13">
      <c r="A331" s="2963" t="s">
        <v>3328</v>
      </c>
      <c r="B331" s="2963" t="s">
        <v>3355</v>
      </c>
      <c r="D331" s="2963">
        <v>-2034</v>
      </c>
      <c r="E331" s="2963" t="s">
        <v>3481</v>
      </c>
      <c r="F331" s="2966">
        <v>170000</v>
      </c>
      <c r="G331" s="2971">
        <v>38.04</v>
      </c>
      <c r="H331" s="2963" t="s">
        <v>3185</v>
      </c>
      <c r="I331" s="2963" t="s">
        <v>3086</v>
      </c>
    </row>
    <row r="332" spans="1:13">
      <c r="A332" s="2963" t="s">
        <v>3328</v>
      </c>
      <c r="B332" s="2963" t="s">
        <v>3355</v>
      </c>
      <c r="D332" s="2963">
        <v>-2035</v>
      </c>
      <c r="E332" s="2963" t="s">
        <v>3482</v>
      </c>
      <c r="F332" s="2966">
        <v>170000</v>
      </c>
      <c r="G332" s="2971">
        <v>38.04</v>
      </c>
      <c r="H332" s="2963" t="s">
        <v>3185</v>
      </c>
      <c r="I332" s="2963" t="s">
        <v>3086</v>
      </c>
    </row>
    <row r="333" spans="1:13">
      <c r="A333" s="2963" t="s">
        <v>3328</v>
      </c>
      <c r="B333" s="2963" t="s">
        <v>3355</v>
      </c>
      <c r="D333" s="2963">
        <v>-2036</v>
      </c>
      <c r="E333" s="2963" t="s">
        <v>3483</v>
      </c>
      <c r="F333" s="2966">
        <v>170000</v>
      </c>
      <c r="G333" s="2971">
        <v>38.04</v>
      </c>
      <c r="H333" s="2963" t="s">
        <v>3185</v>
      </c>
      <c r="I333" s="2963" t="s">
        <v>3086</v>
      </c>
    </row>
    <row r="334" spans="1:13">
      <c r="A334" s="2963" t="s">
        <v>3328</v>
      </c>
      <c r="B334" s="2963" t="s">
        <v>3355</v>
      </c>
      <c r="D334" s="2963">
        <v>-2037</v>
      </c>
      <c r="E334" s="2963" t="s">
        <v>3484</v>
      </c>
      <c r="F334" s="2966">
        <v>170000</v>
      </c>
      <c r="G334" s="2971">
        <v>38.04</v>
      </c>
      <c r="H334" s="2963" t="s">
        <v>3185</v>
      </c>
      <c r="I334" s="2963" t="s">
        <v>3086</v>
      </c>
    </row>
    <row r="335" spans="1:13">
      <c r="A335" s="2963" t="s">
        <v>3328</v>
      </c>
      <c r="B335" s="2963" t="s">
        <v>3355</v>
      </c>
      <c r="D335" s="2963">
        <v>-2038</v>
      </c>
      <c r="E335" s="2963" t="s">
        <v>3485</v>
      </c>
      <c r="F335" s="2966">
        <v>170000</v>
      </c>
      <c r="G335" s="2971">
        <v>38.04</v>
      </c>
      <c r="H335" s="2963" t="s">
        <v>3185</v>
      </c>
      <c r="I335" s="2963" t="s">
        <v>3086</v>
      </c>
    </row>
    <row r="336" spans="1:13">
      <c r="A336" s="2963" t="s">
        <v>3328</v>
      </c>
      <c r="B336" s="2963" t="s">
        <v>3355</v>
      </c>
      <c r="D336" s="2963">
        <v>-2039</v>
      </c>
      <c r="E336" s="2963" t="s">
        <v>3486</v>
      </c>
      <c r="F336" s="2966">
        <v>170000</v>
      </c>
      <c r="G336" s="2971">
        <v>38.04</v>
      </c>
      <c r="H336" s="2963" t="s">
        <v>3185</v>
      </c>
      <c r="I336" s="2963" t="s">
        <v>3086</v>
      </c>
    </row>
    <row r="337" spans="1:9">
      <c r="A337" s="2963" t="s">
        <v>3328</v>
      </c>
      <c r="B337" s="2963" t="s">
        <v>3355</v>
      </c>
      <c r="D337" s="2963">
        <v>-2040</v>
      </c>
      <c r="E337" s="2963" t="s">
        <v>3487</v>
      </c>
      <c r="F337" s="2966">
        <v>170000</v>
      </c>
      <c r="G337" s="2971">
        <v>38.04</v>
      </c>
      <c r="H337" s="2963" t="s">
        <v>3185</v>
      </c>
      <c r="I337" s="2963" t="s">
        <v>3086</v>
      </c>
    </row>
    <row r="338" spans="1:9">
      <c r="A338" s="2963" t="s">
        <v>3328</v>
      </c>
      <c r="B338" s="2963" t="s">
        <v>3355</v>
      </c>
      <c r="D338" s="2963">
        <v>-2042</v>
      </c>
      <c r="E338" s="2963" t="s">
        <v>3488</v>
      </c>
      <c r="F338" s="2966">
        <v>170000</v>
      </c>
      <c r="G338" s="2971">
        <v>38.04</v>
      </c>
      <c r="H338" s="2963" t="s">
        <v>3185</v>
      </c>
      <c r="I338" s="2963" t="s">
        <v>3086</v>
      </c>
    </row>
    <row r="339" spans="1:9">
      <c r="A339" s="2963" t="s">
        <v>3328</v>
      </c>
      <c r="B339" s="2963" t="s">
        <v>3355</v>
      </c>
      <c r="D339" s="2963">
        <v>-2043</v>
      </c>
      <c r="E339" s="2963" t="s">
        <v>3489</v>
      </c>
      <c r="F339" s="2966">
        <v>170000</v>
      </c>
      <c r="G339" s="2971">
        <v>38.04</v>
      </c>
      <c r="H339" s="2963" t="s">
        <v>3185</v>
      </c>
      <c r="I339" s="2963" t="s">
        <v>3086</v>
      </c>
    </row>
    <row r="340" spans="1:9">
      <c r="A340" s="2963" t="s">
        <v>3328</v>
      </c>
      <c r="B340" s="2963" t="s">
        <v>3355</v>
      </c>
      <c r="D340" s="2963">
        <v>-2044</v>
      </c>
      <c r="E340" s="2963" t="s">
        <v>3490</v>
      </c>
      <c r="F340" s="2966">
        <v>170000</v>
      </c>
      <c r="G340" s="2971">
        <v>38.04</v>
      </c>
      <c r="H340" s="2963" t="s">
        <v>3185</v>
      </c>
      <c r="I340" s="2963" t="s">
        <v>3086</v>
      </c>
    </row>
    <row r="341" spans="1:9">
      <c r="A341" s="2963" t="s">
        <v>3328</v>
      </c>
      <c r="B341" s="2963" t="s">
        <v>3355</v>
      </c>
      <c r="D341" s="2963">
        <v>-2045</v>
      </c>
      <c r="E341" s="2963" t="s">
        <v>3491</v>
      </c>
      <c r="F341" s="2966">
        <v>170000</v>
      </c>
      <c r="G341" s="2971">
        <v>38.04</v>
      </c>
      <c r="H341" s="2963" t="s">
        <v>3185</v>
      </c>
      <c r="I341" s="2963" t="s">
        <v>3086</v>
      </c>
    </row>
    <row r="342" spans="1:9">
      <c r="A342" s="2963" t="s">
        <v>3328</v>
      </c>
      <c r="B342" s="2963" t="s">
        <v>3355</v>
      </c>
      <c r="D342" s="2963">
        <v>-2046</v>
      </c>
      <c r="E342" s="2963" t="s">
        <v>3492</v>
      </c>
      <c r="F342" s="2966">
        <v>170000</v>
      </c>
      <c r="G342" s="2971">
        <v>38.04</v>
      </c>
      <c r="H342" s="2963" t="s">
        <v>3185</v>
      </c>
      <c r="I342" s="2963" t="s">
        <v>3086</v>
      </c>
    </row>
    <row r="343" spans="1:9">
      <c r="A343" s="2963" t="s">
        <v>3328</v>
      </c>
      <c r="B343" s="2963" t="s">
        <v>3355</v>
      </c>
      <c r="D343" s="2963">
        <v>-2047</v>
      </c>
      <c r="E343" s="2963" t="s">
        <v>3493</v>
      </c>
      <c r="F343" s="2966">
        <v>170000</v>
      </c>
      <c r="G343" s="2971">
        <v>38.04</v>
      </c>
      <c r="H343" s="2963" t="s">
        <v>3185</v>
      </c>
      <c r="I343" s="2963" t="s">
        <v>3086</v>
      </c>
    </row>
    <row r="344" spans="1:9">
      <c r="A344" s="2963" t="s">
        <v>3328</v>
      </c>
      <c r="B344" s="2963" t="s">
        <v>3355</v>
      </c>
      <c r="D344" s="2963">
        <v>-2048</v>
      </c>
      <c r="E344" s="2963" t="s">
        <v>3494</v>
      </c>
      <c r="F344" s="2966">
        <v>170000</v>
      </c>
      <c r="G344" s="2971">
        <v>38.04</v>
      </c>
      <c r="H344" s="2963" t="s">
        <v>3185</v>
      </c>
      <c r="I344" s="2963" t="s">
        <v>3086</v>
      </c>
    </row>
    <row r="345" spans="1:9">
      <c r="A345" s="2963" t="s">
        <v>3328</v>
      </c>
      <c r="B345" s="2963" t="s">
        <v>3355</v>
      </c>
      <c r="D345" s="2963">
        <v>-2049</v>
      </c>
      <c r="E345" s="2963" t="s">
        <v>3495</v>
      </c>
      <c r="F345" s="2966">
        <v>170000</v>
      </c>
      <c r="G345" s="2971">
        <v>38.04</v>
      </c>
      <c r="H345" s="2963" t="s">
        <v>3185</v>
      </c>
      <c r="I345" s="2963" t="s">
        <v>3086</v>
      </c>
    </row>
    <row r="346" spans="1:9">
      <c r="A346" s="2963" t="s">
        <v>3328</v>
      </c>
      <c r="B346" s="2963" t="s">
        <v>3355</v>
      </c>
      <c r="D346" s="2963">
        <v>-2050</v>
      </c>
      <c r="E346" s="2963" t="s">
        <v>3496</v>
      </c>
      <c r="F346" s="2966">
        <v>170000</v>
      </c>
      <c r="G346" s="2971">
        <v>38.04</v>
      </c>
      <c r="H346" s="2963" t="s">
        <v>3185</v>
      </c>
      <c r="I346" s="2963" t="s">
        <v>3086</v>
      </c>
    </row>
    <row r="347" spans="1:9">
      <c r="A347" s="2963" t="s">
        <v>3328</v>
      </c>
      <c r="B347" s="2963" t="s">
        <v>3355</v>
      </c>
      <c r="D347" s="2963">
        <v>-2051</v>
      </c>
      <c r="E347" s="2963" t="s">
        <v>3497</v>
      </c>
      <c r="F347" s="2966">
        <v>170000</v>
      </c>
      <c r="G347" s="2971">
        <v>38.04</v>
      </c>
      <c r="H347" s="2963" t="s">
        <v>3185</v>
      </c>
      <c r="I347" s="2963" t="s">
        <v>3086</v>
      </c>
    </row>
    <row r="348" spans="1:9">
      <c r="A348" s="2963" t="s">
        <v>3328</v>
      </c>
      <c r="B348" s="2963" t="s">
        <v>3355</v>
      </c>
      <c r="D348" s="2963">
        <v>-2052</v>
      </c>
      <c r="E348" s="2963" t="s">
        <v>3498</v>
      </c>
      <c r="F348" s="2966">
        <v>170000</v>
      </c>
      <c r="G348" s="2971">
        <v>38.04</v>
      </c>
      <c r="H348" s="2963" t="s">
        <v>3185</v>
      </c>
      <c r="I348" s="2963" t="s">
        <v>3086</v>
      </c>
    </row>
    <row r="349" spans="1:9">
      <c r="A349" s="2963" t="s">
        <v>3328</v>
      </c>
      <c r="B349" s="2963" t="s">
        <v>3355</v>
      </c>
      <c r="D349" s="2963">
        <v>-2053</v>
      </c>
      <c r="E349" s="2963" t="s">
        <v>3499</v>
      </c>
      <c r="F349" s="2966">
        <v>170000</v>
      </c>
      <c r="G349" s="2971">
        <v>38.04</v>
      </c>
      <c r="H349" s="2963" t="s">
        <v>3185</v>
      </c>
      <c r="I349" s="2963" t="s">
        <v>3086</v>
      </c>
    </row>
    <row r="350" spans="1:9">
      <c r="A350" s="2963" t="s">
        <v>3328</v>
      </c>
      <c r="B350" s="2963" t="s">
        <v>3355</v>
      </c>
      <c r="D350" s="2963">
        <v>-2054</v>
      </c>
      <c r="E350" s="2963" t="s">
        <v>3500</v>
      </c>
      <c r="F350" s="2966">
        <v>170000</v>
      </c>
      <c r="G350" s="2971">
        <v>38.04</v>
      </c>
      <c r="H350" s="2963" t="s">
        <v>3185</v>
      </c>
      <c r="I350" s="2963" t="s">
        <v>3086</v>
      </c>
    </row>
    <row r="351" spans="1:9">
      <c r="A351" s="2963" t="s">
        <v>3328</v>
      </c>
      <c r="B351" s="2963" t="s">
        <v>3355</v>
      </c>
      <c r="D351" s="2963">
        <v>-2055</v>
      </c>
      <c r="E351" s="2963" t="s">
        <v>3501</v>
      </c>
      <c r="F351" s="2966">
        <v>170000</v>
      </c>
      <c r="G351" s="2971">
        <v>38.04</v>
      </c>
      <c r="H351" s="2963" t="s">
        <v>3185</v>
      </c>
      <c r="I351" s="2963" t="s">
        <v>3086</v>
      </c>
    </row>
    <row r="352" spans="1:9">
      <c r="A352" s="2963" t="s">
        <v>3328</v>
      </c>
      <c r="B352" s="2963" t="s">
        <v>3355</v>
      </c>
      <c r="D352" s="2963">
        <v>-2056</v>
      </c>
      <c r="E352" s="2963" t="s">
        <v>3502</v>
      </c>
      <c r="F352" s="2966">
        <v>170000</v>
      </c>
      <c r="G352" s="2971">
        <v>38.04</v>
      </c>
      <c r="H352" s="2963" t="s">
        <v>3185</v>
      </c>
      <c r="I352" s="2963" t="s">
        <v>3086</v>
      </c>
    </row>
    <row r="353" spans="1:9">
      <c r="A353" s="2963" t="s">
        <v>3328</v>
      </c>
      <c r="B353" s="2963" t="s">
        <v>3355</v>
      </c>
      <c r="D353" s="2963">
        <v>-2057</v>
      </c>
      <c r="E353" s="2963" t="s">
        <v>3503</v>
      </c>
      <c r="F353" s="2966">
        <v>170000</v>
      </c>
      <c r="G353" s="2971">
        <v>38.04</v>
      </c>
      <c r="H353" s="2963" t="s">
        <v>3185</v>
      </c>
      <c r="I353" s="2963" t="s">
        <v>3086</v>
      </c>
    </row>
    <row r="354" spans="1:9">
      <c r="A354" s="2963" t="s">
        <v>3328</v>
      </c>
      <c r="B354" s="2963" t="s">
        <v>3355</v>
      </c>
      <c r="D354" s="2963">
        <v>-2058</v>
      </c>
      <c r="E354" s="2963" t="s">
        <v>3504</v>
      </c>
      <c r="F354" s="2966">
        <v>170000</v>
      </c>
      <c r="G354" s="2971">
        <v>38.04</v>
      </c>
      <c r="H354" s="2963" t="s">
        <v>3185</v>
      </c>
      <c r="I354" s="2963" t="s">
        <v>3086</v>
      </c>
    </row>
    <row r="355" spans="1:9">
      <c r="A355" s="2963" t="s">
        <v>3328</v>
      </c>
      <c r="B355" s="2963" t="s">
        <v>3355</v>
      </c>
      <c r="D355" s="2963">
        <v>-2059</v>
      </c>
      <c r="E355" s="2963" t="s">
        <v>3505</v>
      </c>
      <c r="F355" s="2966">
        <v>170000</v>
      </c>
      <c r="G355" s="2971">
        <v>38.04</v>
      </c>
      <c r="H355" s="2963" t="s">
        <v>3185</v>
      </c>
      <c r="I355" s="2963" t="s">
        <v>3086</v>
      </c>
    </row>
    <row r="356" spans="1:9">
      <c r="A356" s="2963" t="s">
        <v>3328</v>
      </c>
      <c r="B356" s="2963" t="s">
        <v>3355</v>
      </c>
      <c r="D356" s="2963">
        <v>-2060</v>
      </c>
      <c r="E356" s="2963" t="s">
        <v>3506</v>
      </c>
      <c r="F356" s="2966">
        <v>170000</v>
      </c>
      <c r="G356" s="2971">
        <v>38.04</v>
      </c>
      <c r="H356" s="2963" t="s">
        <v>3185</v>
      </c>
      <c r="I356" s="2963" t="s">
        <v>3086</v>
      </c>
    </row>
    <row r="357" spans="1:9">
      <c r="A357" s="2963" t="s">
        <v>3328</v>
      </c>
      <c r="B357" s="2963" t="s">
        <v>3355</v>
      </c>
      <c r="D357" s="2963">
        <v>-2061</v>
      </c>
      <c r="E357" s="2963" t="s">
        <v>3507</v>
      </c>
      <c r="F357" s="2966">
        <v>170000</v>
      </c>
      <c r="G357" s="2971">
        <v>38.04</v>
      </c>
      <c r="H357" s="2963" t="s">
        <v>3185</v>
      </c>
      <c r="I357" s="2963" t="s">
        <v>3086</v>
      </c>
    </row>
    <row r="358" spans="1:9">
      <c r="A358" s="2963" t="s">
        <v>3328</v>
      </c>
      <c r="B358" s="2963" t="s">
        <v>3355</v>
      </c>
      <c r="D358" s="2963">
        <v>-2062</v>
      </c>
      <c r="E358" s="2963" t="s">
        <v>3508</v>
      </c>
      <c r="F358" s="2966">
        <v>170000</v>
      </c>
      <c r="G358" s="2971">
        <v>38.04</v>
      </c>
      <c r="H358" s="2963" t="s">
        <v>3185</v>
      </c>
      <c r="I358" s="2963" t="s">
        <v>3086</v>
      </c>
    </row>
    <row r="359" spans="1:9">
      <c r="A359" s="2963" t="s">
        <v>3328</v>
      </c>
      <c r="B359" s="2963" t="s">
        <v>3355</v>
      </c>
      <c r="D359" s="2963">
        <v>-2063</v>
      </c>
      <c r="E359" s="2963" t="s">
        <v>3509</v>
      </c>
      <c r="F359" s="2966">
        <v>170000</v>
      </c>
      <c r="G359" s="2971">
        <v>38.04</v>
      </c>
      <c r="H359" s="2963" t="s">
        <v>3185</v>
      </c>
      <c r="I359" s="2963" t="s">
        <v>3086</v>
      </c>
    </row>
    <row r="360" spans="1:9">
      <c r="A360" s="2963" t="s">
        <v>3328</v>
      </c>
      <c r="B360" s="2963" t="s">
        <v>3355</v>
      </c>
      <c r="D360" s="2963">
        <v>-2064</v>
      </c>
      <c r="E360" s="2963" t="s">
        <v>3510</v>
      </c>
      <c r="F360" s="2966">
        <v>170000</v>
      </c>
      <c r="G360" s="2971">
        <v>38.04</v>
      </c>
      <c r="H360" s="2963" t="s">
        <v>3185</v>
      </c>
      <c r="I360" s="2963" t="s">
        <v>3086</v>
      </c>
    </row>
    <row r="361" spans="1:9">
      <c r="A361" s="2963" t="s">
        <v>3328</v>
      </c>
      <c r="B361" s="2963" t="s">
        <v>3355</v>
      </c>
      <c r="D361" s="2963">
        <v>-2065</v>
      </c>
      <c r="E361" s="2963" t="s">
        <v>3511</v>
      </c>
      <c r="F361" s="2966">
        <v>170000</v>
      </c>
      <c r="G361" s="2971">
        <v>38.04</v>
      </c>
      <c r="H361" s="2963" t="s">
        <v>3185</v>
      </c>
      <c r="I361" s="2963" t="s">
        <v>3086</v>
      </c>
    </row>
    <row r="362" spans="1:9">
      <c r="A362" s="2963" t="s">
        <v>3328</v>
      </c>
      <c r="B362" s="2963" t="s">
        <v>3355</v>
      </c>
      <c r="D362" s="2963">
        <v>-2066</v>
      </c>
      <c r="E362" s="2963" t="s">
        <v>3512</v>
      </c>
      <c r="F362" s="2966">
        <v>170000</v>
      </c>
      <c r="G362" s="2971">
        <v>38.04</v>
      </c>
      <c r="H362" s="2963" t="s">
        <v>3185</v>
      </c>
      <c r="I362" s="2963" t="s">
        <v>3086</v>
      </c>
    </row>
    <row r="363" spans="1:9">
      <c r="A363" s="2963" t="s">
        <v>3328</v>
      </c>
      <c r="B363" s="2963" t="s">
        <v>3355</v>
      </c>
      <c r="D363" s="2963">
        <v>-2067</v>
      </c>
      <c r="E363" s="2963" t="s">
        <v>3513</v>
      </c>
      <c r="F363" s="2966">
        <v>170000</v>
      </c>
      <c r="G363" s="2971">
        <v>38.04</v>
      </c>
      <c r="H363" s="2963" t="s">
        <v>3185</v>
      </c>
      <c r="I363" s="2963" t="s">
        <v>3086</v>
      </c>
    </row>
    <row r="364" spans="1:9">
      <c r="A364" s="2963" t="s">
        <v>3328</v>
      </c>
      <c r="B364" s="2963" t="s">
        <v>3355</v>
      </c>
      <c r="D364" s="2963">
        <v>-2068</v>
      </c>
      <c r="E364" s="2963" t="s">
        <v>3514</v>
      </c>
      <c r="F364" s="2966">
        <v>170000</v>
      </c>
      <c r="G364" s="2971">
        <v>38.04</v>
      </c>
      <c r="H364" s="2963" t="s">
        <v>3185</v>
      </c>
      <c r="I364" s="2963" t="s">
        <v>3086</v>
      </c>
    </row>
    <row r="365" spans="1:9">
      <c r="A365" s="2963" t="s">
        <v>3328</v>
      </c>
      <c r="B365" s="2963" t="s">
        <v>3355</v>
      </c>
      <c r="D365" s="2963">
        <v>-2069</v>
      </c>
      <c r="E365" s="2963" t="s">
        <v>3515</v>
      </c>
      <c r="F365" s="2966">
        <v>170000</v>
      </c>
      <c r="G365" s="2971">
        <v>38.04</v>
      </c>
      <c r="H365" s="2963" t="s">
        <v>3185</v>
      </c>
      <c r="I365" s="2963" t="s">
        <v>3086</v>
      </c>
    </row>
    <row r="366" spans="1:9">
      <c r="A366" s="2963" t="s">
        <v>3328</v>
      </c>
      <c r="B366" s="2963" t="s">
        <v>3355</v>
      </c>
      <c r="D366" s="2963">
        <v>-2070</v>
      </c>
      <c r="E366" s="2963" t="s">
        <v>3516</v>
      </c>
      <c r="F366" s="2966">
        <v>170000</v>
      </c>
      <c r="G366" s="2971">
        <v>38.04</v>
      </c>
      <c r="H366" s="2963" t="s">
        <v>3185</v>
      </c>
      <c r="I366" s="2963" t="s">
        <v>3086</v>
      </c>
    </row>
    <row r="367" spans="1:9">
      <c r="A367" s="2963" t="s">
        <v>3328</v>
      </c>
      <c r="B367" s="2963" t="s">
        <v>3355</v>
      </c>
      <c r="D367" s="2963">
        <v>-2071</v>
      </c>
      <c r="E367" s="2963" t="s">
        <v>3517</v>
      </c>
      <c r="F367" s="2966">
        <v>170000</v>
      </c>
      <c r="G367" s="2971">
        <v>38.04</v>
      </c>
      <c r="H367" s="2963" t="s">
        <v>3185</v>
      </c>
      <c r="I367" s="2963" t="s">
        <v>3086</v>
      </c>
    </row>
    <row r="368" spans="1:9">
      <c r="A368" s="2963" t="s">
        <v>3328</v>
      </c>
      <c r="B368" s="2963" t="s">
        <v>3355</v>
      </c>
      <c r="D368" s="2963">
        <v>-2072</v>
      </c>
      <c r="E368" s="2963" t="s">
        <v>3518</v>
      </c>
      <c r="F368" s="2966">
        <v>170000</v>
      </c>
      <c r="G368" s="2971">
        <v>38.04</v>
      </c>
      <c r="H368" s="2963" t="s">
        <v>3185</v>
      </c>
      <c r="I368" s="2963" t="s">
        <v>3086</v>
      </c>
    </row>
    <row r="369" spans="1:9">
      <c r="A369" s="2963" t="s">
        <v>3328</v>
      </c>
      <c r="B369" s="2963" t="s">
        <v>3355</v>
      </c>
      <c r="D369" s="2963">
        <v>-2073</v>
      </c>
      <c r="E369" s="2963" t="s">
        <v>3519</v>
      </c>
      <c r="F369" s="2966">
        <v>170000</v>
      </c>
      <c r="G369" s="2971">
        <v>38.04</v>
      </c>
      <c r="H369" s="2963" t="s">
        <v>3185</v>
      </c>
      <c r="I369" s="2963" t="s">
        <v>3086</v>
      </c>
    </row>
    <row r="370" spans="1:9">
      <c r="A370" s="2963" t="s">
        <v>3328</v>
      </c>
      <c r="B370" s="2963" t="s">
        <v>3355</v>
      </c>
      <c r="D370" s="2963">
        <v>-2074</v>
      </c>
      <c r="E370" s="2963" t="s">
        <v>3520</v>
      </c>
      <c r="F370" s="2966">
        <v>170000</v>
      </c>
      <c r="G370" s="2971">
        <v>38.04</v>
      </c>
      <c r="H370" s="2963" t="s">
        <v>3185</v>
      </c>
      <c r="I370" s="2963" t="s">
        <v>3086</v>
      </c>
    </row>
    <row r="371" spans="1:9">
      <c r="A371" s="2963" t="s">
        <v>3328</v>
      </c>
      <c r="B371" s="2963" t="s">
        <v>3355</v>
      </c>
      <c r="D371" s="2963">
        <v>-2075</v>
      </c>
      <c r="E371" s="2963" t="s">
        <v>3521</v>
      </c>
      <c r="F371" s="2966">
        <v>170000</v>
      </c>
      <c r="G371" s="2971">
        <v>38.04</v>
      </c>
      <c r="H371" s="2963" t="s">
        <v>3185</v>
      </c>
      <c r="I371" s="2963" t="s">
        <v>3086</v>
      </c>
    </row>
    <row r="372" spans="1:9">
      <c r="A372" s="2963" t="s">
        <v>3328</v>
      </c>
      <c r="B372" s="2963" t="s">
        <v>3355</v>
      </c>
      <c r="D372" s="2963">
        <v>-2076</v>
      </c>
      <c r="E372" s="2963" t="s">
        <v>3522</v>
      </c>
      <c r="F372" s="2966">
        <v>170000</v>
      </c>
      <c r="G372" s="2971">
        <v>38.04</v>
      </c>
      <c r="H372" s="2963" t="s">
        <v>3185</v>
      </c>
      <c r="I372" s="2963" t="s">
        <v>3086</v>
      </c>
    </row>
    <row r="373" spans="1:9">
      <c r="A373" s="2963" t="s">
        <v>3328</v>
      </c>
      <c r="B373" s="2963" t="s">
        <v>3355</v>
      </c>
      <c r="D373" s="2963">
        <v>-2077</v>
      </c>
      <c r="E373" s="2963" t="s">
        <v>3523</v>
      </c>
      <c r="F373" s="2966">
        <v>170000</v>
      </c>
      <c r="G373" s="2971">
        <v>38.04</v>
      </c>
      <c r="H373" s="2963" t="s">
        <v>3185</v>
      </c>
      <c r="I373" s="2963" t="s">
        <v>3086</v>
      </c>
    </row>
    <row r="374" spans="1:9">
      <c r="A374" s="2963" t="s">
        <v>3328</v>
      </c>
      <c r="B374" s="2963" t="s">
        <v>3355</v>
      </c>
      <c r="D374" s="2963">
        <v>-2078</v>
      </c>
      <c r="E374" s="2963" t="s">
        <v>3524</v>
      </c>
      <c r="F374" s="2966">
        <v>170000</v>
      </c>
      <c r="G374" s="2971">
        <v>38.04</v>
      </c>
      <c r="H374" s="2963" t="s">
        <v>3185</v>
      </c>
      <c r="I374" s="2963" t="s">
        <v>3086</v>
      </c>
    </row>
    <row r="375" spans="1:9">
      <c r="A375" s="2963" t="s">
        <v>3328</v>
      </c>
      <c r="B375" s="2963" t="s">
        <v>3355</v>
      </c>
      <c r="D375" s="2963">
        <v>-2079</v>
      </c>
      <c r="E375" s="2963" t="s">
        <v>3525</v>
      </c>
      <c r="F375" s="2966">
        <v>170000</v>
      </c>
      <c r="G375" s="2971">
        <v>38.04</v>
      </c>
      <c r="H375" s="2963" t="s">
        <v>3185</v>
      </c>
      <c r="I375" s="2963" t="s">
        <v>3086</v>
      </c>
    </row>
    <row r="376" spans="1:9">
      <c r="A376" s="2963" t="s">
        <v>3328</v>
      </c>
      <c r="B376" s="2963" t="s">
        <v>3355</v>
      </c>
      <c r="D376" s="2963">
        <v>-2080</v>
      </c>
      <c r="E376" s="2963" t="s">
        <v>3526</v>
      </c>
      <c r="F376" s="2966">
        <v>170000</v>
      </c>
      <c r="G376" s="2971">
        <v>38.04</v>
      </c>
      <c r="H376" s="2963" t="s">
        <v>3185</v>
      </c>
      <c r="I376" s="2963" t="s">
        <v>3086</v>
      </c>
    </row>
    <row r="377" spans="1:9">
      <c r="A377" s="2963" t="s">
        <v>3328</v>
      </c>
      <c r="B377" s="2963" t="s">
        <v>3355</v>
      </c>
      <c r="D377" s="2963">
        <v>-2081</v>
      </c>
      <c r="E377" s="2963" t="s">
        <v>3527</v>
      </c>
      <c r="F377" s="2966">
        <v>170000</v>
      </c>
      <c r="G377" s="2971">
        <v>38.04</v>
      </c>
      <c r="H377" s="2963" t="s">
        <v>3185</v>
      </c>
      <c r="I377" s="2963" t="s">
        <v>3086</v>
      </c>
    </row>
    <row r="378" spans="1:9">
      <c r="A378" s="2963" t="s">
        <v>3328</v>
      </c>
      <c r="B378" s="2963" t="s">
        <v>3355</v>
      </c>
      <c r="D378" s="2963">
        <v>-2082</v>
      </c>
      <c r="E378" s="2963" t="s">
        <v>3528</v>
      </c>
      <c r="F378" s="2966">
        <v>170000</v>
      </c>
      <c r="G378" s="2971">
        <v>38.04</v>
      </c>
      <c r="H378" s="2963" t="s">
        <v>3185</v>
      </c>
      <c r="I378" s="2963" t="s">
        <v>3086</v>
      </c>
    </row>
    <row r="379" spans="1:9">
      <c r="A379" s="2963" t="s">
        <v>3328</v>
      </c>
      <c r="B379" s="2963" t="s">
        <v>3355</v>
      </c>
      <c r="D379" s="2963">
        <v>-2083</v>
      </c>
      <c r="E379" s="2963" t="s">
        <v>3529</v>
      </c>
      <c r="F379" s="2966">
        <v>170000</v>
      </c>
      <c r="G379" s="2971">
        <v>38.04</v>
      </c>
      <c r="H379" s="2963" t="s">
        <v>3185</v>
      </c>
      <c r="I379" s="2963" t="s">
        <v>3086</v>
      </c>
    </row>
    <row r="380" spans="1:9">
      <c r="A380" s="2963" t="s">
        <v>3328</v>
      </c>
      <c r="B380" s="2963" t="s">
        <v>3355</v>
      </c>
      <c r="D380" s="2963">
        <v>-2084</v>
      </c>
      <c r="E380" s="2963" t="s">
        <v>3530</v>
      </c>
      <c r="F380" s="2966">
        <v>170000</v>
      </c>
      <c r="G380" s="2971">
        <v>38.04</v>
      </c>
      <c r="H380" s="2963" t="s">
        <v>3185</v>
      </c>
      <c r="I380" s="2963" t="s">
        <v>3086</v>
      </c>
    </row>
    <row r="381" spans="1:9">
      <c r="A381" s="2963" t="s">
        <v>3328</v>
      </c>
      <c r="B381" s="2963" t="s">
        <v>3355</v>
      </c>
      <c r="D381" s="2963">
        <v>-2085</v>
      </c>
      <c r="E381" s="2963" t="s">
        <v>3531</v>
      </c>
      <c r="F381" s="2966">
        <v>170000</v>
      </c>
      <c r="G381" s="2971">
        <v>38.04</v>
      </c>
      <c r="H381" s="2963" t="s">
        <v>3185</v>
      </c>
      <c r="I381" s="2963" t="s">
        <v>3086</v>
      </c>
    </row>
    <row r="382" spans="1:9">
      <c r="A382" s="2963" t="s">
        <v>3328</v>
      </c>
      <c r="B382" s="2963" t="s">
        <v>3355</v>
      </c>
      <c r="D382" s="2963">
        <v>-2086</v>
      </c>
      <c r="E382" s="2963" t="s">
        <v>3532</v>
      </c>
      <c r="F382" s="2966">
        <v>170000</v>
      </c>
      <c r="G382" s="2971">
        <v>38.04</v>
      </c>
      <c r="H382" s="2963" t="s">
        <v>3185</v>
      </c>
      <c r="I382" s="2963" t="s">
        <v>3086</v>
      </c>
    </row>
    <row r="383" spans="1:9">
      <c r="A383" s="2963" t="s">
        <v>3328</v>
      </c>
      <c r="B383" s="2963" t="s">
        <v>3355</v>
      </c>
      <c r="D383" s="2963">
        <v>-2087</v>
      </c>
      <c r="E383" s="2963" t="s">
        <v>3533</v>
      </c>
      <c r="F383" s="2966">
        <v>170000</v>
      </c>
      <c r="G383" s="2971">
        <v>38.04</v>
      </c>
      <c r="H383" s="2963" t="s">
        <v>3185</v>
      </c>
      <c r="I383" s="2963" t="s">
        <v>3086</v>
      </c>
    </row>
    <row r="384" spans="1:9">
      <c r="A384" s="2963" t="s">
        <v>3328</v>
      </c>
      <c r="B384" s="2963" t="s">
        <v>3355</v>
      </c>
      <c r="D384" s="2963">
        <v>-2088</v>
      </c>
      <c r="E384" s="2963" t="s">
        <v>3534</v>
      </c>
      <c r="F384" s="2966">
        <v>170000</v>
      </c>
      <c r="G384" s="2971">
        <v>38.04</v>
      </c>
      <c r="H384" s="2963" t="s">
        <v>3185</v>
      </c>
      <c r="I384" s="2963" t="s">
        <v>3086</v>
      </c>
    </row>
    <row r="385" spans="1:9">
      <c r="A385" s="2963" t="s">
        <v>3328</v>
      </c>
      <c r="B385" s="2963" t="s">
        <v>3355</v>
      </c>
      <c r="D385" s="2963">
        <v>-2089</v>
      </c>
      <c r="E385" s="2963" t="s">
        <v>3535</v>
      </c>
      <c r="F385" s="2966">
        <v>170000</v>
      </c>
      <c r="G385" s="2971">
        <v>38.04</v>
      </c>
      <c r="H385" s="2963" t="s">
        <v>3185</v>
      </c>
      <c r="I385" s="2963" t="s">
        <v>3086</v>
      </c>
    </row>
    <row r="386" spans="1:9">
      <c r="A386" s="2963" t="s">
        <v>3328</v>
      </c>
      <c r="B386" s="2963" t="s">
        <v>3355</v>
      </c>
      <c r="D386" s="2963">
        <v>-2090</v>
      </c>
      <c r="E386" s="2963" t="s">
        <v>3536</v>
      </c>
      <c r="F386" s="2966">
        <v>170000</v>
      </c>
      <c r="G386" s="2971">
        <v>38.04</v>
      </c>
      <c r="H386" s="2963" t="s">
        <v>3185</v>
      </c>
      <c r="I386" s="2963" t="s">
        <v>3086</v>
      </c>
    </row>
    <row r="387" spans="1:9">
      <c r="A387" s="2963" t="s">
        <v>3328</v>
      </c>
      <c r="B387" s="2963" t="s">
        <v>3355</v>
      </c>
      <c r="D387" s="2963">
        <v>-2091</v>
      </c>
      <c r="E387" s="2963" t="s">
        <v>3537</v>
      </c>
      <c r="F387" s="2966">
        <v>170000</v>
      </c>
      <c r="G387" s="2971">
        <v>38.04</v>
      </c>
      <c r="H387" s="2963" t="s">
        <v>3185</v>
      </c>
      <c r="I387" s="2963" t="s">
        <v>3086</v>
      </c>
    </row>
    <row r="388" spans="1:9">
      <c r="A388" s="2963" t="s">
        <v>3328</v>
      </c>
      <c r="B388" s="2963" t="s">
        <v>3355</v>
      </c>
      <c r="D388" s="2963">
        <v>-2092</v>
      </c>
      <c r="E388" s="2963" t="s">
        <v>3538</v>
      </c>
      <c r="F388" s="2966">
        <v>170000</v>
      </c>
      <c r="G388" s="2971">
        <v>38.04</v>
      </c>
      <c r="H388" s="2963" t="s">
        <v>3185</v>
      </c>
      <c r="I388" s="2963" t="s">
        <v>3086</v>
      </c>
    </row>
    <row r="389" spans="1:9">
      <c r="A389" s="2963" t="s">
        <v>3328</v>
      </c>
      <c r="B389" s="2963" t="s">
        <v>3355</v>
      </c>
      <c r="D389" s="2963">
        <v>-2093</v>
      </c>
      <c r="E389" s="2963" t="s">
        <v>3539</v>
      </c>
      <c r="F389" s="2966">
        <v>170000</v>
      </c>
      <c r="G389" s="2971">
        <v>38.04</v>
      </c>
      <c r="H389" s="2963" t="s">
        <v>3185</v>
      </c>
      <c r="I389" s="2963" t="s">
        <v>3086</v>
      </c>
    </row>
    <row r="390" spans="1:9">
      <c r="A390" s="2963" t="s">
        <v>3328</v>
      </c>
      <c r="B390" s="2963" t="s">
        <v>3355</v>
      </c>
      <c r="D390" s="2963">
        <v>-2094</v>
      </c>
      <c r="E390" s="2963" t="s">
        <v>3540</v>
      </c>
      <c r="F390" s="2966">
        <v>170000</v>
      </c>
      <c r="G390" s="2971">
        <v>38.04</v>
      </c>
      <c r="H390" s="2963" t="s">
        <v>3185</v>
      </c>
      <c r="I390" s="2963" t="s">
        <v>3086</v>
      </c>
    </row>
    <row r="391" spans="1:9">
      <c r="A391" s="2963" t="s">
        <v>3328</v>
      </c>
      <c r="B391" s="2963" t="s">
        <v>3355</v>
      </c>
      <c r="D391" s="2963">
        <v>-2095</v>
      </c>
      <c r="E391" s="2963" t="s">
        <v>3541</v>
      </c>
      <c r="F391" s="2966">
        <v>170000</v>
      </c>
      <c r="G391" s="2971">
        <v>38.04</v>
      </c>
      <c r="H391" s="2963" t="s">
        <v>3185</v>
      </c>
      <c r="I391" s="2963" t="s">
        <v>3086</v>
      </c>
    </row>
    <row r="392" spans="1:9">
      <c r="A392" s="2963" t="s">
        <v>3328</v>
      </c>
      <c r="B392" s="2963" t="s">
        <v>3355</v>
      </c>
      <c r="D392" s="2963">
        <v>-2096</v>
      </c>
      <c r="E392" s="2963" t="s">
        <v>3542</v>
      </c>
      <c r="F392" s="2966">
        <v>170000</v>
      </c>
      <c r="G392" s="2971">
        <v>38.04</v>
      </c>
      <c r="H392" s="2963" t="s">
        <v>3185</v>
      </c>
      <c r="I392" s="2963" t="s">
        <v>3086</v>
      </c>
    </row>
    <row r="393" spans="1:9">
      <c r="A393" s="2963" t="s">
        <v>3328</v>
      </c>
      <c r="B393" s="2963" t="s">
        <v>3355</v>
      </c>
      <c r="D393" s="2963">
        <v>-2097</v>
      </c>
      <c r="E393" s="2963" t="s">
        <v>3543</v>
      </c>
      <c r="F393" s="2966">
        <v>170000</v>
      </c>
      <c r="G393" s="2971">
        <v>38.04</v>
      </c>
      <c r="H393" s="2963" t="s">
        <v>3185</v>
      </c>
      <c r="I393" s="2963" t="s">
        <v>3086</v>
      </c>
    </row>
    <row r="394" spans="1:9">
      <c r="A394" s="2963" t="s">
        <v>3328</v>
      </c>
      <c r="B394" s="2963" t="s">
        <v>3355</v>
      </c>
      <c r="D394" s="2963">
        <v>-2098</v>
      </c>
      <c r="E394" s="2963" t="s">
        <v>3544</v>
      </c>
      <c r="F394" s="2966">
        <v>170000</v>
      </c>
      <c r="G394" s="2971">
        <v>38.04</v>
      </c>
      <c r="H394" s="2963" t="s">
        <v>3185</v>
      </c>
      <c r="I394" s="2963" t="s">
        <v>3086</v>
      </c>
    </row>
    <row r="395" spans="1:9">
      <c r="A395" s="2963" t="s">
        <v>3328</v>
      </c>
      <c r="B395" s="2963" t="s">
        <v>3355</v>
      </c>
      <c r="D395" s="2963">
        <v>-2099</v>
      </c>
      <c r="E395" s="2963" t="s">
        <v>3545</v>
      </c>
      <c r="F395" s="2966">
        <v>170000</v>
      </c>
      <c r="G395" s="2971">
        <v>38.04</v>
      </c>
      <c r="H395" s="2963" t="s">
        <v>3185</v>
      </c>
      <c r="I395" s="2963" t="s">
        <v>3086</v>
      </c>
    </row>
    <row r="396" spans="1:9">
      <c r="A396" s="2963" t="s">
        <v>3328</v>
      </c>
      <c r="B396" s="2963" t="s">
        <v>3355</v>
      </c>
      <c r="D396" s="2963">
        <v>-2100</v>
      </c>
      <c r="E396" s="2963" t="s">
        <v>3546</v>
      </c>
      <c r="F396" s="2966">
        <v>170000</v>
      </c>
      <c r="G396" s="2971">
        <v>38.04</v>
      </c>
      <c r="H396" s="2963" t="s">
        <v>3185</v>
      </c>
      <c r="I396" s="2963" t="s">
        <v>3086</v>
      </c>
    </row>
    <row r="397" spans="1:9">
      <c r="A397" s="2963" t="s">
        <v>3328</v>
      </c>
      <c r="B397" s="2963" t="s">
        <v>3355</v>
      </c>
      <c r="D397" s="2963">
        <v>-2101</v>
      </c>
      <c r="E397" s="2963" t="s">
        <v>3547</v>
      </c>
      <c r="F397" s="2966">
        <v>180000</v>
      </c>
      <c r="G397" s="2971">
        <v>56.31</v>
      </c>
      <c r="H397" s="2963" t="s">
        <v>3185</v>
      </c>
      <c r="I397" s="2963" t="s">
        <v>3086</v>
      </c>
    </row>
    <row r="398" spans="1:9">
      <c r="A398" s="2963" t="s">
        <v>3328</v>
      </c>
      <c r="B398" s="2963" t="s">
        <v>3355</v>
      </c>
      <c r="D398" s="2963">
        <v>-2102</v>
      </c>
      <c r="E398" s="2963" t="s">
        <v>3548</v>
      </c>
      <c r="F398" s="2966">
        <v>170000</v>
      </c>
      <c r="G398" s="2971">
        <v>38.04</v>
      </c>
      <c r="H398" s="2963" t="s">
        <v>3185</v>
      </c>
      <c r="I398" s="2963" t="s">
        <v>3086</v>
      </c>
    </row>
    <row r="399" spans="1:9">
      <c r="A399" s="2963" t="s">
        <v>3328</v>
      </c>
      <c r="B399" s="2963" t="s">
        <v>3355</v>
      </c>
      <c r="D399" s="2963">
        <v>-2103</v>
      </c>
      <c r="E399" s="2963" t="s">
        <v>3549</v>
      </c>
      <c r="F399" s="2966">
        <v>170000</v>
      </c>
      <c r="G399" s="2971">
        <v>38.04</v>
      </c>
      <c r="H399" s="2963" t="s">
        <v>3185</v>
      </c>
      <c r="I399" s="2963" t="s">
        <v>3086</v>
      </c>
    </row>
    <row r="400" spans="1:9">
      <c r="A400" s="2963" t="s">
        <v>3328</v>
      </c>
      <c r="B400" s="2963" t="s">
        <v>3355</v>
      </c>
      <c r="D400" s="2963">
        <v>-2104</v>
      </c>
      <c r="E400" s="2963" t="s">
        <v>3550</v>
      </c>
      <c r="F400" s="2966">
        <v>180000</v>
      </c>
      <c r="G400" s="2971">
        <v>56.31</v>
      </c>
      <c r="H400" s="2963" t="s">
        <v>3185</v>
      </c>
      <c r="I400" s="2963" t="s">
        <v>3086</v>
      </c>
    </row>
    <row r="401" spans="1:9">
      <c r="A401" s="2963" t="s">
        <v>3328</v>
      </c>
      <c r="B401" s="2963" t="s">
        <v>3355</v>
      </c>
      <c r="D401" s="2963">
        <v>-2105</v>
      </c>
      <c r="E401" s="2963" t="s">
        <v>3551</v>
      </c>
      <c r="F401" s="2966">
        <v>170000</v>
      </c>
      <c r="G401" s="2971">
        <v>38.04</v>
      </c>
      <c r="H401" s="2963" t="s">
        <v>3185</v>
      </c>
      <c r="I401" s="2963" t="s">
        <v>3086</v>
      </c>
    </row>
    <row r="402" spans="1:9">
      <c r="A402" s="2963" t="s">
        <v>3328</v>
      </c>
      <c r="B402" s="2963" t="s">
        <v>3355</v>
      </c>
      <c r="D402" s="2963">
        <v>-2106</v>
      </c>
      <c r="E402" s="2963" t="s">
        <v>3552</v>
      </c>
      <c r="F402" s="2966">
        <v>170000</v>
      </c>
      <c r="G402" s="2971">
        <v>38.04</v>
      </c>
      <c r="H402" s="2963" t="s">
        <v>3185</v>
      </c>
      <c r="I402" s="2963" t="s">
        <v>3086</v>
      </c>
    </row>
    <row r="403" spans="1:9">
      <c r="A403" s="2963" t="s">
        <v>3328</v>
      </c>
      <c r="B403" s="2963" t="s">
        <v>3355</v>
      </c>
      <c r="D403" s="2963">
        <v>-2107</v>
      </c>
      <c r="E403" s="2963" t="s">
        <v>3553</v>
      </c>
      <c r="F403" s="2966">
        <v>170000</v>
      </c>
      <c r="G403" s="2971">
        <v>38.04</v>
      </c>
      <c r="H403" s="2963" t="s">
        <v>3185</v>
      </c>
      <c r="I403" s="2963" t="s">
        <v>3086</v>
      </c>
    </row>
    <row r="404" spans="1:9">
      <c r="A404" s="2963" t="s">
        <v>3328</v>
      </c>
      <c r="B404" s="2963" t="s">
        <v>3355</v>
      </c>
      <c r="D404" s="2963">
        <v>-2108</v>
      </c>
      <c r="E404" s="2963" t="s">
        <v>3554</v>
      </c>
      <c r="F404" s="2966">
        <v>170000</v>
      </c>
      <c r="G404" s="2971">
        <v>38.04</v>
      </c>
      <c r="H404" s="2963" t="s">
        <v>3185</v>
      </c>
      <c r="I404" s="2963" t="s">
        <v>3086</v>
      </c>
    </row>
    <row r="405" spans="1:9">
      <c r="A405" s="2963" t="s">
        <v>3328</v>
      </c>
      <c r="B405" s="2963" t="s">
        <v>3355</v>
      </c>
      <c r="D405" s="2963">
        <v>-2109</v>
      </c>
      <c r="E405" s="2963" t="s">
        <v>3555</v>
      </c>
      <c r="F405" s="2966">
        <v>170000</v>
      </c>
      <c r="G405" s="2971">
        <v>38.04</v>
      </c>
      <c r="H405" s="2963" t="s">
        <v>3185</v>
      </c>
      <c r="I405" s="2963" t="s">
        <v>3086</v>
      </c>
    </row>
    <row r="406" spans="1:9">
      <c r="A406" s="2963" t="s">
        <v>3328</v>
      </c>
      <c r="B406" s="2963" t="s">
        <v>3355</v>
      </c>
      <c r="D406" s="2963">
        <v>-2110</v>
      </c>
      <c r="E406" s="2963" t="s">
        <v>3556</v>
      </c>
      <c r="F406" s="2966">
        <v>170000</v>
      </c>
      <c r="G406" s="2971">
        <v>38.04</v>
      </c>
      <c r="H406" s="2963" t="s">
        <v>3185</v>
      </c>
      <c r="I406" s="2963" t="s">
        <v>3086</v>
      </c>
    </row>
    <row r="407" spans="1:9">
      <c r="A407" s="2963" t="s">
        <v>3328</v>
      </c>
      <c r="B407" s="2963" t="s">
        <v>3355</v>
      </c>
      <c r="D407" s="2963">
        <v>-2111</v>
      </c>
      <c r="E407" s="2963" t="s">
        <v>3557</v>
      </c>
      <c r="F407" s="2966">
        <v>170000</v>
      </c>
      <c r="G407" s="2971">
        <v>38.04</v>
      </c>
      <c r="H407" s="2963" t="s">
        <v>3185</v>
      </c>
      <c r="I407" s="2963" t="s">
        <v>3086</v>
      </c>
    </row>
    <row r="408" spans="1:9">
      <c r="A408" s="2963" t="s">
        <v>3328</v>
      </c>
      <c r="B408" s="2963" t="s">
        <v>3355</v>
      </c>
      <c r="D408" s="2963">
        <v>-2112</v>
      </c>
      <c r="E408" s="2963" t="s">
        <v>3558</v>
      </c>
      <c r="F408" s="2966">
        <v>170000</v>
      </c>
      <c r="G408" s="2971">
        <v>38.04</v>
      </c>
      <c r="H408" s="2963" t="s">
        <v>3185</v>
      </c>
      <c r="I408" s="2963" t="s">
        <v>3086</v>
      </c>
    </row>
    <row r="409" spans="1:9">
      <c r="A409" s="2963" t="s">
        <v>3328</v>
      </c>
      <c r="B409" s="2963" t="s">
        <v>3355</v>
      </c>
      <c r="D409" s="2963">
        <v>-2113</v>
      </c>
      <c r="E409" s="2963" t="s">
        <v>3559</v>
      </c>
      <c r="F409" s="2966">
        <v>170000</v>
      </c>
      <c r="G409" s="2971">
        <v>38.04</v>
      </c>
      <c r="H409" s="2963" t="s">
        <v>3185</v>
      </c>
      <c r="I409" s="2963" t="s">
        <v>3086</v>
      </c>
    </row>
    <row r="410" spans="1:9">
      <c r="A410" s="2963" t="s">
        <v>3328</v>
      </c>
      <c r="B410" s="2963" t="s">
        <v>3355</v>
      </c>
      <c r="D410" s="2963">
        <v>-2114</v>
      </c>
      <c r="E410" s="2963" t="s">
        <v>3560</v>
      </c>
      <c r="F410" s="2966">
        <v>170000</v>
      </c>
      <c r="G410" s="2971">
        <v>38.04</v>
      </c>
      <c r="H410" s="2963" t="s">
        <v>3185</v>
      </c>
      <c r="I410" s="2963" t="s">
        <v>3086</v>
      </c>
    </row>
    <row r="411" spans="1:9">
      <c r="A411" s="2963" t="s">
        <v>3328</v>
      </c>
      <c r="B411" s="2963" t="s">
        <v>3355</v>
      </c>
      <c r="D411" s="2963">
        <v>-2115</v>
      </c>
      <c r="E411" s="2963" t="s">
        <v>3561</v>
      </c>
      <c r="F411" s="2966">
        <v>170000</v>
      </c>
      <c r="G411" s="2971">
        <v>38.04</v>
      </c>
      <c r="H411" s="2963" t="s">
        <v>3185</v>
      </c>
      <c r="I411" s="2963" t="s">
        <v>3086</v>
      </c>
    </row>
    <row r="412" spans="1:9">
      <c r="A412" s="2963" t="s">
        <v>3328</v>
      </c>
      <c r="B412" s="2963" t="s">
        <v>3355</v>
      </c>
      <c r="D412" s="2963">
        <v>-2116</v>
      </c>
      <c r="E412" s="2963" t="s">
        <v>3562</v>
      </c>
      <c r="F412" s="2966">
        <v>170000</v>
      </c>
      <c r="G412" s="2971">
        <v>38.04</v>
      </c>
      <c r="H412" s="2963" t="s">
        <v>3185</v>
      </c>
      <c r="I412" s="2963" t="s">
        <v>3086</v>
      </c>
    </row>
    <row r="413" spans="1:9">
      <c r="A413" s="2963" t="s">
        <v>3328</v>
      </c>
      <c r="B413" s="2963" t="s">
        <v>3355</v>
      </c>
      <c r="D413" s="2963">
        <v>-2117</v>
      </c>
      <c r="E413" s="2963" t="s">
        <v>3563</v>
      </c>
      <c r="F413" s="2966">
        <v>170000</v>
      </c>
      <c r="G413" s="2971">
        <v>38.04</v>
      </c>
      <c r="H413" s="2963" t="s">
        <v>3185</v>
      </c>
      <c r="I413" s="2963" t="s">
        <v>3086</v>
      </c>
    </row>
    <row r="414" spans="1:9">
      <c r="A414" s="2963" t="s">
        <v>3328</v>
      </c>
      <c r="B414" s="2963" t="s">
        <v>3355</v>
      </c>
      <c r="D414" s="2963">
        <v>-2118</v>
      </c>
      <c r="E414" s="2963" t="s">
        <v>3564</v>
      </c>
      <c r="F414" s="2966">
        <v>170000</v>
      </c>
      <c r="G414" s="2971">
        <v>38.04</v>
      </c>
      <c r="H414" s="2963" t="s">
        <v>3185</v>
      </c>
      <c r="I414" s="2963" t="s">
        <v>3086</v>
      </c>
    </row>
    <row r="415" spans="1:9">
      <c r="A415" s="2963" t="s">
        <v>3328</v>
      </c>
      <c r="B415" s="2963" t="s">
        <v>3355</v>
      </c>
      <c r="D415" s="2963">
        <v>-2119</v>
      </c>
      <c r="E415" s="2963" t="s">
        <v>3565</v>
      </c>
      <c r="F415" s="2966">
        <v>170000</v>
      </c>
      <c r="G415" s="2971">
        <v>38.04</v>
      </c>
      <c r="H415" s="2963" t="s">
        <v>3185</v>
      </c>
      <c r="I415" s="2963" t="s">
        <v>3086</v>
      </c>
    </row>
    <row r="416" spans="1:9">
      <c r="A416" s="2963" t="s">
        <v>3328</v>
      </c>
      <c r="B416" s="2963" t="s">
        <v>3355</v>
      </c>
      <c r="D416" s="2963">
        <v>-2120</v>
      </c>
      <c r="E416" s="2963" t="s">
        <v>3566</v>
      </c>
      <c r="F416" s="2966">
        <v>170000</v>
      </c>
      <c r="G416" s="2971">
        <v>38.04</v>
      </c>
      <c r="H416" s="2963" t="s">
        <v>3185</v>
      </c>
      <c r="I416" s="2963" t="s">
        <v>3086</v>
      </c>
    </row>
    <row r="417" spans="1:9">
      <c r="A417" s="2963" t="s">
        <v>3328</v>
      </c>
      <c r="B417" s="2963" t="s">
        <v>3355</v>
      </c>
      <c r="D417" s="2963">
        <v>-2121</v>
      </c>
      <c r="E417" s="2963" t="s">
        <v>3567</v>
      </c>
      <c r="F417" s="2966">
        <v>170000</v>
      </c>
      <c r="G417" s="2971">
        <v>38.04</v>
      </c>
      <c r="H417" s="2963" t="s">
        <v>3185</v>
      </c>
      <c r="I417" s="2963" t="s">
        <v>3086</v>
      </c>
    </row>
    <row r="418" spans="1:9">
      <c r="A418" s="2963" t="s">
        <v>3328</v>
      </c>
      <c r="B418" s="2963" t="s">
        <v>3355</v>
      </c>
      <c r="D418" s="2963">
        <v>-2122</v>
      </c>
      <c r="E418" s="2963" t="s">
        <v>3568</v>
      </c>
      <c r="F418" s="2966">
        <v>170000</v>
      </c>
      <c r="G418" s="2971">
        <v>38.04</v>
      </c>
      <c r="H418" s="2963" t="s">
        <v>3185</v>
      </c>
      <c r="I418" s="2963" t="s">
        <v>3086</v>
      </c>
    </row>
    <row r="419" spans="1:9">
      <c r="A419" s="2963" t="s">
        <v>3328</v>
      </c>
      <c r="B419" s="2963" t="s">
        <v>3355</v>
      </c>
      <c r="D419" s="2963">
        <v>-2123</v>
      </c>
      <c r="E419" s="2963" t="s">
        <v>3569</v>
      </c>
      <c r="F419" s="2966">
        <v>170000</v>
      </c>
      <c r="G419" s="2971">
        <v>38.04</v>
      </c>
      <c r="H419" s="2963" t="s">
        <v>3185</v>
      </c>
      <c r="I419" s="2963" t="s">
        <v>3086</v>
      </c>
    </row>
    <row r="420" spans="1:9">
      <c r="A420" s="2963" t="s">
        <v>3328</v>
      </c>
      <c r="B420" s="2963" t="s">
        <v>3355</v>
      </c>
      <c r="D420" s="2963">
        <v>-2124</v>
      </c>
      <c r="E420" s="2963" t="s">
        <v>3570</v>
      </c>
      <c r="F420" s="2966">
        <v>170000</v>
      </c>
      <c r="G420" s="2971">
        <v>38.04</v>
      </c>
      <c r="H420" s="2963" t="s">
        <v>3185</v>
      </c>
      <c r="I420" s="2963" t="s">
        <v>3086</v>
      </c>
    </row>
    <row r="421" spans="1:9">
      <c r="A421" s="2963" t="s">
        <v>3328</v>
      </c>
      <c r="B421" s="2963" t="s">
        <v>3355</v>
      </c>
      <c r="D421" s="2963">
        <v>-2125</v>
      </c>
      <c r="E421" s="2963" t="s">
        <v>3571</v>
      </c>
      <c r="F421" s="2966">
        <v>170000</v>
      </c>
      <c r="G421" s="2971">
        <v>38.04</v>
      </c>
      <c r="H421" s="2963" t="s">
        <v>3185</v>
      </c>
      <c r="I421" s="2963" t="s">
        <v>3086</v>
      </c>
    </row>
    <row r="422" spans="1:9">
      <c r="A422" s="2963" t="s">
        <v>3328</v>
      </c>
      <c r="B422" s="2963" t="s">
        <v>3355</v>
      </c>
      <c r="D422" s="2963">
        <v>-2126</v>
      </c>
      <c r="E422" s="2963" t="s">
        <v>3572</v>
      </c>
      <c r="F422" s="2966">
        <v>170000</v>
      </c>
      <c r="G422" s="2971">
        <v>38.04</v>
      </c>
      <c r="H422" s="2963" t="s">
        <v>3185</v>
      </c>
      <c r="I422" s="2963" t="s">
        <v>3086</v>
      </c>
    </row>
    <row r="423" spans="1:9">
      <c r="A423" s="2963" t="s">
        <v>3328</v>
      </c>
      <c r="B423" s="2963" t="s">
        <v>3355</v>
      </c>
      <c r="D423" s="2963">
        <v>-2127</v>
      </c>
      <c r="E423" s="2963" t="s">
        <v>3573</v>
      </c>
      <c r="F423" s="2966">
        <v>170000</v>
      </c>
      <c r="G423" s="2971">
        <v>38.04</v>
      </c>
      <c r="H423" s="2963" t="s">
        <v>3185</v>
      </c>
      <c r="I423" s="2963" t="s">
        <v>3086</v>
      </c>
    </row>
    <row r="424" spans="1:9">
      <c r="A424" s="2963" t="s">
        <v>3328</v>
      </c>
      <c r="B424" s="2963" t="s">
        <v>3355</v>
      </c>
      <c r="D424" s="2963">
        <v>-2128</v>
      </c>
      <c r="E424" s="2963" t="s">
        <v>3574</v>
      </c>
      <c r="F424" s="2966">
        <v>170000</v>
      </c>
      <c r="G424" s="2971">
        <v>38.04</v>
      </c>
      <c r="H424" s="2963" t="s">
        <v>3185</v>
      </c>
      <c r="I424" s="2963" t="s">
        <v>3086</v>
      </c>
    </row>
    <row r="425" spans="1:9">
      <c r="A425" s="2963" t="s">
        <v>3328</v>
      </c>
      <c r="B425" s="2963" t="s">
        <v>3355</v>
      </c>
      <c r="D425" s="2963">
        <v>-2129</v>
      </c>
      <c r="E425" s="2963" t="s">
        <v>3575</v>
      </c>
      <c r="F425" s="2966">
        <v>170000</v>
      </c>
      <c r="G425" s="2971">
        <v>38.04</v>
      </c>
      <c r="H425" s="2963" t="s">
        <v>3185</v>
      </c>
      <c r="I425" s="2963" t="s">
        <v>3086</v>
      </c>
    </row>
    <row r="426" spans="1:9">
      <c r="A426" s="2963" t="s">
        <v>3328</v>
      </c>
      <c r="B426" s="2963" t="s">
        <v>3355</v>
      </c>
      <c r="D426" s="2963">
        <v>-2130</v>
      </c>
      <c r="E426" s="2963" t="s">
        <v>3576</v>
      </c>
      <c r="F426" s="2966">
        <v>170000</v>
      </c>
      <c r="G426" s="2971">
        <v>38.04</v>
      </c>
      <c r="H426" s="2963" t="s">
        <v>3185</v>
      </c>
      <c r="I426" s="2963" t="s">
        <v>3086</v>
      </c>
    </row>
    <row r="427" spans="1:9">
      <c r="A427" s="2963" t="s">
        <v>3328</v>
      </c>
      <c r="B427" s="2963" t="s">
        <v>3355</v>
      </c>
      <c r="D427" s="2963">
        <v>-2131</v>
      </c>
      <c r="E427" s="2963" t="s">
        <v>3577</v>
      </c>
      <c r="F427" s="2966">
        <v>170000</v>
      </c>
      <c r="G427" s="2971">
        <v>38.04</v>
      </c>
      <c r="H427" s="2963" t="s">
        <v>3185</v>
      </c>
      <c r="I427" s="2963" t="s">
        <v>3086</v>
      </c>
    </row>
    <row r="428" spans="1:9">
      <c r="A428" s="2963" t="s">
        <v>3328</v>
      </c>
      <c r="B428" s="2963" t="s">
        <v>3355</v>
      </c>
      <c r="D428" s="2963">
        <v>-2132</v>
      </c>
      <c r="E428" s="2963" t="s">
        <v>3578</v>
      </c>
      <c r="F428" s="2966">
        <v>170000</v>
      </c>
      <c r="G428" s="2971">
        <v>38.04</v>
      </c>
      <c r="H428" s="2963" t="s">
        <v>3185</v>
      </c>
      <c r="I428" s="2963" t="s">
        <v>3086</v>
      </c>
    </row>
    <row r="429" spans="1:9">
      <c r="A429" s="2963" t="s">
        <v>3328</v>
      </c>
      <c r="B429" s="2963" t="s">
        <v>3355</v>
      </c>
      <c r="D429" s="2963">
        <v>-2133</v>
      </c>
      <c r="E429" s="2963" t="s">
        <v>3579</v>
      </c>
      <c r="F429" s="2966">
        <v>170000</v>
      </c>
      <c r="G429" s="2971">
        <v>38.04</v>
      </c>
      <c r="H429" s="2963" t="s">
        <v>3185</v>
      </c>
      <c r="I429" s="2963" t="s">
        <v>3086</v>
      </c>
    </row>
    <row r="430" spans="1:9">
      <c r="A430" s="2963" t="s">
        <v>3328</v>
      </c>
      <c r="B430" s="2963" t="s">
        <v>3355</v>
      </c>
      <c r="D430" s="2963">
        <v>-2134</v>
      </c>
      <c r="E430" s="2963" t="s">
        <v>3580</v>
      </c>
      <c r="F430" s="2966">
        <v>170000</v>
      </c>
      <c r="G430" s="2971">
        <v>38.04</v>
      </c>
      <c r="H430" s="2963" t="s">
        <v>3185</v>
      </c>
      <c r="I430" s="2963" t="s">
        <v>3086</v>
      </c>
    </row>
    <row r="431" spans="1:9">
      <c r="A431" s="2963" t="s">
        <v>3328</v>
      </c>
      <c r="B431" s="2963" t="s">
        <v>3355</v>
      </c>
      <c r="D431" s="2963">
        <v>-2135</v>
      </c>
      <c r="E431" s="2963" t="s">
        <v>3581</v>
      </c>
      <c r="F431" s="2966">
        <v>170000</v>
      </c>
      <c r="G431" s="2971">
        <v>38.04</v>
      </c>
      <c r="H431" s="2963" t="s">
        <v>3185</v>
      </c>
      <c r="I431" s="2963" t="s">
        <v>3086</v>
      </c>
    </row>
    <row r="432" spans="1:9">
      <c r="A432" s="2963" t="s">
        <v>3328</v>
      </c>
      <c r="B432" s="2963" t="s">
        <v>3355</v>
      </c>
      <c r="D432" s="2963">
        <v>-2136</v>
      </c>
      <c r="E432" s="2963" t="s">
        <v>3582</v>
      </c>
      <c r="F432" s="2966">
        <v>170000</v>
      </c>
      <c r="G432" s="2971">
        <v>38.04</v>
      </c>
      <c r="H432" s="2963" t="s">
        <v>3185</v>
      </c>
      <c r="I432" s="2963" t="s">
        <v>3086</v>
      </c>
    </row>
    <row r="433" spans="1:9">
      <c r="A433" s="2963" t="s">
        <v>3328</v>
      </c>
      <c r="B433" s="2963" t="s">
        <v>3355</v>
      </c>
      <c r="D433" s="2963">
        <v>-2137</v>
      </c>
      <c r="E433" s="2963" t="s">
        <v>3583</v>
      </c>
      <c r="F433" s="2966">
        <v>170000</v>
      </c>
      <c r="G433" s="2971">
        <v>38.04</v>
      </c>
      <c r="H433" s="2963" t="s">
        <v>3185</v>
      </c>
      <c r="I433" s="2963" t="s">
        <v>3086</v>
      </c>
    </row>
    <row r="434" spans="1:9">
      <c r="A434" s="2963" t="s">
        <v>3328</v>
      </c>
      <c r="B434" s="2963" t="s">
        <v>3355</v>
      </c>
      <c r="D434" s="2963">
        <v>-2138</v>
      </c>
      <c r="E434" s="2963" t="s">
        <v>3584</v>
      </c>
      <c r="F434" s="2966">
        <v>170000</v>
      </c>
      <c r="G434" s="2971">
        <v>38.04</v>
      </c>
      <c r="H434" s="2963" t="s">
        <v>3185</v>
      </c>
      <c r="I434" s="2963" t="s">
        <v>3086</v>
      </c>
    </row>
    <row r="435" spans="1:9">
      <c r="A435" s="2963" t="s">
        <v>3328</v>
      </c>
      <c r="B435" s="2963" t="s">
        <v>3355</v>
      </c>
      <c r="D435" s="2963">
        <v>-2139</v>
      </c>
      <c r="E435" s="2963" t="s">
        <v>3585</v>
      </c>
      <c r="F435" s="2966">
        <v>170000</v>
      </c>
      <c r="G435" s="2971">
        <v>38.04</v>
      </c>
      <c r="H435" s="2963" t="s">
        <v>3185</v>
      </c>
      <c r="I435" s="2963" t="s">
        <v>3086</v>
      </c>
    </row>
    <row r="436" spans="1:9">
      <c r="A436" s="2963" t="s">
        <v>3328</v>
      </c>
      <c r="B436" s="2963" t="s">
        <v>3355</v>
      </c>
      <c r="D436" s="2963">
        <v>-2142</v>
      </c>
      <c r="E436" s="2963" t="s">
        <v>3586</v>
      </c>
      <c r="F436" s="2966">
        <v>170000</v>
      </c>
      <c r="G436" s="2971">
        <v>38.04</v>
      </c>
      <c r="H436" s="2963" t="s">
        <v>3185</v>
      </c>
      <c r="I436" s="2963" t="s">
        <v>3086</v>
      </c>
    </row>
    <row r="437" spans="1:9">
      <c r="A437" s="2963" t="s">
        <v>3328</v>
      </c>
      <c r="B437" s="2963" t="s">
        <v>3355</v>
      </c>
      <c r="D437" s="2963">
        <v>-2143</v>
      </c>
      <c r="E437" s="2963" t="s">
        <v>3587</v>
      </c>
      <c r="F437" s="2966">
        <v>170000</v>
      </c>
      <c r="G437" s="2971">
        <v>38.04</v>
      </c>
      <c r="H437" s="2963" t="s">
        <v>3185</v>
      </c>
      <c r="I437" s="2963" t="s">
        <v>3086</v>
      </c>
    </row>
    <row r="438" spans="1:9">
      <c r="A438" s="2963" t="s">
        <v>3328</v>
      </c>
      <c r="B438" s="2963" t="s">
        <v>3355</v>
      </c>
      <c r="D438" s="2963">
        <v>-2144</v>
      </c>
      <c r="E438" s="2963" t="s">
        <v>3588</v>
      </c>
      <c r="F438" s="2966">
        <v>170000</v>
      </c>
      <c r="G438" s="2971">
        <v>38.04</v>
      </c>
      <c r="H438" s="2963" t="s">
        <v>3185</v>
      </c>
      <c r="I438" s="2963" t="s">
        <v>3086</v>
      </c>
    </row>
    <row r="439" spans="1:9">
      <c r="A439" s="2963" t="s">
        <v>3328</v>
      </c>
      <c r="B439" s="2963" t="s">
        <v>3355</v>
      </c>
      <c r="D439" s="2963">
        <v>-2145</v>
      </c>
      <c r="E439" s="2963" t="s">
        <v>3589</v>
      </c>
      <c r="F439" s="2966">
        <v>170000</v>
      </c>
      <c r="G439" s="2971">
        <v>38.04</v>
      </c>
      <c r="H439" s="2963" t="s">
        <v>3185</v>
      </c>
      <c r="I439" s="2963" t="s">
        <v>3086</v>
      </c>
    </row>
    <row r="440" spans="1:9">
      <c r="A440" s="2963" t="s">
        <v>3328</v>
      </c>
      <c r="B440" s="2963" t="s">
        <v>3355</v>
      </c>
      <c r="D440" s="2963">
        <v>-2146</v>
      </c>
      <c r="E440" s="2963" t="s">
        <v>3590</v>
      </c>
      <c r="F440" s="2966">
        <v>170000</v>
      </c>
      <c r="G440" s="2971">
        <v>38.04</v>
      </c>
      <c r="H440" s="2963" t="s">
        <v>3185</v>
      </c>
      <c r="I440" s="2963" t="s">
        <v>3086</v>
      </c>
    </row>
    <row r="441" spans="1:9">
      <c r="A441" s="2963" t="s">
        <v>3328</v>
      </c>
      <c r="B441" s="2963" t="s">
        <v>3355</v>
      </c>
      <c r="D441" s="2963">
        <v>-2147</v>
      </c>
      <c r="E441" s="2963" t="s">
        <v>3591</v>
      </c>
      <c r="F441" s="2966">
        <v>170000</v>
      </c>
      <c r="G441" s="2971">
        <v>38.04</v>
      </c>
      <c r="H441" s="2963" t="s">
        <v>3185</v>
      </c>
      <c r="I441" s="2963" t="s">
        <v>3086</v>
      </c>
    </row>
    <row r="442" spans="1:9">
      <c r="A442" s="2963" t="s">
        <v>3328</v>
      </c>
      <c r="B442" s="2963" t="s">
        <v>3355</v>
      </c>
      <c r="D442" s="2963">
        <v>-2148</v>
      </c>
      <c r="E442" s="2963" t="s">
        <v>3592</v>
      </c>
      <c r="F442" s="2966">
        <v>170000</v>
      </c>
      <c r="G442" s="2971">
        <v>38.04</v>
      </c>
      <c r="H442" s="2963" t="s">
        <v>3185</v>
      </c>
      <c r="I442" s="2963" t="s">
        <v>3086</v>
      </c>
    </row>
    <row r="443" spans="1:9">
      <c r="A443" s="2963" t="s">
        <v>3328</v>
      </c>
      <c r="B443" s="2963" t="s">
        <v>3355</v>
      </c>
      <c r="D443" s="2963">
        <v>-2149</v>
      </c>
      <c r="E443" s="2963" t="s">
        <v>3593</v>
      </c>
      <c r="F443" s="2966">
        <v>170000</v>
      </c>
      <c r="G443" s="2971">
        <v>38.04</v>
      </c>
      <c r="H443" s="2963" t="s">
        <v>3185</v>
      </c>
      <c r="I443" s="2963" t="s">
        <v>3086</v>
      </c>
    </row>
    <row r="444" spans="1:9">
      <c r="A444" s="2963" t="s">
        <v>3328</v>
      </c>
      <c r="B444" s="2963" t="s">
        <v>3355</v>
      </c>
      <c r="D444" s="2963">
        <v>-2150</v>
      </c>
      <c r="E444" s="2963" t="s">
        <v>3594</v>
      </c>
      <c r="F444" s="2966">
        <v>170000</v>
      </c>
      <c r="G444" s="2971">
        <v>38.04</v>
      </c>
      <c r="H444" s="2963" t="s">
        <v>3185</v>
      </c>
      <c r="I444" s="2963" t="s">
        <v>3086</v>
      </c>
    </row>
    <row r="445" spans="1:9">
      <c r="A445" s="2963" t="s">
        <v>3328</v>
      </c>
      <c r="B445" s="2963" t="s">
        <v>3355</v>
      </c>
      <c r="D445" s="2963">
        <v>-2151</v>
      </c>
      <c r="E445" s="2963" t="s">
        <v>3595</v>
      </c>
      <c r="F445" s="2966">
        <v>170000</v>
      </c>
      <c r="G445" s="2971">
        <v>38.04</v>
      </c>
      <c r="H445" s="2963" t="s">
        <v>3185</v>
      </c>
      <c r="I445" s="2963" t="s">
        <v>3086</v>
      </c>
    </row>
    <row r="446" spans="1:9">
      <c r="A446" s="2963" t="s">
        <v>3328</v>
      </c>
      <c r="B446" s="2963" t="s">
        <v>3355</v>
      </c>
      <c r="D446" s="2963">
        <v>-2152</v>
      </c>
      <c r="E446" s="2963" t="s">
        <v>3596</v>
      </c>
      <c r="F446" s="2966">
        <v>170000</v>
      </c>
      <c r="G446" s="2971">
        <v>38.04</v>
      </c>
      <c r="H446" s="2963" t="s">
        <v>3185</v>
      </c>
      <c r="I446" s="2963" t="s">
        <v>3086</v>
      </c>
    </row>
    <row r="447" spans="1:9">
      <c r="A447" s="2963" t="s">
        <v>3328</v>
      </c>
      <c r="B447" s="2963" t="s">
        <v>3355</v>
      </c>
      <c r="D447" s="2963">
        <v>-2153</v>
      </c>
      <c r="E447" s="2963" t="s">
        <v>3597</v>
      </c>
      <c r="F447" s="2966">
        <v>170000</v>
      </c>
      <c r="G447" s="2971">
        <v>38.04</v>
      </c>
      <c r="H447" s="2963" t="s">
        <v>3185</v>
      </c>
      <c r="I447" s="2963" t="s">
        <v>3086</v>
      </c>
    </row>
    <row r="448" spans="1:9">
      <c r="A448" s="2963" t="s">
        <v>3328</v>
      </c>
      <c r="B448" s="2963" t="s">
        <v>3355</v>
      </c>
      <c r="D448" s="2963">
        <v>-2154</v>
      </c>
      <c r="E448" s="2963" t="s">
        <v>3598</v>
      </c>
      <c r="F448" s="2966">
        <v>170000</v>
      </c>
      <c r="G448" s="2971">
        <v>38.04</v>
      </c>
      <c r="H448" s="2963" t="s">
        <v>3185</v>
      </c>
      <c r="I448" s="2963" t="s">
        <v>3086</v>
      </c>
    </row>
    <row r="449" spans="1:9">
      <c r="A449" s="2963" t="s">
        <v>3328</v>
      </c>
      <c r="B449" s="2963" t="s">
        <v>3355</v>
      </c>
      <c r="D449" s="2963">
        <v>-2156</v>
      </c>
      <c r="E449" s="2963" t="s">
        <v>3599</v>
      </c>
      <c r="F449" s="2966">
        <v>170000</v>
      </c>
      <c r="G449" s="2971">
        <v>38.04</v>
      </c>
      <c r="H449" s="2963" t="s">
        <v>3185</v>
      </c>
      <c r="I449" s="2963" t="s">
        <v>3086</v>
      </c>
    </row>
    <row r="450" spans="1:9">
      <c r="A450" s="2963" t="s">
        <v>3328</v>
      </c>
      <c r="B450" s="2963" t="s">
        <v>3355</v>
      </c>
      <c r="D450" s="2963">
        <v>-2157</v>
      </c>
      <c r="E450" s="2963" t="s">
        <v>3600</v>
      </c>
      <c r="F450" s="2966">
        <v>170000</v>
      </c>
      <c r="G450" s="2971">
        <v>38.04</v>
      </c>
      <c r="H450" s="2963" t="s">
        <v>3185</v>
      </c>
      <c r="I450" s="2963" t="s">
        <v>3086</v>
      </c>
    </row>
    <row r="451" spans="1:9">
      <c r="A451" s="2963" t="s">
        <v>3328</v>
      </c>
      <c r="B451" s="2963" t="s">
        <v>3355</v>
      </c>
      <c r="D451" s="2963">
        <v>-2158</v>
      </c>
      <c r="E451" s="2963" t="s">
        <v>3601</v>
      </c>
      <c r="F451" s="2966">
        <v>170000</v>
      </c>
      <c r="G451" s="2971">
        <v>38.04</v>
      </c>
      <c r="H451" s="2963" t="s">
        <v>3185</v>
      </c>
      <c r="I451" s="2963" t="s">
        <v>3086</v>
      </c>
    </row>
    <row r="452" spans="1:9">
      <c r="A452" s="2963" t="s">
        <v>3328</v>
      </c>
      <c r="B452" s="2963" t="s">
        <v>3355</v>
      </c>
      <c r="D452" s="2963">
        <v>-2159</v>
      </c>
      <c r="E452" s="2963" t="s">
        <v>3602</v>
      </c>
      <c r="F452" s="2966">
        <v>170000</v>
      </c>
      <c r="G452" s="2971">
        <v>38.04</v>
      </c>
      <c r="H452" s="2963" t="s">
        <v>3185</v>
      </c>
      <c r="I452" s="2963" t="s">
        <v>3086</v>
      </c>
    </row>
    <row r="453" spans="1:9">
      <c r="A453" s="2963" t="s">
        <v>3328</v>
      </c>
      <c r="B453" s="2963" t="s">
        <v>3355</v>
      </c>
      <c r="D453" s="2963">
        <v>-2160</v>
      </c>
      <c r="E453" s="2963" t="s">
        <v>3603</v>
      </c>
      <c r="F453" s="2966">
        <v>170000</v>
      </c>
      <c r="G453" s="2971">
        <v>38.04</v>
      </c>
      <c r="H453" s="2963" t="s">
        <v>3185</v>
      </c>
      <c r="I453" s="2963" t="s">
        <v>3086</v>
      </c>
    </row>
    <row r="454" spans="1:9">
      <c r="A454" s="2963" t="s">
        <v>3328</v>
      </c>
      <c r="B454" s="2963" t="s">
        <v>3355</v>
      </c>
      <c r="D454" s="2963">
        <v>-2161</v>
      </c>
      <c r="E454" s="2963" t="s">
        <v>3604</v>
      </c>
      <c r="F454" s="2966">
        <v>170000</v>
      </c>
      <c r="G454" s="2971">
        <v>38.04</v>
      </c>
      <c r="H454" s="2963" t="s">
        <v>3185</v>
      </c>
      <c r="I454" s="2963" t="s">
        <v>3086</v>
      </c>
    </row>
    <row r="455" spans="1:9">
      <c r="A455" s="2963" t="s">
        <v>3328</v>
      </c>
      <c r="B455" s="2963" t="s">
        <v>3355</v>
      </c>
      <c r="D455" s="2963">
        <v>-2162</v>
      </c>
      <c r="E455" s="2963" t="s">
        <v>3605</v>
      </c>
      <c r="F455" s="2966">
        <v>170000</v>
      </c>
      <c r="G455" s="2971">
        <v>38.04</v>
      </c>
      <c r="H455" s="2963" t="s">
        <v>3185</v>
      </c>
      <c r="I455" s="2963" t="s">
        <v>3086</v>
      </c>
    </row>
    <row r="456" spans="1:9">
      <c r="A456" s="2963" t="s">
        <v>3328</v>
      </c>
      <c r="B456" s="2963" t="s">
        <v>3355</v>
      </c>
      <c r="D456" s="2963">
        <v>-2163</v>
      </c>
      <c r="E456" s="2963" t="s">
        <v>3606</v>
      </c>
      <c r="F456" s="2966">
        <v>170000</v>
      </c>
      <c r="G456" s="2971">
        <v>38.04</v>
      </c>
      <c r="H456" s="2963" t="s">
        <v>3185</v>
      </c>
      <c r="I456" s="2963" t="s">
        <v>3086</v>
      </c>
    </row>
    <row r="457" spans="1:9">
      <c r="A457" s="2963" t="s">
        <v>3328</v>
      </c>
      <c r="B457" s="2963" t="s">
        <v>3355</v>
      </c>
      <c r="D457" s="2963">
        <v>-2164</v>
      </c>
      <c r="E457" s="2963" t="s">
        <v>3607</v>
      </c>
      <c r="F457" s="2966">
        <v>170000</v>
      </c>
      <c r="G457" s="2971">
        <v>38.04</v>
      </c>
      <c r="H457" s="2963" t="s">
        <v>3185</v>
      </c>
      <c r="I457" s="2963" t="s">
        <v>3086</v>
      </c>
    </row>
    <row r="458" spans="1:9">
      <c r="A458" s="2963" t="s">
        <v>3328</v>
      </c>
      <c r="B458" s="2963" t="s">
        <v>3355</v>
      </c>
      <c r="D458" s="2963">
        <v>-2165</v>
      </c>
      <c r="E458" s="2963" t="s">
        <v>3608</v>
      </c>
      <c r="F458" s="2966">
        <v>170000</v>
      </c>
      <c r="G458" s="2971">
        <v>38.04</v>
      </c>
      <c r="H458" s="2963" t="s">
        <v>3185</v>
      </c>
      <c r="I458" s="2963" t="s">
        <v>3086</v>
      </c>
    </row>
    <row r="459" spans="1:9">
      <c r="A459" s="2963" t="s">
        <v>3328</v>
      </c>
      <c r="B459" s="2963" t="s">
        <v>3355</v>
      </c>
      <c r="D459" s="2963">
        <v>-2166</v>
      </c>
      <c r="E459" s="2963" t="s">
        <v>3609</v>
      </c>
      <c r="F459" s="2966">
        <v>170000</v>
      </c>
      <c r="G459" s="2971">
        <v>38.04</v>
      </c>
      <c r="H459" s="2963" t="s">
        <v>3185</v>
      </c>
      <c r="I459" s="2963" t="s">
        <v>3086</v>
      </c>
    </row>
    <row r="460" spans="1:9">
      <c r="A460" s="2963" t="s">
        <v>3328</v>
      </c>
      <c r="B460" s="2963" t="s">
        <v>3355</v>
      </c>
      <c r="D460" s="2963">
        <v>-2167</v>
      </c>
      <c r="E460" s="2963" t="s">
        <v>3610</v>
      </c>
      <c r="F460" s="2966">
        <v>170000</v>
      </c>
      <c r="G460" s="2971">
        <v>38.04</v>
      </c>
      <c r="H460" s="2963" t="s">
        <v>3185</v>
      </c>
      <c r="I460" s="2963" t="s">
        <v>3086</v>
      </c>
    </row>
    <row r="461" spans="1:9">
      <c r="A461" s="2963" t="s">
        <v>3328</v>
      </c>
      <c r="B461" s="2963" t="s">
        <v>3355</v>
      </c>
      <c r="D461" s="2963">
        <v>-2168</v>
      </c>
      <c r="E461" s="2963" t="s">
        <v>3611</v>
      </c>
      <c r="F461" s="2966">
        <v>170000</v>
      </c>
      <c r="G461" s="2971">
        <v>38.04</v>
      </c>
      <c r="H461" s="2963" t="s">
        <v>3185</v>
      </c>
      <c r="I461" s="2963" t="s">
        <v>3086</v>
      </c>
    </row>
    <row r="462" spans="1:9">
      <c r="A462" s="2963" t="s">
        <v>3328</v>
      </c>
      <c r="B462" s="2963" t="s">
        <v>3355</v>
      </c>
      <c r="D462" s="2963">
        <v>-2169</v>
      </c>
      <c r="E462" s="2963" t="s">
        <v>3612</v>
      </c>
      <c r="F462" s="2966">
        <v>170000</v>
      </c>
      <c r="G462" s="2971">
        <v>38.04</v>
      </c>
      <c r="H462" s="2963" t="s">
        <v>3185</v>
      </c>
      <c r="I462" s="2963" t="s">
        <v>3086</v>
      </c>
    </row>
    <row r="463" spans="1:9">
      <c r="A463" s="2963" t="s">
        <v>3328</v>
      </c>
      <c r="B463" s="2963" t="s">
        <v>3355</v>
      </c>
      <c r="D463" s="2963">
        <v>-2170</v>
      </c>
      <c r="E463" s="2963" t="s">
        <v>3613</v>
      </c>
      <c r="F463" s="2966">
        <v>170000</v>
      </c>
      <c r="G463" s="2971">
        <v>38.04</v>
      </c>
      <c r="H463" s="2963" t="s">
        <v>3185</v>
      </c>
      <c r="I463" s="2963" t="s">
        <v>3086</v>
      </c>
    </row>
    <row r="464" spans="1:9">
      <c r="A464" s="2963" t="s">
        <v>3328</v>
      </c>
      <c r="B464" s="2963" t="s">
        <v>3355</v>
      </c>
      <c r="D464" s="2963">
        <v>-2171</v>
      </c>
      <c r="E464" s="2963" t="s">
        <v>3614</v>
      </c>
      <c r="F464" s="2966">
        <v>170000</v>
      </c>
      <c r="G464" s="2971">
        <v>38.04</v>
      </c>
      <c r="H464" s="2963" t="s">
        <v>3185</v>
      </c>
      <c r="I464" s="2963" t="s">
        <v>3086</v>
      </c>
    </row>
    <row r="465" spans="1:9">
      <c r="A465" s="2963" t="s">
        <v>3328</v>
      </c>
      <c r="B465" s="2963" t="s">
        <v>3355</v>
      </c>
      <c r="D465" s="2963">
        <v>-2172</v>
      </c>
      <c r="E465" s="2963" t="s">
        <v>3615</v>
      </c>
      <c r="F465" s="2966">
        <v>170000</v>
      </c>
      <c r="G465" s="2971">
        <v>38.04</v>
      </c>
      <c r="H465" s="2963" t="s">
        <v>3185</v>
      </c>
      <c r="I465" s="2963" t="s">
        <v>3086</v>
      </c>
    </row>
    <row r="466" spans="1:9">
      <c r="A466" s="2963" t="s">
        <v>3328</v>
      </c>
      <c r="B466" s="2963" t="s">
        <v>3355</v>
      </c>
      <c r="D466" s="2963">
        <v>-2173</v>
      </c>
      <c r="E466" s="2963" t="s">
        <v>3616</v>
      </c>
      <c r="F466" s="2966">
        <v>170000</v>
      </c>
      <c r="G466" s="2971">
        <v>38.04</v>
      </c>
      <c r="H466" s="2963" t="s">
        <v>3185</v>
      </c>
      <c r="I466" s="2963" t="s">
        <v>3086</v>
      </c>
    </row>
    <row r="467" spans="1:9">
      <c r="A467" s="2963" t="s">
        <v>3328</v>
      </c>
      <c r="B467" s="2963" t="s">
        <v>3355</v>
      </c>
      <c r="D467" s="2963">
        <v>-2174</v>
      </c>
      <c r="E467" s="2963" t="s">
        <v>3617</v>
      </c>
      <c r="F467" s="2966">
        <v>170000</v>
      </c>
      <c r="G467" s="2971">
        <v>38.04</v>
      </c>
      <c r="H467" s="2963" t="s">
        <v>3185</v>
      </c>
      <c r="I467" s="2963" t="s">
        <v>3086</v>
      </c>
    </row>
    <row r="468" spans="1:9">
      <c r="A468" s="2963" t="s">
        <v>3328</v>
      </c>
      <c r="B468" s="2963" t="s">
        <v>3355</v>
      </c>
      <c r="D468" s="2963">
        <v>-2175</v>
      </c>
      <c r="E468" s="2963" t="s">
        <v>3618</v>
      </c>
      <c r="F468" s="2966">
        <v>170000</v>
      </c>
      <c r="G468" s="2971">
        <v>38.04</v>
      </c>
      <c r="H468" s="2963" t="s">
        <v>3185</v>
      </c>
      <c r="I468" s="2963" t="s">
        <v>3086</v>
      </c>
    </row>
    <row r="469" spans="1:9">
      <c r="A469" s="2963" t="s">
        <v>3328</v>
      </c>
      <c r="B469" s="2963" t="s">
        <v>3355</v>
      </c>
      <c r="D469" s="2963">
        <v>-2176</v>
      </c>
      <c r="E469" s="2963" t="s">
        <v>3619</v>
      </c>
      <c r="F469" s="2966">
        <v>170000</v>
      </c>
      <c r="G469" s="2971">
        <v>38.04</v>
      </c>
      <c r="H469" s="2963" t="s">
        <v>3185</v>
      </c>
      <c r="I469" s="2963" t="s">
        <v>3086</v>
      </c>
    </row>
    <row r="470" spans="1:9">
      <c r="A470" s="2963" t="s">
        <v>3328</v>
      </c>
      <c r="B470" s="2963" t="s">
        <v>3355</v>
      </c>
      <c r="D470" s="2963">
        <v>-2177</v>
      </c>
      <c r="E470" s="2963" t="s">
        <v>3620</v>
      </c>
      <c r="F470" s="2966">
        <v>170000</v>
      </c>
      <c r="G470" s="2971">
        <v>38.04</v>
      </c>
      <c r="H470" s="2963" t="s">
        <v>3185</v>
      </c>
      <c r="I470" s="2963" t="s">
        <v>3086</v>
      </c>
    </row>
    <row r="471" spans="1:9">
      <c r="A471" s="2963" t="s">
        <v>3328</v>
      </c>
      <c r="B471" s="2963" t="s">
        <v>3355</v>
      </c>
      <c r="D471" s="2963">
        <v>-2178</v>
      </c>
      <c r="E471" s="2963" t="s">
        <v>3621</v>
      </c>
      <c r="F471" s="2966">
        <v>170000</v>
      </c>
      <c r="G471" s="2971">
        <v>38.04</v>
      </c>
      <c r="H471" s="2963" t="s">
        <v>3185</v>
      </c>
      <c r="I471" s="2963" t="s">
        <v>3086</v>
      </c>
    </row>
    <row r="472" spans="1:9">
      <c r="A472" s="2963" t="s">
        <v>3328</v>
      </c>
      <c r="B472" s="2963" t="s">
        <v>3355</v>
      </c>
      <c r="D472" s="2963">
        <v>-2179</v>
      </c>
      <c r="E472" s="2963" t="s">
        <v>3622</v>
      </c>
      <c r="F472" s="2966">
        <v>170000</v>
      </c>
      <c r="G472" s="2971">
        <v>38.04</v>
      </c>
      <c r="H472" s="2963" t="s">
        <v>3185</v>
      </c>
      <c r="I472" s="2963" t="s">
        <v>3086</v>
      </c>
    </row>
    <row r="473" spans="1:9">
      <c r="A473" s="2963" t="s">
        <v>3328</v>
      </c>
      <c r="B473" s="2963" t="s">
        <v>3355</v>
      </c>
      <c r="D473" s="2963">
        <v>-2180</v>
      </c>
      <c r="E473" s="2963" t="s">
        <v>3623</v>
      </c>
      <c r="F473" s="2966">
        <v>170000</v>
      </c>
      <c r="G473" s="2971">
        <v>38.04</v>
      </c>
      <c r="H473" s="2963" t="s">
        <v>3185</v>
      </c>
      <c r="I473" s="2963" t="s">
        <v>3086</v>
      </c>
    </row>
    <row r="474" spans="1:9">
      <c r="A474" s="2963" t="s">
        <v>3328</v>
      </c>
      <c r="B474" s="2963" t="s">
        <v>3355</v>
      </c>
      <c r="D474" s="2963">
        <v>-2181</v>
      </c>
      <c r="E474" s="2963" t="s">
        <v>3624</v>
      </c>
      <c r="F474" s="2966">
        <v>170000</v>
      </c>
      <c r="G474" s="2971">
        <v>38.04</v>
      </c>
      <c r="H474" s="2963" t="s">
        <v>3185</v>
      </c>
      <c r="I474" s="2963" t="s">
        <v>3086</v>
      </c>
    </row>
    <row r="475" spans="1:9">
      <c r="A475" s="2963" t="s">
        <v>3328</v>
      </c>
      <c r="B475" s="2963" t="s">
        <v>3355</v>
      </c>
      <c r="D475" s="2963">
        <v>-2182</v>
      </c>
      <c r="E475" s="2963" t="s">
        <v>3625</v>
      </c>
      <c r="F475" s="2966">
        <v>170000</v>
      </c>
      <c r="G475" s="2971">
        <v>38.04</v>
      </c>
      <c r="H475" s="2963" t="s">
        <v>3185</v>
      </c>
      <c r="I475" s="2963" t="s">
        <v>3086</v>
      </c>
    </row>
    <row r="476" spans="1:9">
      <c r="A476" s="2963" t="s">
        <v>3328</v>
      </c>
      <c r="B476" s="2963" t="s">
        <v>3355</v>
      </c>
      <c r="D476" s="2963">
        <v>-2183</v>
      </c>
      <c r="E476" s="2963" t="s">
        <v>3626</v>
      </c>
      <c r="F476" s="2966">
        <v>170000</v>
      </c>
      <c r="G476" s="2971">
        <v>38.04</v>
      </c>
      <c r="H476" s="2963" t="s">
        <v>3185</v>
      </c>
      <c r="I476" s="2963" t="s">
        <v>3086</v>
      </c>
    </row>
    <row r="477" spans="1:9">
      <c r="A477" s="2963" t="s">
        <v>3328</v>
      </c>
      <c r="B477" s="2963" t="s">
        <v>3355</v>
      </c>
      <c r="D477" s="2963">
        <v>-2184</v>
      </c>
      <c r="E477" s="2963" t="s">
        <v>3627</v>
      </c>
      <c r="F477" s="2966">
        <v>170000</v>
      </c>
      <c r="G477" s="2971">
        <v>38.04</v>
      </c>
      <c r="H477" s="2963" t="s">
        <v>3185</v>
      </c>
      <c r="I477" s="2963" t="s">
        <v>3086</v>
      </c>
    </row>
    <row r="478" spans="1:9">
      <c r="A478" s="2963" t="s">
        <v>3328</v>
      </c>
      <c r="B478" s="2963" t="s">
        <v>3355</v>
      </c>
      <c r="D478" s="2963">
        <v>-2185</v>
      </c>
      <c r="E478" s="2963" t="s">
        <v>3628</v>
      </c>
      <c r="F478" s="2966">
        <v>170000</v>
      </c>
      <c r="G478" s="2971">
        <v>38.04</v>
      </c>
      <c r="H478" s="2963" t="s">
        <v>3185</v>
      </c>
      <c r="I478" s="2963" t="s">
        <v>3086</v>
      </c>
    </row>
    <row r="479" spans="1:9">
      <c r="A479" s="2963" t="s">
        <v>3328</v>
      </c>
      <c r="B479" s="2963" t="s">
        <v>3355</v>
      </c>
      <c r="D479" s="2963">
        <v>-2186</v>
      </c>
      <c r="E479" s="2963" t="s">
        <v>3629</v>
      </c>
      <c r="F479" s="2966">
        <v>170000</v>
      </c>
      <c r="G479" s="2971">
        <v>38.04</v>
      </c>
      <c r="H479" s="2963" t="s">
        <v>3185</v>
      </c>
      <c r="I479" s="2963" t="s">
        <v>3086</v>
      </c>
    </row>
    <row r="480" spans="1:9">
      <c r="A480" s="2963" t="s">
        <v>3328</v>
      </c>
      <c r="B480" s="2963" t="s">
        <v>3355</v>
      </c>
      <c r="D480" s="2963">
        <v>-2187</v>
      </c>
      <c r="E480" s="2963" t="s">
        <v>3630</v>
      </c>
      <c r="F480" s="2966">
        <v>170000</v>
      </c>
      <c r="G480" s="2971">
        <v>38.04</v>
      </c>
      <c r="H480" s="2963" t="s">
        <v>3185</v>
      </c>
      <c r="I480" s="2963" t="s">
        <v>3086</v>
      </c>
    </row>
    <row r="481" spans="1:9">
      <c r="A481" s="2963" t="s">
        <v>3328</v>
      </c>
      <c r="B481" s="2963" t="s">
        <v>3355</v>
      </c>
      <c r="D481" s="2963">
        <v>-2188</v>
      </c>
      <c r="E481" s="2963" t="s">
        <v>3631</v>
      </c>
      <c r="F481" s="2966">
        <v>170000</v>
      </c>
      <c r="G481" s="2971">
        <v>38.04</v>
      </c>
      <c r="H481" s="2963" t="s">
        <v>3185</v>
      </c>
      <c r="I481" s="2963" t="s">
        <v>3086</v>
      </c>
    </row>
    <row r="482" spans="1:9">
      <c r="A482" s="2963" t="s">
        <v>3328</v>
      </c>
      <c r="B482" s="2963" t="s">
        <v>3355</v>
      </c>
      <c r="D482" s="2963">
        <v>-2189</v>
      </c>
      <c r="E482" s="2963" t="s">
        <v>3632</v>
      </c>
      <c r="F482" s="2966">
        <v>170000</v>
      </c>
      <c r="G482" s="2971">
        <v>38.04</v>
      </c>
      <c r="H482" s="2963" t="s">
        <v>3185</v>
      </c>
      <c r="I482" s="2963" t="s">
        <v>3086</v>
      </c>
    </row>
    <row r="483" spans="1:9">
      <c r="A483" s="2963" t="s">
        <v>3328</v>
      </c>
      <c r="B483" s="2963" t="s">
        <v>3355</v>
      </c>
      <c r="D483" s="2963">
        <v>-2190</v>
      </c>
      <c r="E483" s="2963" t="s">
        <v>3633</v>
      </c>
      <c r="F483" s="2966">
        <v>170000</v>
      </c>
      <c r="G483" s="2971">
        <v>38.04</v>
      </c>
      <c r="H483" s="2963" t="s">
        <v>3185</v>
      </c>
      <c r="I483" s="2963" t="s">
        <v>3086</v>
      </c>
    </row>
    <row r="484" spans="1:9">
      <c r="A484" s="2963" t="s">
        <v>3328</v>
      </c>
      <c r="B484" s="2963" t="s">
        <v>3355</v>
      </c>
      <c r="D484" s="2963">
        <v>-2191</v>
      </c>
      <c r="E484" s="2963" t="s">
        <v>3634</v>
      </c>
      <c r="F484" s="2966">
        <v>170000</v>
      </c>
      <c r="G484" s="2971">
        <v>38.04</v>
      </c>
      <c r="H484" s="2963" t="s">
        <v>3185</v>
      </c>
      <c r="I484" s="2963" t="s">
        <v>3086</v>
      </c>
    </row>
    <row r="485" spans="1:9">
      <c r="A485" s="2963" t="s">
        <v>3328</v>
      </c>
      <c r="B485" s="2963" t="s">
        <v>3355</v>
      </c>
      <c r="D485" s="2963">
        <v>-2192</v>
      </c>
      <c r="E485" s="2963" t="s">
        <v>3635</v>
      </c>
      <c r="F485" s="2966">
        <v>170000</v>
      </c>
      <c r="G485" s="2971">
        <v>38.04</v>
      </c>
      <c r="H485" s="2963" t="s">
        <v>3185</v>
      </c>
      <c r="I485" s="2963" t="s">
        <v>3086</v>
      </c>
    </row>
    <row r="486" spans="1:9">
      <c r="A486" s="2963" t="s">
        <v>3328</v>
      </c>
      <c r="B486" s="2963" t="s">
        <v>3355</v>
      </c>
      <c r="D486" s="2963">
        <v>-2193</v>
      </c>
      <c r="E486" s="2963" t="s">
        <v>3636</v>
      </c>
      <c r="F486" s="2966">
        <v>170000</v>
      </c>
      <c r="G486" s="2971">
        <v>38.04</v>
      </c>
      <c r="H486" s="2963" t="s">
        <v>3185</v>
      </c>
      <c r="I486" s="2963" t="s">
        <v>3086</v>
      </c>
    </row>
    <row r="487" spans="1:9">
      <c r="A487" s="2963" t="s">
        <v>3328</v>
      </c>
      <c r="B487" s="2963" t="s">
        <v>3355</v>
      </c>
      <c r="D487" s="2963">
        <v>-2194</v>
      </c>
      <c r="E487" s="2963" t="s">
        <v>3637</v>
      </c>
      <c r="F487" s="2966">
        <v>170000</v>
      </c>
      <c r="G487" s="2971">
        <v>38.04</v>
      </c>
      <c r="H487" s="2963" t="s">
        <v>3185</v>
      </c>
      <c r="I487" s="2963" t="s">
        <v>3086</v>
      </c>
    </row>
    <row r="488" spans="1:9">
      <c r="A488" s="2963" t="s">
        <v>3328</v>
      </c>
      <c r="B488" s="2963" t="s">
        <v>3355</v>
      </c>
      <c r="D488" s="2963">
        <v>-2195</v>
      </c>
      <c r="E488" s="2963" t="s">
        <v>3638</v>
      </c>
      <c r="F488" s="2966">
        <v>170000</v>
      </c>
      <c r="G488" s="2971">
        <v>38.04</v>
      </c>
      <c r="H488" s="2963" t="s">
        <v>3185</v>
      </c>
      <c r="I488" s="2963" t="s">
        <v>3086</v>
      </c>
    </row>
    <row r="489" spans="1:9">
      <c r="A489" s="2963" t="s">
        <v>3328</v>
      </c>
      <c r="B489" s="2963" t="s">
        <v>3355</v>
      </c>
      <c r="D489" s="2963">
        <v>-2196</v>
      </c>
      <c r="E489" s="2963" t="s">
        <v>3639</v>
      </c>
      <c r="F489" s="2966">
        <v>170000</v>
      </c>
      <c r="G489" s="2971">
        <v>38.04</v>
      </c>
      <c r="H489" s="2963" t="s">
        <v>3185</v>
      </c>
      <c r="I489" s="2963" t="s">
        <v>3086</v>
      </c>
    </row>
    <row r="490" spans="1:9">
      <c r="A490" s="2963" t="s">
        <v>3328</v>
      </c>
      <c r="B490" s="2963" t="s">
        <v>3355</v>
      </c>
      <c r="D490" s="2963">
        <v>-2197</v>
      </c>
      <c r="E490" s="2963" t="s">
        <v>3640</v>
      </c>
      <c r="F490" s="2966">
        <v>170000</v>
      </c>
      <c r="G490" s="2971">
        <v>38.04</v>
      </c>
      <c r="H490" s="2963" t="s">
        <v>3185</v>
      </c>
      <c r="I490" s="2963" t="s">
        <v>3086</v>
      </c>
    </row>
    <row r="491" spans="1:9">
      <c r="A491" s="2963" t="s">
        <v>3328</v>
      </c>
      <c r="B491" s="2963" t="s">
        <v>3355</v>
      </c>
      <c r="D491" s="2963">
        <v>-2198</v>
      </c>
      <c r="E491" s="2963" t="s">
        <v>3641</v>
      </c>
      <c r="F491" s="2966">
        <v>170000</v>
      </c>
      <c r="G491" s="2971">
        <v>38.04</v>
      </c>
      <c r="H491" s="2963" t="s">
        <v>3185</v>
      </c>
      <c r="I491" s="2963" t="s">
        <v>3086</v>
      </c>
    </row>
    <row r="492" spans="1:9">
      <c r="A492" s="2963" t="s">
        <v>3328</v>
      </c>
      <c r="B492" s="2963" t="s">
        <v>3355</v>
      </c>
      <c r="D492" s="2963">
        <v>-2199</v>
      </c>
      <c r="E492" s="2963" t="s">
        <v>3642</v>
      </c>
      <c r="F492" s="2966">
        <v>170000</v>
      </c>
      <c r="G492" s="2971">
        <v>38.04</v>
      </c>
      <c r="H492" s="2963" t="s">
        <v>3185</v>
      </c>
      <c r="I492" s="2963" t="s">
        <v>3086</v>
      </c>
    </row>
    <row r="493" spans="1:9">
      <c r="A493" s="2963" t="s">
        <v>3328</v>
      </c>
      <c r="B493" s="2963" t="s">
        <v>3355</v>
      </c>
      <c r="D493" s="2963">
        <v>-2200</v>
      </c>
      <c r="E493" s="2963" t="s">
        <v>3643</v>
      </c>
      <c r="F493" s="2966">
        <v>170000</v>
      </c>
      <c r="G493" s="2971">
        <v>38.04</v>
      </c>
      <c r="H493" s="2963" t="s">
        <v>3185</v>
      </c>
      <c r="I493" s="2963" t="s">
        <v>3086</v>
      </c>
    </row>
    <row r="494" spans="1:9">
      <c r="A494" s="2963" t="s">
        <v>3328</v>
      </c>
      <c r="B494" s="2963" t="s">
        <v>3355</v>
      </c>
      <c r="D494" s="2963">
        <v>-2201</v>
      </c>
      <c r="E494" s="2963" t="s">
        <v>3644</v>
      </c>
      <c r="F494" s="2966">
        <v>170000</v>
      </c>
      <c r="G494" s="2971">
        <v>38.04</v>
      </c>
      <c r="H494" s="2963" t="s">
        <v>3185</v>
      </c>
      <c r="I494" s="2963" t="s">
        <v>3086</v>
      </c>
    </row>
    <row r="495" spans="1:9">
      <c r="A495" s="2963" t="s">
        <v>3328</v>
      </c>
      <c r="B495" s="2963" t="s">
        <v>3355</v>
      </c>
      <c r="D495" s="2963">
        <v>-2202</v>
      </c>
      <c r="E495" s="2963" t="s">
        <v>3645</v>
      </c>
      <c r="F495" s="2966">
        <v>170000</v>
      </c>
      <c r="G495" s="2971">
        <v>38.04</v>
      </c>
      <c r="H495" s="2963" t="s">
        <v>3185</v>
      </c>
      <c r="I495" s="2963" t="s">
        <v>3086</v>
      </c>
    </row>
    <row r="496" spans="1:9">
      <c r="A496" s="2963" t="s">
        <v>3328</v>
      </c>
      <c r="B496" s="2963" t="s">
        <v>3355</v>
      </c>
      <c r="D496" s="2963">
        <v>-2203</v>
      </c>
      <c r="E496" s="2963" t="s">
        <v>3646</v>
      </c>
      <c r="F496" s="2966">
        <v>170000</v>
      </c>
      <c r="G496" s="2971">
        <v>38.04</v>
      </c>
      <c r="H496" s="2963" t="s">
        <v>3185</v>
      </c>
      <c r="I496" s="2963" t="s">
        <v>3086</v>
      </c>
    </row>
    <row r="497" spans="1:9">
      <c r="A497" s="2963" t="s">
        <v>3328</v>
      </c>
      <c r="B497" s="2963" t="s">
        <v>3355</v>
      </c>
      <c r="D497" s="2963">
        <v>-2204</v>
      </c>
      <c r="E497" s="2963" t="s">
        <v>3647</v>
      </c>
      <c r="F497" s="2966">
        <v>170000</v>
      </c>
      <c r="G497" s="2971">
        <v>38.04</v>
      </c>
      <c r="H497" s="2963" t="s">
        <v>3185</v>
      </c>
      <c r="I497" s="2963" t="s">
        <v>3086</v>
      </c>
    </row>
    <row r="498" spans="1:9">
      <c r="A498" s="2963" t="s">
        <v>3328</v>
      </c>
      <c r="B498" s="2963" t="s">
        <v>3355</v>
      </c>
      <c r="D498" s="2963">
        <v>-2205</v>
      </c>
      <c r="E498" s="2963" t="s">
        <v>3648</v>
      </c>
      <c r="F498" s="2966">
        <v>170000</v>
      </c>
      <c r="G498" s="2971">
        <v>38.04</v>
      </c>
      <c r="H498" s="2963" t="s">
        <v>3185</v>
      </c>
      <c r="I498" s="2963" t="s">
        <v>3086</v>
      </c>
    </row>
    <row r="499" spans="1:9">
      <c r="A499" s="2963" t="s">
        <v>3328</v>
      </c>
      <c r="B499" s="2963" t="s">
        <v>3355</v>
      </c>
      <c r="D499" s="2963">
        <v>-2206</v>
      </c>
      <c r="E499" s="2963" t="s">
        <v>3649</v>
      </c>
      <c r="F499" s="2966">
        <v>170000</v>
      </c>
      <c r="G499" s="2971">
        <v>38.04</v>
      </c>
      <c r="H499" s="2963" t="s">
        <v>3185</v>
      </c>
      <c r="I499" s="2963" t="s">
        <v>3086</v>
      </c>
    </row>
    <row r="500" spans="1:9">
      <c r="A500" s="2963" t="s">
        <v>3328</v>
      </c>
      <c r="B500" s="2963" t="s">
        <v>3355</v>
      </c>
      <c r="D500" s="2963">
        <v>-2207</v>
      </c>
      <c r="E500" s="2963" t="s">
        <v>3650</v>
      </c>
      <c r="F500" s="2966">
        <v>170000</v>
      </c>
      <c r="G500" s="2971">
        <v>38.04</v>
      </c>
      <c r="H500" s="2963" t="s">
        <v>3185</v>
      </c>
      <c r="I500" s="2963" t="s">
        <v>3086</v>
      </c>
    </row>
    <row r="501" spans="1:9">
      <c r="A501" s="2963" t="s">
        <v>3328</v>
      </c>
      <c r="B501" s="2963" t="s">
        <v>3355</v>
      </c>
      <c r="D501" s="2963">
        <v>-2208</v>
      </c>
      <c r="E501" s="2963" t="s">
        <v>3651</v>
      </c>
      <c r="F501" s="2966">
        <v>170000</v>
      </c>
      <c r="G501" s="2971">
        <v>38.04</v>
      </c>
      <c r="H501" s="2963" t="s">
        <v>3185</v>
      </c>
      <c r="I501" s="2963" t="s">
        <v>3086</v>
      </c>
    </row>
    <row r="502" spans="1:9">
      <c r="A502" s="2963" t="s">
        <v>3328</v>
      </c>
      <c r="B502" s="2963" t="s">
        <v>3355</v>
      </c>
      <c r="D502" s="2963">
        <v>-2209</v>
      </c>
      <c r="E502" s="2963" t="s">
        <v>3652</v>
      </c>
      <c r="F502" s="2966">
        <v>170000</v>
      </c>
      <c r="G502" s="2971">
        <v>38.04</v>
      </c>
      <c r="H502" s="2963" t="s">
        <v>3185</v>
      </c>
      <c r="I502" s="2963" t="s">
        <v>3086</v>
      </c>
    </row>
    <row r="503" spans="1:9">
      <c r="A503" s="2963" t="s">
        <v>3328</v>
      </c>
      <c r="B503" s="2963" t="s">
        <v>3355</v>
      </c>
      <c r="D503" s="2963">
        <v>-2210</v>
      </c>
      <c r="E503" s="2963" t="s">
        <v>3653</v>
      </c>
      <c r="F503" s="2966">
        <v>170000</v>
      </c>
      <c r="G503" s="2971">
        <v>38.04</v>
      </c>
      <c r="H503" s="2963" t="s">
        <v>3185</v>
      </c>
      <c r="I503" s="2963" t="s">
        <v>3086</v>
      </c>
    </row>
    <row r="504" spans="1:9">
      <c r="A504" s="2963" t="s">
        <v>3328</v>
      </c>
      <c r="B504" s="2963" t="s">
        <v>3355</v>
      </c>
      <c r="D504" s="2963">
        <v>-2211</v>
      </c>
      <c r="E504" s="2963" t="s">
        <v>3654</v>
      </c>
      <c r="F504" s="2966">
        <v>170000</v>
      </c>
      <c r="G504" s="2971">
        <v>38.04</v>
      </c>
      <c r="H504" s="2963" t="s">
        <v>3185</v>
      </c>
      <c r="I504" s="2963" t="s">
        <v>3086</v>
      </c>
    </row>
    <row r="505" spans="1:9">
      <c r="A505" s="2963" t="s">
        <v>3328</v>
      </c>
      <c r="B505" s="2963" t="s">
        <v>3355</v>
      </c>
      <c r="D505" s="2963">
        <v>-2212</v>
      </c>
      <c r="E505" s="2963" t="s">
        <v>3655</v>
      </c>
      <c r="F505" s="2966">
        <v>170000</v>
      </c>
      <c r="G505" s="2971">
        <v>38.04</v>
      </c>
      <c r="H505" s="2963" t="s">
        <v>3185</v>
      </c>
      <c r="I505" s="2963" t="s">
        <v>3086</v>
      </c>
    </row>
    <row r="506" spans="1:9">
      <c r="A506" s="2963" t="s">
        <v>3328</v>
      </c>
      <c r="B506" s="2963" t="s">
        <v>3355</v>
      </c>
      <c r="D506" s="2963">
        <v>-2213</v>
      </c>
      <c r="E506" s="2963" t="s">
        <v>3656</v>
      </c>
      <c r="F506" s="2966">
        <v>170000</v>
      </c>
      <c r="G506" s="2971">
        <v>38.04</v>
      </c>
      <c r="H506" s="2963" t="s">
        <v>3185</v>
      </c>
      <c r="I506" s="2963" t="s">
        <v>3086</v>
      </c>
    </row>
    <row r="507" spans="1:9">
      <c r="A507" s="2963" t="s">
        <v>3328</v>
      </c>
      <c r="B507" s="2963" t="s">
        <v>3355</v>
      </c>
      <c r="D507" s="2963">
        <v>-2214</v>
      </c>
      <c r="E507" s="2963" t="s">
        <v>3657</v>
      </c>
      <c r="F507" s="2966">
        <v>170000</v>
      </c>
      <c r="G507" s="2971">
        <v>38.04</v>
      </c>
      <c r="H507" s="2963" t="s">
        <v>3185</v>
      </c>
      <c r="I507" s="2963" t="s">
        <v>3086</v>
      </c>
    </row>
    <row r="508" spans="1:9">
      <c r="A508" s="2963" t="s">
        <v>3328</v>
      </c>
      <c r="B508" s="2963" t="s">
        <v>3355</v>
      </c>
      <c r="D508" s="2963">
        <v>-2215</v>
      </c>
      <c r="E508" s="2963" t="s">
        <v>3658</v>
      </c>
      <c r="F508" s="2966">
        <v>170000</v>
      </c>
      <c r="G508" s="2971">
        <v>38.04</v>
      </c>
      <c r="H508" s="2963" t="s">
        <v>3185</v>
      </c>
      <c r="I508" s="2963" t="s">
        <v>3086</v>
      </c>
    </row>
    <row r="509" spans="1:9">
      <c r="A509" s="2963" t="s">
        <v>3328</v>
      </c>
      <c r="B509" s="2963" t="s">
        <v>3355</v>
      </c>
      <c r="D509" s="2963">
        <v>-2216</v>
      </c>
      <c r="E509" s="2963" t="s">
        <v>3659</v>
      </c>
      <c r="F509" s="2966">
        <v>170000</v>
      </c>
      <c r="G509" s="2971">
        <v>38.04</v>
      </c>
      <c r="H509" s="2963" t="s">
        <v>3185</v>
      </c>
      <c r="I509" s="2963" t="s">
        <v>3086</v>
      </c>
    </row>
    <row r="510" spans="1:9">
      <c r="A510" s="2963" t="s">
        <v>3328</v>
      </c>
      <c r="B510" s="2963" t="s">
        <v>3355</v>
      </c>
      <c r="D510" s="2963">
        <v>-2217</v>
      </c>
      <c r="E510" s="2963" t="s">
        <v>3660</v>
      </c>
      <c r="F510" s="2966">
        <v>170000</v>
      </c>
      <c r="G510" s="2971">
        <v>38.04</v>
      </c>
      <c r="H510" s="2963" t="s">
        <v>3185</v>
      </c>
      <c r="I510" s="2963" t="s">
        <v>3086</v>
      </c>
    </row>
    <row r="511" spans="1:9">
      <c r="A511" s="2963" t="s">
        <v>3328</v>
      </c>
      <c r="B511" s="2963" t="s">
        <v>3355</v>
      </c>
      <c r="D511" s="2963">
        <v>-2218</v>
      </c>
      <c r="E511" s="2963" t="s">
        <v>3661</v>
      </c>
      <c r="F511" s="2966">
        <v>170000</v>
      </c>
      <c r="G511" s="2971">
        <v>38.04</v>
      </c>
      <c r="H511" s="2963" t="s">
        <v>3185</v>
      </c>
      <c r="I511" s="2963" t="s">
        <v>3086</v>
      </c>
    </row>
    <row r="512" spans="1:9">
      <c r="A512" s="2963" t="s">
        <v>3328</v>
      </c>
      <c r="B512" s="2963" t="s">
        <v>3355</v>
      </c>
      <c r="D512" s="2963">
        <v>-2219</v>
      </c>
      <c r="E512" s="2963" t="s">
        <v>3662</v>
      </c>
      <c r="F512" s="2966">
        <v>170000</v>
      </c>
      <c r="G512" s="2971">
        <v>38.04</v>
      </c>
      <c r="H512" s="2963" t="s">
        <v>3185</v>
      </c>
      <c r="I512" s="2963" t="s">
        <v>3086</v>
      </c>
    </row>
    <row r="513" spans="1:9">
      <c r="A513" s="2963" t="s">
        <v>3328</v>
      </c>
      <c r="B513" s="2963" t="s">
        <v>3355</v>
      </c>
      <c r="D513" s="2963">
        <v>-2220</v>
      </c>
      <c r="E513" s="2963" t="s">
        <v>3663</v>
      </c>
      <c r="F513" s="2966">
        <v>170000</v>
      </c>
      <c r="G513" s="2971">
        <v>38.04</v>
      </c>
      <c r="H513" s="2963" t="s">
        <v>3185</v>
      </c>
      <c r="I513" s="2963" t="s">
        <v>3086</v>
      </c>
    </row>
    <row r="514" spans="1:9">
      <c r="A514" s="2963" t="s">
        <v>3328</v>
      </c>
      <c r="B514" s="2963" t="s">
        <v>3355</v>
      </c>
      <c r="D514" s="2963">
        <v>-2221</v>
      </c>
      <c r="E514" s="2963" t="s">
        <v>3664</v>
      </c>
      <c r="F514" s="2966">
        <v>170000</v>
      </c>
      <c r="G514" s="2971">
        <v>38.04</v>
      </c>
      <c r="H514" s="2963" t="s">
        <v>3185</v>
      </c>
      <c r="I514" s="2963" t="s">
        <v>3086</v>
      </c>
    </row>
    <row r="515" spans="1:9">
      <c r="A515" s="2963" t="s">
        <v>3328</v>
      </c>
      <c r="B515" s="2963" t="s">
        <v>3355</v>
      </c>
      <c r="D515" s="2963">
        <v>-2222</v>
      </c>
      <c r="E515" s="2963" t="s">
        <v>3665</v>
      </c>
      <c r="F515" s="2966">
        <v>170000</v>
      </c>
      <c r="G515" s="2971">
        <v>38.04</v>
      </c>
      <c r="H515" s="2963" t="s">
        <v>3185</v>
      </c>
      <c r="I515" s="2963" t="s">
        <v>3086</v>
      </c>
    </row>
    <row r="516" spans="1:9">
      <c r="A516" s="2963" t="s">
        <v>3328</v>
      </c>
      <c r="B516" s="2963" t="s">
        <v>3355</v>
      </c>
      <c r="D516" s="2963">
        <v>-2223</v>
      </c>
      <c r="E516" s="2963" t="s">
        <v>3666</v>
      </c>
      <c r="F516" s="2966">
        <v>170000</v>
      </c>
      <c r="G516" s="2971">
        <v>38.04</v>
      </c>
      <c r="H516" s="2963" t="s">
        <v>3185</v>
      </c>
      <c r="I516" s="2963" t="s">
        <v>3086</v>
      </c>
    </row>
    <row r="517" spans="1:9">
      <c r="A517" s="2963" t="s">
        <v>3328</v>
      </c>
      <c r="B517" s="2963" t="s">
        <v>3355</v>
      </c>
      <c r="D517" s="2963">
        <v>-2224</v>
      </c>
      <c r="E517" s="2963" t="s">
        <v>3667</v>
      </c>
      <c r="F517" s="2966">
        <v>170000</v>
      </c>
      <c r="G517" s="2971">
        <v>38.04</v>
      </c>
      <c r="H517" s="2963" t="s">
        <v>3185</v>
      </c>
      <c r="I517" s="2963" t="s">
        <v>3086</v>
      </c>
    </row>
    <row r="518" spans="1:9">
      <c r="A518" s="2963" t="s">
        <v>3328</v>
      </c>
      <c r="B518" s="2963" t="s">
        <v>3355</v>
      </c>
      <c r="D518" s="2963">
        <v>-2225</v>
      </c>
      <c r="E518" s="2963" t="s">
        <v>3668</v>
      </c>
      <c r="F518" s="2966">
        <v>170000</v>
      </c>
      <c r="G518" s="2971">
        <v>38.04</v>
      </c>
      <c r="H518" s="2963" t="s">
        <v>3185</v>
      </c>
      <c r="I518" s="2963" t="s">
        <v>3086</v>
      </c>
    </row>
    <row r="519" spans="1:9">
      <c r="A519" s="2963" t="s">
        <v>3328</v>
      </c>
      <c r="B519" s="2963" t="s">
        <v>3355</v>
      </c>
      <c r="D519" s="2963">
        <v>-2226</v>
      </c>
      <c r="E519" s="2963" t="s">
        <v>3669</v>
      </c>
      <c r="F519" s="2966">
        <v>170000</v>
      </c>
      <c r="G519" s="2971">
        <v>38.04</v>
      </c>
      <c r="H519" s="2963" t="s">
        <v>3185</v>
      </c>
      <c r="I519" s="2963" t="s">
        <v>3086</v>
      </c>
    </row>
    <row r="520" spans="1:9">
      <c r="A520" s="2963" t="s">
        <v>3328</v>
      </c>
      <c r="B520" s="2963" t="s">
        <v>3355</v>
      </c>
      <c r="D520" s="2963">
        <v>-2227</v>
      </c>
      <c r="E520" s="2963" t="s">
        <v>3670</v>
      </c>
      <c r="F520" s="2966">
        <v>170000</v>
      </c>
      <c r="G520" s="2971">
        <v>38.04</v>
      </c>
      <c r="H520" s="2963" t="s">
        <v>3185</v>
      </c>
      <c r="I520" s="2963" t="s">
        <v>3086</v>
      </c>
    </row>
    <row r="521" spans="1:9">
      <c r="A521" s="2963" t="s">
        <v>3328</v>
      </c>
      <c r="B521" s="2963" t="s">
        <v>3355</v>
      </c>
      <c r="D521" s="2963">
        <v>-2228</v>
      </c>
      <c r="E521" s="2963" t="s">
        <v>3671</v>
      </c>
      <c r="F521" s="2966">
        <v>170000</v>
      </c>
      <c r="G521" s="2971">
        <v>38.04</v>
      </c>
      <c r="H521" s="2963" t="s">
        <v>3185</v>
      </c>
      <c r="I521" s="2963" t="s">
        <v>3086</v>
      </c>
    </row>
    <row r="522" spans="1:9">
      <c r="A522" s="2963" t="s">
        <v>3328</v>
      </c>
      <c r="B522" s="2963" t="s">
        <v>3355</v>
      </c>
      <c r="D522" s="2963">
        <v>-2229</v>
      </c>
      <c r="E522" s="2963" t="s">
        <v>3672</v>
      </c>
      <c r="F522" s="2966">
        <v>170000</v>
      </c>
      <c r="G522" s="2971">
        <v>38.04</v>
      </c>
      <c r="H522" s="2963" t="s">
        <v>3185</v>
      </c>
      <c r="I522" s="2963" t="s">
        <v>3086</v>
      </c>
    </row>
    <row r="523" spans="1:9">
      <c r="A523" s="2963" t="s">
        <v>3328</v>
      </c>
      <c r="B523" s="2963" t="s">
        <v>3355</v>
      </c>
      <c r="D523" s="2963">
        <v>-2230</v>
      </c>
      <c r="E523" s="2963" t="s">
        <v>3673</v>
      </c>
      <c r="F523" s="2966">
        <v>170000</v>
      </c>
      <c r="G523" s="2971">
        <v>38.04</v>
      </c>
      <c r="H523" s="2963" t="s">
        <v>3185</v>
      </c>
      <c r="I523" s="2963" t="s">
        <v>3086</v>
      </c>
    </row>
    <row r="524" spans="1:9">
      <c r="A524" s="2963" t="s">
        <v>3328</v>
      </c>
      <c r="B524" s="2963" t="s">
        <v>3355</v>
      </c>
      <c r="D524" s="2963">
        <v>-2231</v>
      </c>
      <c r="E524" s="2963" t="s">
        <v>3674</v>
      </c>
      <c r="F524" s="2966">
        <v>170000</v>
      </c>
      <c r="G524" s="2971">
        <v>38.04</v>
      </c>
      <c r="H524" s="2963" t="s">
        <v>3185</v>
      </c>
      <c r="I524" s="2963" t="s">
        <v>3086</v>
      </c>
    </row>
    <row r="525" spans="1:9">
      <c r="A525" s="2963" t="s">
        <v>3328</v>
      </c>
      <c r="B525" s="2963" t="s">
        <v>3355</v>
      </c>
      <c r="D525" s="2963">
        <v>-2232</v>
      </c>
      <c r="E525" s="2963" t="s">
        <v>3675</v>
      </c>
      <c r="F525" s="2966">
        <v>170000</v>
      </c>
      <c r="G525" s="2971">
        <v>38.04</v>
      </c>
      <c r="H525" s="2963" t="s">
        <v>3185</v>
      </c>
      <c r="I525" s="2963" t="s">
        <v>3086</v>
      </c>
    </row>
    <row r="526" spans="1:9">
      <c r="A526" s="2963" t="s">
        <v>3328</v>
      </c>
      <c r="B526" s="2963" t="s">
        <v>3355</v>
      </c>
      <c r="D526" s="2963">
        <v>-2233</v>
      </c>
      <c r="E526" s="2963" t="s">
        <v>3676</v>
      </c>
      <c r="F526" s="2966">
        <v>170000</v>
      </c>
      <c r="G526" s="2971">
        <v>38.04</v>
      </c>
      <c r="H526" s="2963" t="s">
        <v>3185</v>
      </c>
      <c r="I526" s="2963" t="s">
        <v>3086</v>
      </c>
    </row>
    <row r="527" spans="1:9">
      <c r="A527" s="2963" t="s">
        <v>3328</v>
      </c>
      <c r="B527" s="2963" t="s">
        <v>3355</v>
      </c>
      <c r="D527" s="2963">
        <v>-2234</v>
      </c>
      <c r="E527" s="2963" t="s">
        <v>3677</v>
      </c>
      <c r="F527" s="2966">
        <v>170000</v>
      </c>
      <c r="G527" s="2971">
        <v>38.04</v>
      </c>
      <c r="H527" s="2963" t="s">
        <v>3185</v>
      </c>
      <c r="I527" s="2963" t="s">
        <v>3086</v>
      </c>
    </row>
    <row r="528" spans="1:9">
      <c r="A528" s="2963" t="s">
        <v>3328</v>
      </c>
      <c r="B528" s="2963" t="s">
        <v>3355</v>
      </c>
      <c r="D528" s="2963">
        <v>-2235</v>
      </c>
      <c r="E528" s="2963" t="s">
        <v>3678</v>
      </c>
      <c r="F528" s="2966">
        <v>170000</v>
      </c>
      <c r="G528" s="2971">
        <v>38.04</v>
      </c>
      <c r="H528" s="2963" t="s">
        <v>3185</v>
      </c>
      <c r="I528" s="2963" t="s">
        <v>3086</v>
      </c>
    </row>
    <row r="529" spans="1:9">
      <c r="A529" s="2963" t="s">
        <v>3328</v>
      </c>
      <c r="B529" s="2963" t="s">
        <v>3355</v>
      </c>
      <c r="D529" s="2963">
        <v>-2236</v>
      </c>
      <c r="E529" s="2963" t="s">
        <v>3679</v>
      </c>
      <c r="F529" s="2966">
        <v>170000</v>
      </c>
      <c r="G529" s="2971">
        <v>38.04</v>
      </c>
      <c r="H529" s="2963" t="s">
        <v>3185</v>
      </c>
      <c r="I529" s="2963" t="s">
        <v>3086</v>
      </c>
    </row>
    <row r="530" spans="1:9">
      <c r="A530" s="2963" t="s">
        <v>3328</v>
      </c>
      <c r="B530" s="2963" t="s">
        <v>3355</v>
      </c>
      <c r="D530" s="2963">
        <v>-2237</v>
      </c>
      <c r="E530" s="2963" t="s">
        <v>3680</v>
      </c>
      <c r="F530" s="2966">
        <v>170000</v>
      </c>
      <c r="G530" s="2971">
        <v>38.04</v>
      </c>
      <c r="H530" s="2963" t="s">
        <v>3185</v>
      </c>
      <c r="I530" s="2963" t="s">
        <v>3086</v>
      </c>
    </row>
    <row r="531" spans="1:9">
      <c r="A531" s="2963" t="s">
        <v>3328</v>
      </c>
      <c r="B531" s="2963" t="s">
        <v>3355</v>
      </c>
      <c r="D531" s="2963">
        <v>-2238</v>
      </c>
      <c r="E531" s="2963" t="s">
        <v>3681</v>
      </c>
      <c r="F531" s="2966">
        <v>170000</v>
      </c>
      <c r="G531" s="2971">
        <v>38.04</v>
      </c>
      <c r="H531" s="2963" t="s">
        <v>3185</v>
      </c>
      <c r="I531" s="2963" t="s">
        <v>3086</v>
      </c>
    </row>
    <row r="532" spans="1:9">
      <c r="A532" s="2963" t="s">
        <v>3328</v>
      </c>
      <c r="B532" s="2963" t="s">
        <v>3355</v>
      </c>
      <c r="D532" s="2963">
        <v>-2239</v>
      </c>
      <c r="E532" s="2963" t="s">
        <v>3682</v>
      </c>
      <c r="F532" s="2966">
        <v>170000</v>
      </c>
      <c r="G532" s="2971">
        <v>38.04</v>
      </c>
      <c r="H532" s="2963" t="s">
        <v>3185</v>
      </c>
      <c r="I532" s="2963" t="s">
        <v>3086</v>
      </c>
    </row>
    <row r="533" spans="1:9">
      <c r="A533" s="2963" t="s">
        <v>3328</v>
      </c>
      <c r="B533" s="2963" t="s">
        <v>3355</v>
      </c>
      <c r="D533" s="2963">
        <v>-2240</v>
      </c>
      <c r="E533" s="2963" t="s">
        <v>3683</v>
      </c>
      <c r="F533" s="2966">
        <v>170000</v>
      </c>
      <c r="G533" s="2971">
        <v>38.04</v>
      </c>
      <c r="H533" s="2963" t="s">
        <v>3185</v>
      </c>
      <c r="I533" s="2963" t="s">
        <v>3086</v>
      </c>
    </row>
    <row r="534" spans="1:9">
      <c r="A534" s="2963" t="s">
        <v>3328</v>
      </c>
      <c r="B534" s="2963" t="s">
        <v>3355</v>
      </c>
      <c r="D534" s="2963">
        <v>-2241</v>
      </c>
      <c r="E534" s="2963" t="s">
        <v>3684</v>
      </c>
      <c r="F534" s="2966">
        <v>170000</v>
      </c>
      <c r="G534" s="2971">
        <v>38.04</v>
      </c>
      <c r="H534" s="2963" t="s">
        <v>3185</v>
      </c>
      <c r="I534" s="2963" t="s">
        <v>3086</v>
      </c>
    </row>
    <row r="535" spans="1:9">
      <c r="A535" s="2963" t="s">
        <v>3328</v>
      </c>
      <c r="B535" s="2963" t="s">
        <v>3355</v>
      </c>
      <c r="D535" s="2963">
        <v>-2242</v>
      </c>
      <c r="E535" s="2963" t="s">
        <v>3685</v>
      </c>
      <c r="F535" s="2966">
        <v>170000</v>
      </c>
      <c r="G535" s="2971">
        <v>38.04</v>
      </c>
      <c r="H535" s="2963" t="s">
        <v>3185</v>
      </c>
      <c r="I535" s="2963" t="s">
        <v>3086</v>
      </c>
    </row>
    <row r="536" spans="1:9">
      <c r="A536" s="2963" t="s">
        <v>3328</v>
      </c>
      <c r="B536" s="2963" t="s">
        <v>3355</v>
      </c>
      <c r="D536" s="2963">
        <v>-2243</v>
      </c>
      <c r="E536" s="2963" t="s">
        <v>3686</v>
      </c>
      <c r="F536" s="2966">
        <v>170000</v>
      </c>
      <c r="G536" s="2971">
        <v>38.04</v>
      </c>
      <c r="H536" s="2963" t="s">
        <v>3185</v>
      </c>
      <c r="I536" s="2963" t="s">
        <v>3086</v>
      </c>
    </row>
    <row r="537" spans="1:9">
      <c r="A537" s="2963" t="s">
        <v>3328</v>
      </c>
      <c r="B537" s="2963" t="s">
        <v>3355</v>
      </c>
      <c r="D537" s="2963">
        <v>-2244</v>
      </c>
      <c r="E537" s="2963" t="s">
        <v>3687</v>
      </c>
      <c r="F537" s="2966">
        <v>170000</v>
      </c>
      <c r="G537" s="2971">
        <v>38.04</v>
      </c>
      <c r="H537" s="2963" t="s">
        <v>3185</v>
      </c>
      <c r="I537" s="2963" t="s">
        <v>3086</v>
      </c>
    </row>
    <row r="538" spans="1:9">
      <c r="A538" s="2963" t="s">
        <v>3328</v>
      </c>
      <c r="B538" s="2963" t="s">
        <v>3355</v>
      </c>
      <c r="D538" s="2963">
        <v>-2245</v>
      </c>
      <c r="E538" s="2963" t="s">
        <v>3688</v>
      </c>
      <c r="F538" s="2966">
        <v>170000</v>
      </c>
      <c r="G538" s="2971">
        <v>38.04</v>
      </c>
      <c r="H538" s="2963" t="s">
        <v>3185</v>
      </c>
      <c r="I538" s="2963" t="s">
        <v>3086</v>
      </c>
    </row>
    <row r="539" spans="1:9">
      <c r="A539" s="2963" t="s">
        <v>3328</v>
      </c>
      <c r="B539" s="2963" t="s">
        <v>3355</v>
      </c>
      <c r="D539" s="2963">
        <v>-2246</v>
      </c>
      <c r="E539" s="2963" t="s">
        <v>3689</v>
      </c>
      <c r="F539" s="2966">
        <v>170000</v>
      </c>
      <c r="G539" s="2971">
        <v>38.04</v>
      </c>
      <c r="H539" s="2963" t="s">
        <v>3185</v>
      </c>
      <c r="I539" s="2963" t="s">
        <v>3086</v>
      </c>
    </row>
    <row r="540" spans="1:9">
      <c r="A540" s="2963" t="s">
        <v>3328</v>
      </c>
      <c r="B540" s="2963" t="s">
        <v>3355</v>
      </c>
      <c r="D540" s="2963">
        <v>-2247</v>
      </c>
      <c r="E540" s="2963" t="s">
        <v>3690</v>
      </c>
      <c r="F540" s="2966">
        <v>170000</v>
      </c>
      <c r="G540" s="2971">
        <v>38.04</v>
      </c>
      <c r="H540" s="2963" t="s">
        <v>3185</v>
      </c>
      <c r="I540" s="2963" t="s">
        <v>3086</v>
      </c>
    </row>
    <row r="541" spans="1:9">
      <c r="A541" s="2963" t="s">
        <v>3328</v>
      </c>
      <c r="B541" s="2963" t="s">
        <v>3355</v>
      </c>
      <c r="D541" s="2963">
        <v>-2248</v>
      </c>
      <c r="E541" s="2963" t="s">
        <v>3691</v>
      </c>
      <c r="F541" s="2966">
        <v>170000</v>
      </c>
      <c r="G541" s="2971">
        <v>38.04</v>
      </c>
      <c r="H541" s="2963" t="s">
        <v>3185</v>
      </c>
      <c r="I541" s="2963" t="s">
        <v>3086</v>
      </c>
    </row>
    <row r="542" spans="1:9">
      <c r="A542" s="2963" t="s">
        <v>3328</v>
      </c>
      <c r="B542" s="2963" t="s">
        <v>3355</v>
      </c>
      <c r="D542" s="2963">
        <v>-2249</v>
      </c>
      <c r="E542" s="2963" t="s">
        <v>3692</v>
      </c>
      <c r="F542" s="2966">
        <v>170000</v>
      </c>
      <c r="G542" s="2971">
        <v>38.04</v>
      </c>
      <c r="H542" s="2963" t="s">
        <v>3185</v>
      </c>
      <c r="I542" s="2963" t="s">
        <v>3086</v>
      </c>
    </row>
    <row r="543" spans="1:9">
      <c r="A543" s="2963" t="s">
        <v>3328</v>
      </c>
      <c r="B543" s="2963" t="s">
        <v>3355</v>
      </c>
      <c r="D543" s="2963">
        <v>-2250</v>
      </c>
      <c r="E543" s="2963" t="s">
        <v>3693</v>
      </c>
      <c r="F543" s="2966">
        <v>170000</v>
      </c>
      <c r="G543" s="2971">
        <v>38.04</v>
      </c>
      <c r="H543" s="2963" t="s">
        <v>3185</v>
      </c>
      <c r="I543" s="2963" t="s">
        <v>3086</v>
      </c>
    </row>
    <row r="544" spans="1:9">
      <c r="A544" s="2963" t="s">
        <v>3328</v>
      </c>
      <c r="B544" s="2963" t="s">
        <v>3355</v>
      </c>
      <c r="D544" s="2963">
        <v>-2251</v>
      </c>
      <c r="E544" s="2963" t="s">
        <v>3694</v>
      </c>
      <c r="F544" s="2966">
        <v>170000</v>
      </c>
      <c r="G544" s="2971">
        <v>38.04</v>
      </c>
      <c r="H544" s="2963" t="s">
        <v>3185</v>
      </c>
      <c r="I544" s="2963" t="s">
        <v>3086</v>
      </c>
    </row>
    <row r="545" spans="1:9">
      <c r="A545" s="2963" t="s">
        <v>3328</v>
      </c>
      <c r="B545" s="2963" t="s">
        <v>3355</v>
      </c>
      <c r="D545" s="2963">
        <v>-2252</v>
      </c>
      <c r="E545" s="2963" t="s">
        <v>3695</v>
      </c>
      <c r="F545" s="2966">
        <v>170000</v>
      </c>
      <c r="G545" s="2971">
        <v>38.04</v>
      </c>
      <c r="H545" s="2963" t="s">
        <v>3185</v>
      </c>
      <c r="I545" s="2963" t="s">
        <v>3086</v>
      </c>
    </row>
    <row r="546" spans="1:9">
      <c r="A546" s="2963" t="s">
        <v>3328</v>
      </c>
      <c r="B546" s="2963" t="s">
        <v>3355</v>
      </c>
      <c r="D546" s="2963">
        <v>-2253</v>
      </c>
      <c r="E546" s="2963" t="s">
        <v>3696</v>
      </c>
      <c r="F546" s="2966">
        <v>170000</v>
      </c>
      <c r="G546" s="2971">
        <v>38.04</v>
      </c>
      <c r="H546" s="2963" t="s">
        <v>3185</v>
      </c>
      <c r="I546" s="2963" t="s">
        <v>3086</v>
      </c>
    </row>
    <row r="547" spans="1:9">
      <c r="A547" s="2963" t="s">
        <v>3328</v>
      </c>
      <c r="B547" s="2963" t="s">
        <v>3355</v>
      </c>
      <c r="D547" s="2963">
        <v>-2254</v>
      </c>
      <c r="E547" s="2963" t="s">
        <v>3697</v>
      </c>
      <c r="F547" s="2966">
        <v>170000</v>
      </c>
      <c r="G547" s="2971">
        <v>38.04</v>
      </c>
      <c r="H547" s="2963" t="s">
        <v>3185</v>
      </c>
      <c r="I547" s="2963" t="s">
        <v>3086</v>
      </c>
    </row>
    <row r="548" spans="1:9">
      <c r="A548" s="2963" t="s">
        <v>3328</v>
      </c>
      <c r="B548" s="2963" t="s">
        <v>3355</v>
      </c>
      <c r="D548" s="2963">
        <v>-3026</v>
      </c>
      <c r="E548" s="2963" t="s">
        <v>3698</v>
      </c>
      <c r="F548" s="2966">
        <v>160000</v>
      </c>
      <c r="G548" s="2971">
        <v>39.19</v>
      </c>
      <c r="H548" s="2963" t="s">
        <v>3185</v>
      </c>
      <c r="I548" s="2963" t="s">
        <v>3086</v>
      </c>
    </row>
    <row r="549" spans="1:9">
      <c r="A549" s="2963" t="s">
        <v>3328</v>
      </c>
      <c r="B549" s="2963" t="s">
        <v>3355</v>
      </c>
      <c r="D549" s="2963">
        <v>-3027</v>
      </c>
      <c r="E549" s="2963" t="s">
        <v>3699</v>
      </c>
      <c r="F549" s="2966">
        <v>160000</v>
      </c>
      <c r="G549" s="2971">
        <v>39.19</v>
      </c>
      <c r="H549" s="2963" t="s">
        <v>3185</v>
      </c>
      <c r="I549" s="2963" t="s">
        <v>3086</v>
      </c>
    </row>
    <row r="550" spans="1:9">
      <c r="A550" s="2963" t="s">
        <v>3328</v>
      </c>
      <c r="B550" s="2963" t="s">
        <v>3355</v>
      </c>
      <c r="D550" s="2963">
        <v>-3028</v>
      </c>
      <c r="E550" s="2963" t="s">
        <v>3700</v>
      </c>
      <c r="F550" s="2966">
        <v>160000</v>
      </c>
      <c r="G550" s="2971">
        <v>39.19</v>
      </c>
      <c r="H550" s="2963" t="s">
        <v>3185</v>
      </c>
      <c r="I550" s="2963" t="s">
        <v>3086</v>
      </c>
    </row>
    <row r="551" spans="1:9">
      <c r="A551" s="2963" t="s">
        <v>3328</v>
      </c>
      <c r="B551" s="2963" t="s">
        <v>3355</v>
      </c>
      <c r="D551" s="2963">
        <v>-3029</v>
      </c>
      <c r="E551" s="2963" t="s">
        <v>3701</v>
      </c>
      <c r="F551" s="2966">
        <v>160000</v>
      </c>
      <c r="G551" s="2971">
        <v>39.19</v>
      </c>
      <c r="H551" s="2963" t="s">
        <v>3185</v>
      </c>
      <c r="I551" s="2963" t="s">
        <v>3086</v>
      </c>
    </row>
    <row r="552" spans="1:9">
      <c r="A552" s="2963" t="s">
        <v>3328</v>
      </c>
      <c r="B552" s="2963" t="s">
        <v>3355</v>
      </c>
      <c r="D552" s="2963">
        <v>-3030</v>
      </c>
      <c r="E552" s="2963" t="s">
        <v>3702</v>
      </c>
      <c r="F552" s="2966">
        <v>160000</v>
      </c>
      <c r="G552" s="2971">
        <v>39.19</v>
      </c>
      <c r="H552" s="2963" t="s">
        <v>3185</v>
      </c>
      <c r="I552" s="2963" t="s">
        <v>3086</v>
      </c>
    </row>
    <row r="553" spans="1:9">
      <c r="A553" s="2963" t="s">
        <v>3328</v>
      </c>
      <c r="B553" s="2963" t="s">
        <v>3355</v>
      </c>
      <c r="D553" s="2963">
        <v>-3031</v>
      </c>
      <c r="E553" s="2963" t="s">
        <v>3703</v>
      </c>
      <c r="F553" s="2966">
        <v>160000</v>
      </c>
      <c r="G553" s="2971">
        <v>39.19</v>
      </c>
      <c r="H553" s="2963" t="s">
        <v>3185</v>
      </c>
      <c r="I553" s="2963" t="s">
        <v>3086</v>
      </c>
    </row>
    <row r="554" spans="1:9">
      <c r="A554" s="2963" t="s">
        <v>3328</v>
      </c>
      <c r="B554" s="2963" t="s">
        <v>3355</v>
      </c>
      <c r="D554" s="2963">
        <v>-3032</v>
      </c>
      <c r="E554" s="2963" t="s">
        <v>3704</v>
      </c>
      <c r="F554" s="2966">
        <v>160000</v>
      </c>
      <c r="G554" s="2971">
        <v>39.19</v>
      </c>
      <c r="H554" s="2963" t="s">
        <v>3185</v>
      </c>
      <c r="I554" s="2963" t="s">
        <v>3086</v>
      </c>
    </row>
    <row r="555" spans="1:9">
      <c r="A555" s="2963" t="s">
        <v>3328</v>
      </c>
      <c r="B555" s="2963" t="s">
        <v>3355</v>
      </c>
      <c r="D555" s="2963">
        <v>-3033</v>
      </c>
      <c r="E555" s="2963" t="s">
        <v>3705</v>
      </c>
      <c r="F555" s="2966">
        <v>160000</v>
      </c>
      <c r="G555" s="2971">
        <v>39.19</v>
      </c>
      <c r="H555" s="2963" t="s">
        <v>3185</v>
      </c>
      <c r="I555" s="2963" t="s">
        <v>3086</v>
      </c>
    </row>
    <row r="556" spans="1:9">
      <c r="A556" s="2963" t="s">
        <v>3328</v>
      </c>
      <c r="B556" s="2963" t="s">
        <v>3355</v>
      </c>
      <c r="D556" s="2963">
        <v>-3034</v>
      </c>
      <c r="E556" s="2963" t="s">
        <v>3706</v>
      </c>
      <c r="F556" s="2966">
        <v>160000</v>
      </c>
      <c r="G556" s="2971">
        <v>39.19</v>
      </c>
      <c r="H556" s="2963" t="s">
        <v>3185</v>
      </c>
      <c r="I556" s="2963" t="s">
        <v>3086</v>
      </c>
    </row>
    <row r="557" spans="1:9">
      <c r="A557" s="2963" t="s">
        <v>3328</v>
      </c>
      <c r="B557" s="2963" t="s">
        <v>3355</v>
      </c>
      <c r="D557" s="2963">
        <v>-3035</v>
      </c>
      <c r="E557" s="2963" t="s">
        <v>3707</v>
      </c>
      <c r="F557" s="2966">
        <v>160000</v>
      </c>
      <c r="G557" s="2971">
        <v>39.19</v>
      </c>
      <c r="H557" s="2963" t="s">
        <v>3185</v>
      </c>
      <c r="I557" s="2963" t="s">
        <v>3086</v>
      </c>
    </row>
    <row r="558" spans="1:9">
      <c r="A558" s="2963" t="s">
        <v>3328</v>
      </c>
      <c r="B558" s="2963" t="s">
        <v>3355</v>
      </c>
      <c r="D558" s="2963">
        <v>-3037</v>
      </c>
      <c r="E558" s="2963" t="s">
        <v>3708</v>
      </c>
      <c r="F558" s="2966">
        <v>160000</v>
      </c>
      <c r="G558" s="2971">
        <v>39.19</v>
      </c>
      <c r="H558" s="2963" t="s">
        <v>3185</v>
      </c>
      <c r="I558" s="2963" t="s">
        <v>3086</v>
      </c>
    </row>
    <row r="559" spans="1:9">
      <c r="A559" s="2963" t="s">
        <v>3328</v>
      </c>
      <c r="B559" s="2963" t="s">
        <v>3355</v>
      </c>
      <c r="D559" s="2963">
        <v>-3038</v>
      </c>
      <c r="E559" s="2963" t="s">
        <v>3709</v>
      </c>
      <c r="F559" s="2966">
        <v>160000</v>
      </c>
      <c r="G559" s="2971">
        <v>39.19</v>
      </c>
      <c r="H559" s="2963" t="s">
        <v>3185</v>
      </c>
      <c r="I559" s="2963" t="s">
        <v>3086</v>
      </c>
    </row>
    <row r="560" spans="1:9">
      <c r="A560" s="2963" t="s">
        <v>3328</v>
      </c>
      <c r="B560" s="2963" t="s">
        <v>3355</v>
      </c>
      <c r="D560" s="2963">
        <v>-3040</v>
      </c>
      <c r="E560" s="2963" t="s">
        <v>3710</v>
      </c>
      <c r="F560" s="2966">
        <v>160000</v>
      </c>
      <c r="G560" s="2971">
        <v>39.19</v>
      </c>
      <c r="H560" s="2963" t="s">
        <v>3185</v>
      </c>
      <c r="I560" s="2963" t="s">
        <v>3086</v>
      </c>
    </row>
    <row r="561" spans="1:9">
      <c r="A561" s="2963" t="s">
        <v>3328</v>
      </c>
      <c r="B561" s="2963" t="s">
        <v>3355</v>
      </c>
      <c r="D561" s="2963">
        <v>-3041</v>
      </c>
      <c r="E561" s="2963" t="s">
        <v>3711</v>
      </c>
      <c r="F561" s="2966">
        <v>160000</v>
      </c>
      <c r="G561" s="2971">
        <v>39.19</v>
      </c>
      <c r="H561" s="2963" t="s">
        <v>3185</v>
      </c>
      <c r="I561" s="2963" t="s">
        <v>3086</v>
      </c>
    </row>
    <row r="562" spans="1:9">
      <c r="A562" s="2963" t="s">
        <v>3328</v>
      </c>
      <c r="B562" s="2963" t="s">
        <v>3355</v>
      </c>
      <c r="D562" s="2963">
        <v>-3042</v>
      </c>
      <c r="E562" s="2963" t="s">
        <v>3712</v>
      </c>
      <c r="F562" s="2966">
        <v>160000</v>
      </c>
      <c r="G562" s="2971">
        <v>39.19</v>
      </c>
      <c r="H562" s="2963" t="s">
        <v>3185</v>
      </c>
      <c r="I562" s="2963" t="s">
        <v>3086</v>
      </c>
    </row>
    <row r="563" spans="1:9">
      <c r="A563" s="2963" t="s">
        <v>3328</v>
      </c>
      <c r="B563" s="2963" t="s">
        <v>3355</v>
      </c>
      <c r="D563" s="2963">
        <v>-3043</v>
      </c>
      <c r="E563" s="2963" t="s">
        <v>3713</v>
      </c>
      <c r="F563" s="2966">
        <v>160000</v>
      </c>
      <c r="G563" s="2971">
        <v>39.19</v>
      </c>
      <c r="H563" s="2963" t="s">
        <v>3185</v>
      </c>
      <c r="I563" s="2963" t="s">
        <v>3086</v>
      </c>
    </row>
    <row r="564" spans="1:9">
      <c r="A564" s="2963" t="s">
        <v>3328</v>
      </c>
      <c r="B564" s="2963" t="s">
        <v>3355</v>
      </c>
      <c r="D564" s="2963">
        <v>-3044</v>
      </c>
      <c r="E564" s="2963" t="s">
        <v>3714</v>
      </c>
      <c r="F564" s="2966">
        <v>160000</v>
      </c>
      <c r="G564" s="2971">
        <v>39.19</v>
      </c>
      <c r="H564" s="2963" t="s">
        <v>3185</v>
      </c>
      <c r="I564" s="2963" t="s">
        <v>3086</v>
      </c>
    </row>
    <row r="565" spans="1:9">
      <c r="A565" s="2963" t="s">
        <v>3328</v>
      </c>
      <c r="B565" s="2963" t="s">
        <v>3355</v>
      </c>
      <c r="D565" s="2963">
        <v>-3045</v>
      </c>
      <c r="E565" s="2963" t="s">
        <v>3715</v>
      </c>
      <c r="F565" s="2966">
        <v>160000</v>
      </c>
      <c r="G565" s="2971">
        <v>39.19</v>
      </c>
      <c r="H565" s="2963" t="s">
        <v>3185</v>
      </c>
      <c r="I565" s="2963" t="s">
        <v>3086</v>
      </c>
    </row>
    <row r="566" spans="1:9">
      <c r="A566" s="2963" t="s">
        <v>3328</v>
      </c>
      <c r="B566" s="2963" t="s">
        <v>3355</v>
      </c>
      <c r="D566" s="2963">
        <v>-3046</v>
      </c>
      <c r="E566" s="2963" t="s">
        <v>3716</v>
      </c>
      <c r="F566" s="2966">
        <v>160000</v>
      </c>
      <c r="G566" s="2971">
        <v>39.19</v>
      </c>
      <c r="H566" s="2963" t="s">
        <v>3185</v>
      </c>
      <c r="I566" s="2963" t="s">
        <v>3086</v>
      </c>
    </row>
    <row r="567" spans="1:9">
      <c r="A567" s="2963" t="s">
        <v>3328</v>
      </c>
      <c r="B567" s="2963" t="s">
        <v>3355</v>
      </c>
      <c r="D567" s="2963">
        <v>-3047</v>
      </c>
      <c r="E567" s="2963" t="s">
        <v>3717</v>
      </c>
      <c r="F567" s="2966">
        <v>160000</v>
      </c>
      <c r="G567" s="2971">
        <v>39.19</v>
      </c>
      <c r="H567" s="2963" t="s">
        <v>3185</v>
      </c>
      <c r="I567" s="2963" t="s">
        <v>3086</v>
      </c>
    </row>
    <row r="568" spans="1:9">
      <c r="A568" s="2963" t="s">
        <v>3328</v>
      </c>
      <c r="B568" s="2963" t="s">
        <v>3355</v>
      </c>
      <c r="D568" s="2963">
        <v>-3048</v>
      </c>
      <c r="E568" s="2963" t="s">
        <v>3718</v>
      </c>
      <c r="F568" s="2966">
        <v>160000</v>
      </c>
      <c r="G568" s="2971">
        <v>39.19</v>
      </c>
      <c r="H568" s="2963" t="s">
        <v>3185</v>
      </c>
      <c r="I568" s="2963" t="s">
        <v>3086</v>
      </c>
    </row>
    <row r="569" spans="1:9">
      <c r="A569" s="2963" t="s">
        <v>3328</v>
      </c>
      <c r="B569" s="2963" t="s">
        <v>3355</v>
      </c>
      <c r="D569" s="2963">
        <v>-3049</v>
      </c>
      <c r="E569" s="2963" t="s">
        <v>3719</v>
      </c>
      <c r="F569" s="2966">
        <v>160000</v>
      </c>
      <c r="G569" s="2971">
        <v>39.19</v>
      </c>
      <c r="H569" s="2963" t="s">
        <v>3185</v>
      </c>
      <c r="I569" s="2963" t="s">
        <v>3086</v>
      </c>
    </row>
    <row r="570" spans="1:9">
      <c r="A570" s="2963" t="s">
        <v>3328</v>
      </c>
      <c r="B570" s="2963" t="s">
        <v>3355</v>
      </c>
      <c r="D570" s="2963">
        <v>-3050</v>
      </c>
      <c r="E570" s="2963" t="s">
        <v>3720</v>
      </c>
      <c r="F570" s="2966">
        <v>160000</v>
      </c>
      <c r="G570" s="2971">
        <v>39.19</v>
      </c>
      <c r="H570" s="2963" t="s">
        <v>3185</v>
      </c>
      <c r="I570" s="2963" t="s">
        <v>3086</v>
      </c>
    </row>
    <row r="571" spans="1:9">
      <c r="A571" s="2963" t="s">
        <v>3328</v>
      </c>
      <c r="B571" s="2963" t="s">
        <v>3355</v>
      </c>
      <c r="D571" s="2963">
        <v>-3051</v>
      </c>
      <c r="E571" s="2963" t="s">
        <v>3721</v>
      </c>
      <c r="F571" s="2966">
        <v>160000</v>
      </c>
      <c r="G571" s="2971">
        <v>39.19</v>
      </c>
      <c r="H571" s="2963" t="s">
        <v>3185</v>
      </c>
      <c r="I571" s="2963" t="s">
        <v>3086</v>
      </c>
    </row>
    <row r="572" spans="1:9">
      <c r="A572" s="2963" t="s">
        <v>3328</v>
      </c>
      <c r="B572" s="2963" t="s">
        <v>3355</v>
      </c>
      <c r="D572" s="2963">
        <v>-3052</v>
      </c>
      <c r="E572" s="2963" t="s">
        <v>3722</v>
      </c>
      <c r="F572" s="2966">
        <v>160000</v>
      </c>
      <c r="G572" s="2971">
        <v>39.19</v>
      </c>
      <c r="H572" s="2963" t="s">
        <v>3185</v>
      </c>
      <c r="I572" s="2963" t="s">
        <v>3086</v>
      </c>
    </row>
    <row r="573" spans="1:9">
      <c r="A573" s="2963" t="s">
        <v>3328</v>
      </c>
      <c r="B573" s="2963" t="s">
        <v>3355</v>
      </c>
      <c r="D573" s="2963">
        <v>-3053</v>
      </c>
      <c r="E573" s="2963" t="s">
        <v>3723</v>
      </c>
      <c r="F573" s="2966">
        <v>160000</v>
      </c>
      <c r="G573" s="2971">
        <v>39.19</v>
      </c>
      <c r="H573" s="2963" t="s">
        <v>3185</v>
      </c>
      <c r="I573" s="2963" t="s">
        <v>3086</v>
      </c>
    </row>
    <row r="574" spans="1:9">
      <c r="A574" s="2963" t="s">
        <v>3328</v>
      </c>
      <c r="B574" s="2963" t="s">
        <v>3355</v>
      </c>
      <c r="D574" s="2963">
        <v>-3054</v>
      </c>
      <c r="E574" s="2963" t="s">
        <v>3724</v>
      </c>
      <c r="F574" s="2966">
        <v>160000</v>
      </c>
      <c r="G574" s="2971">
        <v>39.19</v>
      </c>
      <c r="H574" s="2963" t="s">
        <v>3185</v>
      </c>
      <c r="I574" s="2963" t="s">
        <v>3086</v>
      </c>
    </row>
    <row r="575" spans="1:9">
      <c r="A575" s="2963" t="s">
        <v>3328</v>
      </c>
      <c r="B575" s="2963" t="s">
        <v>3355</v>
      </c>
      <c r="D575" s="2963">
        <v>-3055</v>
      </c>
      <c r="E575" s="2963" t="s">
        <v>3725</v>
      </c>
      <c r="F575" s="2966">
        <v>160000</v>
      </c>
      <c r="G575" s="2971">
        <v>39.19</v>
      </c>
      <c r="H575" s="2963" t="s">
        <v>3185</v>
      </c>
      <c r="I575" s="2963" t="s">
        <v>3086</v>
      </c>
    </row>
    <row r="576" spans="1:9">
      <c r="A576" s="2963" t="s">
        <v>3328</v>
      </c>
      <c r="B576" s="2963" t="s">
        <v>3355</v>
      </c>
      <c r="D576" s="2963">
        <v>-3056</v>
      </c>
      <c r="E576" s="2963" t="s">
        <v>3726</v>
      </c>
      <c r="F576" s="2966">
        <v>160000</v>
      </c>
      <c r="G576" s="2971">
        <v>39.19</v>
      </c>
      <c r="H576" s="2963" t="s">
        <v>3185</v>
      </c>
      <c r="I576" s="2963" t="s">
        <v>3086</v>
      </c>
    </row>
    <row r="577" spans="1:9">
      <c r="A577" s="2963" t="s">
        <v>3328</v>
      </c>
      <c r="B577" s="2963" t="s">
        <v>3355</v>
      </c>
      <c r="D577" s="2963">
        <v>-3057</v>
      </c>
      <c r="E577" s="2963" t="s">
        <v>3727</v>
      </c>
      <c r="F577" s="2966">
        <v>160000</v>
      </c>
      <c r="G577" s="2971">
        <v>39.19</v>
      </c>
      <c r="H577" s="2963" t="s">
        <v>3185</v>
      </c>
      <c r="I577" s="2963" t="s">
        <v>3086</v>
      </c>
    </row>
    <row r="578" spans="1:9">
      <c r="A578" s="2963" t="s">
        <v>3328</v>
      </c>
      <c r="B578" s="2963" t="s">
        <v>3355</v>
      </c>
      <c r="D578" s="2963">
        <v>-3058</v>
      </c>
      <c r="E578" s="2963" t="s">
        <v>3728</v>
      </c>
      <c r="F578" s="2966">
        <v>160000</v>
      </c>
      <c r="G578" s="2971">
        <v>39.19</v>
      </c>
      <c r="H578" s="2963" t="s">
        <v>3185</v>
      </c>
      <c r="I578" s="2963" t="s">
        <v>3086</v>
      </c>
    </row>
    <row r="579" spans="1:9">
      <c r="A579" s="2963" t="s">
        <v>3328</v>
      </c>
      <c r="B579" s="2963" t="s">
        <v>3355</v>
      </c>
      <c r="D579" s="2963">
        <v>-3059</v>
      </c>
      <c r="E579" s="2963" t="s">
        <v>3729</v>
      </c>
      <c r="F579" s="2966">
        <v>160000</v>
      </c>
      <c r="G579" s="2971">
        <v>39.19</v>
      </c>
      <c r="H579" s="2963" t="s">
        <v>3185</v>
      </c>
      <c r="I579" s="2963" t="s">
        <v>3086</v>
      </c>
    </row>
    <row r="580" spans="1:9">
      <c r="A580" s="2963" t="s">
        <v>3328</v>
      </c>
      <c r="B580" s="2963" t="s">
        <v>3355</v>
      </c>
      <c r="D580" s="2963">
        <v>-3060</v>
      </c>
      <c r="E580" s="2963" t="s">
        <v>3730</v>
      </c>
      <c r="F580" s="2966">
        <v>160000</v>
      </c>
      <c r="G580" s="2971">
        <v>39.19</v>
      </c>
      <c r="H580" s="2963" t="s">
        <v>3185</v>
      </c>
      <c r="I580" s="2963" t="s">
        <v>3086</v>
      </c>
    </row>
    <row r="581" spans="1:9">
      <c r="A581" s="2963" t="s">
        <v>3328</v>
      </c>
      <c r="B581" s="2963" t="s">
        <v>3355</v>
      </c>
      <c r="D581" s="2963">
        <v>-3061</v>
      </c>
      <c r="E581" s="2963" t="s">
        <v>3731</v>
      </c>
      <c r="F581" s="2966">
        <v>160000</v>
      </c>
      <c r="G581" s="2971">
        <v>39.19</v>
      </c>
      <c r="H581" s="2963" t="s">
        <v>3185</v>
      </c>
      <c r="I581" s="2963" t="s">
        <v>3086</v>
      </c>
    </row>
    <row r="582" spans="1:9">
      <c r="A582" s="2963" t="s">
        <v>3328</v>
      </c>
      <c r="B582" s="2963" t="s">
        <v>3355</v>
      </c>
      <c r="D582" s="2963">
        <v>-3062</v>
      </c>
      <c r="E582" s="2963" t="s">
        <v>3732</v>
      </c>
      <c r="F582" s="2966">
        <v>160000</v>
      </c>
      <c r="G582" s="2971">
        <v>39.19</v>
      </c>
      <c r="H582" s="2963" t="s">
        <v>3185</v>
      </c>
      <c r="I582" s="2963" t="s">
        <v>3086</v>
      </c>
    </row>
    <row r="583" spans="1:9">
      <c r="A583" s="2963" t="s">
        <v>3328</v>
      </c>
      <c r="B583" s="2963" t="s">
        <v>3355</v>
      </c>
      <c r="D583" s="2963">
        <v>-3063</v>
      </c>
      <c r="E583" s="2963" t="s">
        <v>3733</v>
      </c>
      <c r="F583" s="2966">
        <v>160000</v>
      </c>
      <c r="G583" s="2971">
        <v>39.19</v>
      </c>
      <c r="H583" s="2963" t="s">
        <v>3185</v>
      </c>
      <c r="I583" s="2963" t="s">
        <v>3086</v>
      </c>
    </row>
    <row r="584" spans="1:9">
      <c r="A584" s="2963" t="s">
        <v>3328</v>
      </c>
      <c r="B584" s="2963" t="s">
        <v>3355</v>
      </c>
      <c r="D584" s="2963">
        <v>-3064</v>
      </c>
      <c r="E584" s="2963" t="s">
        <v>3734</v>
      </c>
      <c r="F584" s="2966">
        <v>160000</v>
      </c>
      <c r="G584" s="2971">
        <v>39.19</v>
      </c>
      <c r="H584" s="2963" t="s">
        <v>3185</v>
      </c>
      <c r="I584" s="2963" t="s">
        <v>3086</v>
      </c>
    </row>
    <row r="585" spans="1:9">
      <c r="A585" s="2963" t="s">
        <v>3328</v>
      </c>
      <c r="B585" s="2963" t="s">
        <v>3355</v>
      </c>
      <c r="D585" s="2963">
        <v>-3065</v>
      </c>
      <c r="E585" s="2963" t="s">
        <v>3735</v>
      </c>
      <c r="F585" s="2966">
        <v>160000</v>
      </c>
      <c r="G585" s="2971">
        <v>39.19</v>
      </c>
      <c r="H585" s="2963" t="s">
        <v>3185</v>
      </c>
      <c r="I585" s="2963" t="s">
        <v>3086</v>
      </c>
    </row>
    <row r="586" spans="1:9">
      <c r="A586" s="2963" t="s">
        <v>3328</v>
      </c>
      <c r="B586" s="2963" t="s">
        <v>3355</v>
      </c>
      <c r="D586" s="2963">
        <v>-3066</v>
      </c>
      <c r="E586" s="2963" t="s">
        <v>3736</v>
      </c>
      <c r="F586" s="2966">
        <v>160000</v>
      </c>
      <c r="G586" s="2971">
        <v>39.19</v>
      </c>
      <c r="H586" s="2963" t="s">
        <v>3185</v>
      </c>
      <c r="I586" s="2963" t="s">
        <v>3086</v>
      </c>
    </row>
    <row r="587" spans="1:9">
      <c r="A587" s="2963" t="s">
        <v>3328</v>
      </c>
      <c r="B587" s="2963" t="s">
        <v>3355</v>
      </c>
      <c r="D587" s="2963">
        <v>-3067</v>
      </c>
      <c r="E587" s="2963" t="s">
        <v>3737</v>
      </c>
      <c r="F587" s="2966">
        <v>160000</v>
      </c>
      <c r="G587" s="2971">
        <v>39.19</v>
      </c>
      <c r="H587" s="2963" t="s">
        <v>3185</v>
      </c>
      <c r="I587" s="2963" t="s">
        <v>3086</v>
      </c>
    </row>
    <row r="588" spans="1:9">
      <c r="A588" s="2963" t="s">
        <v>3328</v>
      </c>
      <c r="B588" s="2963" t="s">
        <v>3355</v>
      </c>
      <c r="D588" s="2963">
        <v>-3068</v>
      </c>
      <c r="E588" s="2963" t="s">
        <v>3738</v>
      </c>
      <c r="F588" s="2966">
        <v>160000</v>
      </c>
      <c r="G588" s="2971">
        <v>39.19</v>
      </c>
      <c r="H588" s="2963" t="s">
        <v>3185</v>
      </c>
      <c r="I588" s="2963" t="s">
        <v>3086</v>
      </c>
    </row>
    <row r="589" spans="1:9">
      <c r="A589" s="2963" t="s">
        <v>3328</v>
      </c>
      <c r="B589" s="2963" t="s">
        <v>3355</v>
      </c>
      <c r="D589" s="2963">
        <v>-3069</v>
      </c>
      <c r="E589" s="2963" t="s">
        <v>3739</v>
      </c>
      <c r="F589" s="2966">
        <v>160000</v>
      </c>
      <c r="G589" s="2971">
        <v>39.19</v>
      </c>
      <c r="H589" s="2963" t="s">
        <v>3185</v>
      </c>
      <c r="I589" s="2963" t="s">
        <v>3086</v>
      </c>
    </row>
    <row r="590" spans="1:9">
      <c r="A590" s="2963" t="s">
        <v>3328</v>
      </c>
      <c r="B590" s="2963" t="s">
        <v>3355</v>
      </c>
      <c r="D590" s="2963">
        <v>-3070</v>
      </c>
      <c r="E590" s="2963" t="s">
        <v>3740</v>
      </c>
      <c r="F590" s="2966">
        <v>160000</v>
      </c>
      <c r="G590" s="2971">
        <v>39.19</v>
      </c>
      <c r="H590" s="2963" t="s">
        <v>3185</v>
      </c>
      <c r="I590" s="2963" t="s">
        <v>3086</v>
      </c>
    </row>
    <row r="591" spans="1:9">
      <c r="A591" s="2963" t="s">
        <v>3328</v>
      </c>
      <c r="B591" s="2963" t="s">
        <v>3355</v>
      </c>
      <c r="D591" s="2963">
        <v>-3071</v>
      </c>
      <c r="E591" s="2963" t="s">
        <v>3741</v>
      </c>
      <c r="F591" s="2966">
        <v>160000</v>
      </c>
      <c r="G591" s="2971">
        <v>39.19</v>
      </c>
      <c r="H591" s="2963" t="s">
        <v>3185</v>
      </c>
      <c r="I591" s="2963" t="s">
        <v>3086</v>
      </c>
    </row>
    <row r="592" spans="1:9">
      <c r="A592" s="2963" t="s">
        <v>3328</v>
      </c>
      <c r="B592" s="2963" t="s">
        <v>3355</v>
      </c>
      <c r="D592" s="2963">
        <v>-3072</v>
      </c>
      <c r="E592" s="2963" t="s">
        <v>3742</v>
      </c>
      <c r="F592" s="2966">
        <v>160000</v>
      </c>
      <c r="G592" s="2971">
        <v>39.19</v>
      </c>
      <c r="H592" s="2963" t="s">
        <v>3185</v>
      </c>
      <c r="I592" s="2963" t="s">
        <v>3086</v>
      </c>
    </row>
    <row r="593" spans="1:9">
      <c r="A593" s="2963" t="s">
        <v>3328</v>
      </c>
      <c r="B593" s="2963" t="s">
        <v>3355</v>
      </c>
      <c r="D593" s="2963">
        <v>-3073</v>
      </c>
      <c r="E593" s="2963" t="s">
        <v>3743</v>
      </c>
      <c r="F593" s="2966">
        <v>160000</v>
      </c>
      <c r="G593" s="2971">
        <v>39.19</v>
      </c>
      <c r="H593" s="2963" t="s">
        <v>3185</v>
      </c>
      <c r="I593" s="2963" t="s">
        <v>3086</v>
      </c>
    </row>
    <row r="594" spans="1:9">
      <c r="A594" s="2963" t="s">
        <v>3328</v>
      </c>
      <c r="B594" s="2963" t="s">
        <v>3355</v>
      </c>
      <c r="D594" s="2963">
        <v>-3074</v>
      </c>
      <c r="E594" s="2963" t="s">
        <v>3744</v>
      </c>
      <c r="F594" s="2966">
        <v>160000</v>
      </c>
      <c r="G594" s="2971">
        <v>39.19</v>
      </c>
      <c r="H594" s="2963" t="s">
        <v>3185</v>
      </c>
      <c r="I594" s="2963" t="s">
        <v>3086</v>
      </c>
    </row>
    <row r="595" spans="1:9">
      <c r="A595" s="2963" t="s">
        <v>3328</v>
      </c>
      <c r="B595" s="2963" t="s">
        <v>3355</v>
      </c>
      <c r="D595" s="2963">
        <v>-3075</v>
      </c>
      <c r="E595" s="2963" t="s">
        <v>3745</v>
      </c>
      <c r="F595" s="2966">
        <v>160000</v>
      </c>
      <c r="G595" s="2971">
        <v>39.19</v>
      </c>
      <c r="H595" s="2963" t="s">
        <v>3185</v>
      </c>
      <c r="I595" s="2963" t="s">
        <v>3086</v>
      </c>
    </row>
    <row r="596" spans="1:9">
      <c r="A596" s="2963" t="s">
        <v>3328</v>
      </c>
      <c r="B596" s="2963" t="s">
        <v>3355</v>
      </c>
      <c r="D596" s="2963">
        <v>-3076</v>
      </c>
      <c r="E596" s="2963" t="s">
        <v>3746</v>
      </c>
      <c r="F596" s="2966">
        <v>160000</v>
      </c>
      <c r="G596" s="2971">
        <v>39.19</v>
      </c>
      <c r="H596" s="2963" t="s">
        <v>3185</v>
      </c>
      <c r="I596" s="2963" t="s">
        <v>3086</v>
      </c>
    </row>
    <row r="597" spans="1:9">
      <c r="A597" s="2963" t="s">
        <v>3328</v>
      </c>
      <c r="B597" s="2963" t="s">
        <v>3355</v>
      </c>
      <c r="D597" s="2963">
        <v>-3077</v>
      </c>
      <c r="E597" s="2963" t="s">
        <v>3747</v>
      </c>
      <c r="F597" s="2966">
        <v>160000</v>
      </c>
      <c r="G597" s="2971">
        <v>39.19</v>
      </c>
      <c r="H597" s="2963" t="s">
        <v>3185</v>
      </c>
      <c r="I597" s="2963" t="s">
        <v>3086</v>
      </c>
    </row>
    <row r="598" spans="1:9">
      <c r="A598" s="2963" t="s">
        <v>3328</v>
      </c>
      <c r="B598" s="2963" t="s">
        <v>3355</v>
      </c>
      <c r="D598" s="2963">
        <v>-3078</v>
      </c>
      <c r="E598" s="2963" t="s">
        <v>3748</v>
      </c>
      <c r="F598" s="2966">
        <v>160000</v>
      </c>
      <c r="G598" s="2971">
        <v>39.19</v>
      </c>
      <c r="H598" s="2963" t="s">
        <v>3185</v>
      </c>
      <c r="I598" s="2963" t="s">
        <v>3086</v>
      </c>
    </row>
    <row r="599" spans="1:9">
      <c r="A599" s="2963" t="s">
        <v>3328</v>
      </c>
      <c r="B599" s="2963" t="s">
        <v>3355</v>
      </c>
      <c r="D599" s="2963">
        <v>-3079</v>
      </c>
      <c r="E599" s="2963" t="s">
        <v>3749</v>
      </c>
      <c r="F599" s="2966">
        <v>160000</v>
      </c>
      <c r="G599" s="2971">
        <v>39.19</v>
      </c>
      <c r="H599" s="2963" t="s">
        <v>3185</v>
      </c>
      <c r="I599" s="2963" t="s">
        <v>3086</v>
      </c>
    </row>
    <row r="600" spans="1:9">
      <c r="A600" s="2963" t="s">
        <v>3328</v>
      </c>
      <c r="B600" s="2963" t="s">
        <v>3355</v>
      </c>
      <c r="D600" s="2963">
        <v>-3080</v>
      </c>
      <c r="E600" s="2963" t="s">
        <v>3750</v>
      </c>
      <c r="F600" s="2966">
        <v>160000</v>
      </c>
      <c r="G600" s="2971">
        <v>39.19</v>
      </c>
      <c r="H600" s="2963" t="s">
        <v>3185</v>
      </c>
      <c r="I600" s="2963" t="s">
        <v>3086</v>
      </c>
    </row>
    <row r="601" spans="1:9">
      <c r="A601" s="2963" t="s">
        <v>3328</v>
      </c>
      <c r="B601" s="2963" t="s">
        <v>3355</v>
      </c>
      <c r="D601" s="2963">
        <v>-3081</v>
      </c>
      <c r="E601" s="2963" t="s">
        <v>3751</v>
      </c>
      <c r="F601" s="2966">
        <v>160000</v>
      </c>
      <c r="G601" s="2971">
        <v>39.19</v>
      </c>
      <c r="H601" s="2963" t="s">
        <v>3185</v>
      </c>
      <c r="I601" s="2963" t="s">
        <v>3086</v>
      </c>
    </row>
    <row r="602" spans="1:9">
      <c r="A602" s="2963" t="s">
        <v>3328</v>
      </c>
      <c r="B602" s="2963" t="s">
        <v>3355</v>
      </c>
      <c r="D602" s="2963">
        <v>-3082</v>
      </c>
      <c r="E602" s="2963" t="s">
        <v>3752</v>
      </c>
      <c r="F602" s="2966">
        <v>160000</v>
      </c>
      <c r="G602" s="2971">
        <v>39.19</v>
      </c>
      <c r="H602" s="2963" t="s">
        <v>3185</v>
      </c>
      <c r="I602" s="2963" t="s">
        <v>3086</v>
      </c>
    </row>
    <row r="603" spans="1:9">
      <c r="A603" s="2963" t="s">
        <v>3328</v>
      </c>
      <c r="B603" s="2963" t="s">
        <v>3355</v>
      </c>
      <c r="D603" s="2963">
        <v>-3083</v>
      </c>
      <c r="E603" s="2963" t="s">
        <v>3753</v>
      </c>
      <c r="F603" s="2966">
        <v>160000</v>
      </c>
      <c r="G603" s="2971">
        <v>39.19</v>
      </c>
      <c r="H603" s="2963" t="s">
        <v>3185</v>
      </c>
      <c r="I603" s="2963" t="s">
        <v>3086</v>
      </c>
    </row>
    <row r="604" spans="1:9">
      <c r="A604" s="2963" t="s">
        <v>3328</v>
      </c>
      <c r="B604" s="2963" t="s">
        <v>3355</v>
      </c>
      <c r="D604" s="2963">
        <v>-3084</v>
      </c>
      <c r="E604" s="2963" t="s">
        <v>3754</v>
      </c>
      <c r="F604" s="2966">
        <v>160000</v>
      </c>
      <c r="G604" s="2971">
        <v>39.19</v>
      </c>
      <c r="H604" s="2963" t="s">
        <v>3185</v>
      </c>
      <c r="I604" s="2963" t="s">
        <v>3086</v>
      </c>
    </row>
    <row r="605" spans="1:9">
      <c r="A605" s="2963" t="s">
        <v>3328</v>
      </c>
      <c r="B605" s="2963" t="s">
        <v>3355</v>
      </c>
      <c r="D605" s="2963">
        <v>-3085</v>
      </c>
      <c r="E605" s="2963" t="s">
        <v>3755</v>
      </c>
      <c r="F605" s="2966">
        <v>160000</v>
      </c>
      <c r="G605" s="2971">
        <v>39.19</v>
      </c>
      <c r="H605" s="2963" t="s">
        <v>3185</v>
      </c>
      <c r="I605" s="2963" t="s">
        <v>3086</v>
      </c>
    </row>
    <row r="606" spans="1:9">
      <c r="A606" s="2963" t="s">
        <v>3328</v>
      </c>
      <c r="B606" s="2963" t="s">
        <v>3355</v>
      </c>
      <c r="D606" s="2963">
        <v>-3086</v>
      </c>
      <c r="E606" s="2963" t="s">
        <v>3756</v>
      </c>
      <c r="F606" s="2966">
        <v>160000</v>
      </c>
      <c r="G606" s="2971">
        <v>39.19</v>
      </c>
      <c r="H606" s="2963" t="s">
        <v>3185</v>
      </c>
      <c r="I606" s="2963" t="s">
        <v>3086</v>
      </c>
    </row>
    <row r="607" spans="1:9">
      <c r="A607" s="2963" t="s">
        <v>3328</v>
      </c>
      <c r="B607" s="2963" t="s">
        <v>3355</v>
      </c>
      <c r="D607" s="2963">
        <v>-3087</v>
      </c>
      <c r="E607" s="2963" t="s">
        <v>3757</v>
      </c>
      <c r="F607" s="2966">
        <v>160000</v>
      </c>
      <c r="G607" s="2971">
        <v>39.19</v>
      </c>
      <c r="H607" s="2963" t="s">
        <v>3185</v>
      </c>
      <c r="I607" s="2963" t="s">
        <v>3086</v>
      </c>
    </row>
    <row r="608" spans="1:9">
      <c r="A608" s="2963" t="s">
        <v>3328</v>
      </c>
      <c r="B608" s="2963" t="s">
        <v>3355</v>
      </c>
      <c r="D608" s="2963">
        <v>-3088</v>
      </c>
      <c r="E608" s="2963" t="s">
        <v>3758</v>
      </c>
      <c r="F608" s="2966">
        <v>160000</v>
      </c>
      <c r="G608" s="2971">
        <v>39.19</v>
      </c>
      <c r="H608" s="2963" t="s">
        <v>3185</v>
      </c>
      <c r="I608" s="2963" t="s">
        <v>3086</v>
      </c>
    </row>
    <row r="609" spans="1:9">
      <c r="A609" s="2963" t="s">
        <v>3328</v>
      </c>
      <c r="B609" s="2963" t="s">
        <v>3355</v>
      </c>
      <c r="D609" s="2963">
        <v>-3090</v>
      </c>
      <c r="E609" s="2963" t="s">
        <v>3759</v>
      </c>
      <c r="F609" s="2966">
        <v>160000</v>
      </c>
      <c r="G609" s="2971">
        <v>39.19</v>
      </c>
      <c r="H609" s="2963" t="s">
        <v>3185</v>
      </c>
      <c r="I609" s="2963" t="s">
        <v>3086</v>
      </c>
    </row>
    <row r="610" spans="1:9">
      <c r="A610" s="2963" t="s">
        <v>3328</v>
      </c>
      <c r="B610" s="2963" t="s">
        <v>3355</v>
      </c>
      <c r="D610" s="2963">
        <v>-3091</v>
      </c>
      <c r="E610" s="2963" t="s">
        <v>3760</v>
      </c>
      <c r="F610" s="2966">
        <v>160000</v>
      </c>
      <c r="G610" s="2971">
        <v>39.19</v>
      </c>
      <c r="H610" s="2963" t="s">
        <v>3185</v>
      </c>
      <c r="I610" s="2963" t="s">
        <v>3086</v>
      </c>
    </row>
    <row r="611" spans="1:9">
      <c r="A611" s="2963" t="s">
        <v>3328</v>
      </c>
      <c r="B611" s="2963" t="s">
        <v>3355</v>
      </c>
      <c r="D611" s="2963">
        <v>-3092</v>
      </c>
      <c r="E611" s="2963" t="s">
        <v>3761</v>
      </c>
      <c r="F611" s="2966">
        <v>160000</v>
      </c>
      <c r="G611" s="2971">
        <v>39.19</v>
      </c>
      <c r="H611" s="2963" t="s">
        <v>3185</v>
      </c>
      <c r="I611" s="2963" t="s">
        <v>3086</v>
      </c>
    </row>
    <row r="612" spans="1:9">
      <c r="A612" s="2963" t="s">
        <v>3328</v>
      </c>
      <c r="B612" s="2963" t="s">
        <v>3355</v>
      </c>
      <c r="D612" s="2963">
        <v>-3093</v>
      </c>
      <c r="E612" s="2963" t="s">
        <v>3762</v>
      </c>
      <c r="F612" s="2966">
        <v>160000</v>
      </c>
      <c r="G612" s="2971">
        <v>39.19</v>
      </c>
      <c r="H612" s="2963" t="s">
        <v>3185</v>
      </c>
      <c r="I612" s="2963" t="s">
        <v>3086</v>
      </c>
    </row>
    <row r="613" spans="1:9">
      <c r="A613" s="2963" t="s">
        <v>3328</v>
      </c>
      <c r="B613" s="2963" t="s">
        <v>3355</v>
      </c>
      <c r="D613" s="2963">
        <v>-3094</v>
      </c>
      <c r="E613" s="2963" t="s">
        <v>3763</v>
      </c>
      <c r="F613" s="2966">
        <v>160000</v>
      </c>
      <c r="G613" s="2971">
        <v>39.19</v>
      </c>
      <c r="H613" s="2963" t="s">
        <v>3185</v>
      </c>
      <c r="I613" s="2963" t="s">
        <v>3086</v>
      </c>
    </row>
    <row r="614" spans="1:9">
      <c r="A614" s="2963" t="s">
        <v>3328</v>
      </c>
      <c r="B614" s="2963" t="s">
        <v>3355</v>
      </c>
      <c r="D614" s="2963">
        <v>-3095</v>
      </c>
      <c r="E614" s="2963" t="s">
        <v>3764</v>
      </c>
      <c r="F614" s="2966">
        <v>160000</v>
      </c>
      <c r="G614" s="2971">
        <v>39.19</v>
      </c>
      <c r="H614" s="2963" t="s">
        <v>3185</v>
      </c>
      <c r="I614" s="2963" t="s">
        <v>3086</v>
      </c>
    </row>
    <row r="615" spans="1:9">
      <c r="A615" s="2963" t="s">
        <v>3328</v>
      </c>
      <c r="B615" s="2963" t="s">
        <v>3355</v>
      </c>
      <c r="D615" s="2963">
        <v>-3096</v>
      </c>
      <c r="E615" s="2963" t="s">
        <v>3765</v>
      </c>
      <c r="F615" s="2966">
        <v>160000</v>
      </c>
      <c r="G615" s="2971">
        <v>39.19</v>
      </c>
      <c r="H615" s="2963" t="s">
        <v>3185</v>
      </c>
      <c r="I615" s="2963" t="s">
        <v>3086</v>
      </c>
    </row>
    <row r="616" spans="1:9">
      <c r="A616" s="2963" t="s">
        <v>3328</v>
      </c>
      <c r="B616" s="2963" t="s">
        <v>3355</v>
      </c>
      <c r="D616" s="2963">
        <v>-3097</v>
      </c>
      <c r="E616" s="2963" t="s">
        <v>3766</v>
      </c>
      <c r="F616" s="2966">
        <v>160000</v>
      </c>
      <c r="G616" s="2971">
        <v>39.19</v>
      </c>
      <c r="H616" s="2963" t="s">
        <v>3185</v>
      </c>
      <c r="I616" s="2963" t="s">
        <v>3086</v>
      </c>
    </row>
    <row r="617" spans="1:9">
      <c r="A617" s="2963" t="s">
        <v>3328</v>
      </c>
      <c r="B617" s="2963" t="s">
        <v>3355</v>
      </c>
      <c r="D617" s="2963">
        <v>-3098</v>
      </c>
      <c r="E617" s="2963" t="s">
        <v>3767</v>
      </c>
      <c r="F617" s="2966">
        <v>160000</v>
      </c>
      <c r="G617" s="2971">
        <v>39.19</v>
      </c>
      <c r="H617" s="2963" t="s">
        <v>3185</v>
      </c>
      <c r="I617" s="2963" t="s">
        <v>3086</v>
      </c>
    </row>
    <row r="618" spans="1:9">
      <c r="A618" s="2963" t="s">
        <v>3328</v>
      </c>
      <c r="B618" s="2963" t="s">
        <v>3355</v>
      </c>
      <c r="D618" s="2963">
        <v>-3099</v>
      </c>
      <c r="E618" s="2963" t="s">
        <v>3768</v>
      </c>
      <c r="F618" s="2966">
        <v>160000</v>
      </c>
      <c r="G618" s="2971">
        <v>39.19</v>
      </c>
      <c r="H618" s="2963" t="s">
        <v>3185</v>
      </c>
      <c r="I618" s="2963" t="s">
        <v>3086</v>
      </c>
    </row>
    <row r="619" spans="1:9">
      <c r="A619" s="2963" t="s">
        <v>3328</v>
      </c>
      <c r="B619" s="2963" t="s">
        <v>3355</v>
      </c>
      <c r="D619" s="2963">
        <v>-3100</v>
      </c>
      <c r="E619" s="2963" t="s">
        <v>3769</v>
      </c>
      <c r="F619" s="2966">
        <v>160000</v>
      </c>
      <c r="G619" s="2971">
        <v>39.19</v>
      </c>
      <c r="H619" s="2963" t="s">
        <v>3185</v>
      </c>
      <c r="I619" s="2963" t="s">
        <v>3086</v>
      </c>
    </row>
    <row r="620" spans="1:9">
      <c r="A620" s="2963" t="s">
        <v>3328</v>
      </c>
      <c r="B620" s="2963" t="s">
        <v>3355</v>
      </c>
      <c r="D620" s="2963">
        <v>-3101</v>
      </c>
      <c r="E620" s="2963" t="s">
        <v>3770</v>
      </c>
      <c r="F620" s="2966">
        <v>160000</v>
      </c>
      <c r="G620" s="2971">
        <v>39.19</v>
      </c>
      <c r="H620" s="2963" t="s">
        <v>3185</v>
      </c>
      <c r="I620" s="2963" t="s">
        <v>3086</v>
      </c>
    </row>
    <row r="621" spans="1:9">
      <c r="A621" s="2963" t="s">
        <v>3328</v>
      </c>
      <c r="B621" s="2963" t="s">
        <v>3355</v>
      </c>
      <c r="D621" s="2963">
        <v>-3102</v>
      </c>
      <c r="E621" s="2963" t="s">
        <v>3771</v>
      </c>
      <c r="F621" s="2966">
        <v>160000</v>
      </c>
      <c r="G621" s="2971">
        <v>39.19</v>
      </c>
      <c r="H621" s="2963" t="s">
        <v>3185</v>
      </c>
      <c r="I621" s="2963" t="s">
        <v>3086</v>
      </c>
    </row>
    <row r="622" spans="1:9">
      <c r="A622" s="2963" t="s">
        <v>3328</v>
      </c>
      <c r="B622" s="2963" t="s">
        <v>3355</v>
      </c>
      <c r="D622" s="2963">
        <v>-3103</v>
      </c>
      <c r="E622" s="2963" t="s">
        <v>3772</v>
      </c>
      <c r="F622" s="2966">
        <v>160000</v>
      </c>
      <c r="G622" s="2971">
        <v>39.19</v>
      </c>
      <c r="H622" s="2963" t="s">
        <v>3185</v>
      </c>
      <c r="I622" s="2963" t="s">
        <v>3086</v>
      </c>
    </row>
    <row r="623" spans="1:9">
      <c r="A623" s="2963" t="s">
        <v>3328</v>
      </c>
      <c r="B623" s="2963" t="s">
        <v>3355</v>
      </c>
      <c r="D623" s="2963">
        <v>-3104</v>
      </c>
      <c r="E623" s="2963" t="s">
        <v>3773</v>
      </c>
      <c r="F623" s="2966">
        <v>160000</v>
      </c>
      <c r="G623" s="2971">
        <v>39.19</v>
      </c>
      <c r="H623" s="2963" t="s">
        <v>3185</v>
      </c>
      <c r="I623" s="2963" t="s">
        <v>3086</v>
      </c>
    </row>
    <row r="624" spans="1:9">
      <c r="A624" s="2963" t="s">
        <v>3328</v>
      </c>
      <c r="B624" s="2963" t="s">
        <v>3355</v>
      </c>
      <c r="D624" s="2963">
        <v>-3105</v>
      </c>
      <c r="E624" s="2963" t="s">
        <v>3774</v>
      </c>
      <c r="F624" s="2966">
        <v>160000</v>
      </c>
      <c r="G624" s="2971">
        <v>39.19</v>
      </c>
      <c r="H624" s="2963" t="s">
        <v>3185</v>
      </c>
      <c r="I624" s="2963" t="s">
        <v>3086</v>
      </c>
    </row>
    <row r="625" spans="1:9">
      <c r="A625" s="2963" t="s">
        <v>3328</v>
      </c>
      <c r="B625" s="2963" t="s">
        <v>3355</v>
      </c>
      <c r="D625" s="2963">
        <v>-3106</v>
      </c>
      <c r="E625" s="2963" t="s">
        <v>3775</v>
      </c>
      <c r="F625" s="2966">
        <v>160000</v>
      </c>
      <c r="G625" s="2971">
        <v>39.19</v>
      </c>
      <c r="H625" s="2963" t="s">
        <v>3185</v>
      </c>
      <c r="I625" s="2963" t="s">
        <v>3086</v>
      </c>
    </row>
    <row r="626" spans="1:9">
      <c r="A626" s="2963" t="s">
        <v>3328</v>
      </c>
      <c r="B626" s="2963" t="s">
        <v>3355</v>
      </c>
      <c r="D626" s="2963">
        <v>-3107</v>
      </c>
      <c r="E626" s="2963" t="s">
        <v>3776</v>
      </c>
      <c r="F626" s="2966">
        <v>160000</v>
      </c>
      <c r="G626" s="2971">
        <v>39.19</v>
      </c>
      <c r="H626" s="2963" t="s">
        <v>3185</v>
      </c>
      <c r="I626" s="2963" t="s">
        <v>3086</v>
      </c>
    </row>
    <row r="627" spans="1:9">
      <c r="A627" s="2963" t="s">
        <v>3328</v>
      </c>
      <c r="B627" s="2963" t="s">
        <v>3355</v>
      </c>
      <c r="D627" s="2963">
        <v>-3108</v>
      </c>
      <c r="E627" s="2963" t="s">
        <v>3777</v>
      </c>
      <c r="F627" s="2966">
        <v>160000</v>
      </c>
      <c r="G627" s="2971">
        <v>39.19</v>
      </c>
      <c r="H627" s="2963" t="s">
        <v>3185</v>
      </c>
      <c r="I627" s="2963" t="s">
        <v>3086</v>
      </c>
    </row>
    <row r="628" spans="1:9">
      <c r="A628" s="2963" t="s">
        <v>3328</v>
      </c>
      <c r="B628" s="2963" t="s">
        <v>3355</v>
      </c>
      <c r="D628" s="2963">
        <v>-3109</v>
      </c>
      <c r="E628" s="2963" t="s">
        <v>3778</v>
      </c>
      <c r="F628" s="2966">
        <v>160000</v>
      </c>
      <c r="G628" s="2971">
        <v>39.19</v>
      </c>
      <c r="H628" s="2963" t="s">
        <v>3185</v>
      </c>
      <c r="I628" s="2963" t="s">
        <v>3086</v>
      </c>
    </row>
    <row r="629" spans="1:9">
      <c r="A629" s="2963" t="s">
        <v>3328</v>
      </c>
      <c r="B629" s="2963" t="s">
        <v>3355</v>
      </c>
      <c r="D629" s="2963">
        <v>-3110</v>
      </c>
      <c r="E629" s="2963" t="s">
        <v>3779</v>
      </c>
      <c r="F629" s="2966">
        <v>160000</v>
      </c>
      <c r="G629" s="2971">
        <v>39.19</v>
      </c>
      <c r="H629" s="2963" t="s">
        <v>3185</v>
      </c>
      <c r="I629" s="2963" t="s">
        <v>3086</v>
      </c>
    </row>
    <row r="630" spans="1:9">
      <c r="A630" s="2963" t="s">
        <v>3328</v>
      </c>
      <c r="B630" s="2963" t="s">
        <v>3355</v>
      </c>
      <c r="D630" s="2963">
        <v>-3111</v>
      </c>
      <c r="E630" s="2963" t="s">
        <v>3780</v>
      </c>
      <c r="F630" s="2966">
        <v>160000</v>
      </c>
      <c r="G630" s="2971">
        <v>39.19</v>
      </c>
      <c r="H630" s="2963" t="s">
        <v>3185</v>
      </c>
      <c r="I630" s="2963" t="s">
        <v>3086</v>
      </c>
    </row>
    <row r="631" spans="1:9">
      <c r="A631" s="2963" t="s">
        <v>3328</v>
      </c>
      <c r="B631" s="2963" t="s">
        <v>3355</v>
      </c>
      <c r="D631" s="2963">
        <v>-3112</v>
      </c>
      <c r="E631" s="2963" t="s">
        <v>3781</v>
      </c>
      <c r="F631" s="2966">
        <v>160000</v>
      </c>
      <c r="G631" s="2971">
        <v>39.19</v>
      </c>
      <c r="H631" s="2963" t="s">
        <v>3185</v>
      </c>
      <c r="I631" s="2963" t="s">
        <v>3086</v>
      </c>
    </row>
    <row r="632" spans="1:9">
      <c r="A632" s="2963" t="s">
        <v>3328</v>
      </c>
      <c r="B632" s="2963" t="s">
        <v>3355</v>
      </c>
      <c r="D632" s="2963">
        <v>-3113</v>
      </c>
      <c r="E632" s="2963" t="s">
        <v>3782</v>
      </c>
      <c r="F632" s="2966">
        <v>160000</v>
      </c>
      <c r="G632" s="2971">
        <v>39.19</v>
      </c>
      <c r="H632" s="2963" t="s">
        <v>3185</v>
      </c>
      <c r="I632" s="2963" t="s">
        <v>3086</v>
      </c>
    </row>
    <row r="633" spans="1:9">
      <c r="A633" s="2963" t="s">
        <v>3328</v>
      </c>
      <c r="B633" s="2963" t="s">
        <v>3355</v>
      </c>
      <c r="D633" s="2963">
        <v>-3114</v>
      </c>
      <c r="E633" s="2963" t="s">
        <v>3783</v>
      </c>
      <c r="F633" s="2966">
        <v>160000</v>
      </c>
      <c r="G633" s="2971">
        <v>39.19</v>
      </c>
      <c r="H633" s="2963" t="s">
        <v>3185</v>
      </c>
      <c r="I633" s="2963" t="s">
        <v>3086</v>
      </c>
    </row>
    <row r="634" spans="1:9">
      <c r="A634" s="2963" t="s">
        <v>3328</v>
      </c>
      <c r="B634" s="2963" t="s">
        <v>3355</v>
      </c>
      <c r="D634" s="2963">
        <v>-3115</v>
      </c>
      <c r="E634" s="2963" t="s">
        <v>3784</v>
      </c>
      <c r="F634" s="2966">
        <v>160000</v>
      </c>
      <c r="G634" s="2971">
        <v>39.19</v>
      </c>
      <c r="H634" s="2963" t="s">
        <v>3185</v>
      </c>
      <c r="I634" s="2963" t="s">
        <v>3086</v>
      </c>
    </row>
    <row r="635" spans="1:9">
      <c r="A635" s="2963" t="s">
        <v>3328</v>
      </c>
      <c r="B635" s="2963" t="s">
        <v>3355</v>
      </c>
      <c r="D635" s="2963">
        <v>-3116</v>
      </c>
      <c r="E635" s="2963" t="s">
        <v>3785</v>
      </c>
      <c r="F635" s="2966">
        <v>160000</v>
      </c>
      <c r="G635" s="2971">
        <v>39.19</v>
      </c>
      <c r="H635" s="2963" t="s">
        <v>3185</v>
      </c>
      <c r="I635" s="2963" t="s">
        <v>3086</v>
      </c>
    </row>
    <row r="636" spans="1:9">
      <c r="A636" s="2963" t="s">
        <v>3328</v>
      </c>
      <c r="B636" s="2963" t="s">
        <v>3355</v>
      </c>
      <c r="D636" s="2963">
        <v>-3117</v>
      </c>
      <c r="E636" s="2963" t="s">
        <v>3786</v>
      </c>
      <c r="F636" s="2966">
        <v>160000</v>
      </c>
      <c r="G636" s="2971">
        <v>39.19</v>
      </c>
      <c r="H636" s="2963" t="s">
        <v>3185</v>
      </c>
      <c r="I636" s="2963" t="s">
        <v>3086</v>
      </c>
    </row>
    <row r="637" spans="1:9">
      <c r="A637" s="2963" t="s">
        <v>3328</v>
      </c>
      <c r="B637" s="2963" t="s">
        <v>3355</v>
      </c>
      <c r="D637" s="2963">
        <v>-3118</v>
      </c>
      <c r="E637" s="2963" t="s">
        <v>3787</v>
      </c>
      <c r="F637" s="2966">
        <v>160000</v>
      </c>
      <c r="G637" s="2971">
        <v>39.19</v>
      </c>
      <c r="H637" s="2963" t="s">
        <v>3185</v>
      </c>
      <c r="I637" s="2963" t="s">
        <v>3086</v>
      </c>
    </row>
    <row r="638" spans="1:9">
      <c r="A638" s="2963" t="s">
        <v>3328</v>
      </c>
      <c r="B638" s="2963" t="s">
        <v>3355</v>
      </c>
      <c r="D638" s="2963">
        <v>-3119</v>
      </c>
      <c r="E638" s="2963" t="s">
        <v>3788</v>
      </c>
      <c r="F638" s="2966">
        <v>160000</v>
      </c>
      <c r="G638" s="2971">
        <v>39.19</v>
      </c>
      <c r="H638" s="2963" t="s">
        <v>3185</v>
      </c>
      <c r="I638" s="2963" t="s">
        <v>3086</v>
      </c>
    </row>
    <row r="639" spans="1:9">
      <c r="A639" s="2963" t="s">
        <v>3328</v>
      </c>
      <c r="B639" s="2963" t="s">
        <v>3355</v>
      </c>
      <c r="D639" s="2963">
        <v>-3120</v>
      </c>
      <c r="E639" s="2963" t="s">
        <v>3789</v>
      </c>
      <c r="F639" s="2966">
        <v>160000</v>
      </c>
      <c r="G639" s="2971">
        <v>39.19</v>
      </c>
      <c r="H639" s="2963" t="s">
        <v>3185</v>
      </c>
      <c r="I639" s="2963" t="s">
        <v>3086</v>
      </c>
    </row>
    <row r="640" spans="1:9">
      <c r="A640" s="2963" t="s">
        <v>3328</v>
      </c>
      <c r="B640" s="2963" t="s">
        <v>3355</v>
      </c>
      <c r="D640" s="2963">
        <v>-3121</v>
      </c>
      <c r="E640" s="2963" t="s">
        <v>3790</v>
      </c>
      <c r="F640" s="2966">
        <v>160000</v>
      </c>
      <c r="G640" s="2971">
        <v>39.19</v>
      </c>
      <c r="H640" s="2963" t="s">
        <v>3185</v>
      </c>
      <c r="I640" s="2963" t="s">
        <v>3086</v>
      </c>
    </row>
    <row r="641" spans="1:9">
      <c r="A641" s="2963" t="s">
        <v>3328</v>
      </c>
      <c r="B641" s="2963" t="s">
        <v>3355</v>
      </c>
      <c r="D641" s="2963">
        <v>-3122</v>
      </c>
      <c r="E641" s="2963" t="s">
        <v>3791</v>
      </c>
      <c r="F641" s="2966">
        <v>160000</v>
      </c>
      <c r="G641" s="2971">
        <v>39.19</v>
      </c>
      <c r="H641" s="2963" t="s">
        <v>3185</v>
      </c>
      <c r="I641" s="2963" t="s">
        <v>3086</v>
      </c>
    </row>
    <row r="642" spans="1:9">
      <c r="A642" s="2963" t="s">
        <v>3328</v>
      </c>
      <c r="B642" s="2963" t="s">
        <v>3355</v>
      </c>
      <c r="D642" s="2963">
        <v>-3123</v>
      </c>
      <c r="E642" s="2963" t="s">
        <v>3792</v>
      </c>
      <c r="F642" s="2966">
        <v>160000</v>
      </c>
      <c r="G642" s="2971">
        <v>39.19</v>
      </c>
      <c r="H642" s="2963" t="s">
        <v>3185</v>
      </c>
      <c r="I642" s="2963" t="s">
        <v>3086</v>
      </c>
    </row>
    <row r="643" spans="1:9">
      <c r="A643" s="2963" t="s">
        <v>3328</v>
      </c>
      <c r="B643" s="2963" t="s">
        <v>3355</v>
      </c>
      <c r="D643" s="2963">
        <v>-3124</v>
      </c>
      <c r="E643" s="2963" t="s">
        <v>3793</v>
      </c>
      <c r="F643" s="2966">
        <v>160000</v>
      </c>
      <c r="G643" s="2971">
        <v>39.19</v>
      </c>
      <c r="H643" s="2963" t="s">
        <v>3185</v>
      </c>
      <c r="I643" s="2963" t="s">
        <v>3086</v>
      </c>
    </row>
    <row r="644" spans="1:9">
      <c r="A644" s="2963" t="s">
        <v>3328</v>
      </c>
      <c r="B644" s="2963" t="s">
        <v>3355</v>
      </c>
      <c r="D644" s="2963">
        <v>-3125</v>
      </c>
      <c r="E644" s="2963" t="s">
        <v>3794</v>
      </c>
      <c r="F644" s="2966">
        <v>160000</v>
      </c>
      <c r="G644" s="2971">
        <v>39.19</v>
      </c>
      <c r="H644" s="2963" t="s">
        <v>3185</v>
      </c>
      <c r="I644" s="2963" t="s">
        <v>3086</v>
      </c>
    </row>
    <row r="645" spans="1:9">
      <c r="A645" s="2963" t="s">
        <v>3328</v>
      </c>
      <c r="B645" s="2963" t="s">
        <v>3355</v>
      </c>
      <c r="D645" s="2963">
        <v>-3126</v>
      </c>
      <c r="E645" s="2963" t="s">
        <v>3795</v>
      </c>
      <c r="F645" s="2966">
        <v>160000</v>
      </c>
      <c r="G645" s="2971">
        <v>39.19</v>
      </c>
      <c r="H645" s="2963" t="s">
        <v>3185</v>
      </c>
      <c r="I645" s="2963" t="s">
        <v>3086</v>
      </c>
    </row>
    <row r="646" spans="1:9">
      <c r="A646" s="2963" t="s">
        <v>3328</v>
      </c>
      <c r="B646" s="2963" t="s">
        <v>3355</v>
      </c>
      <c r="D646" s="2963">
        <v>-3127</v>
      </c>
      <c r="E646" s="2963" t="s">
        <v>3796</v>
      </c>
      <c r="F646" s="2966">
        <v>160000</v>
      </c>
      <c r="G646" s="2971">
        <v>39.19</v>
      </c>
      <c r="H646" s="2963" t="s">
        <v>3185</v>
      </c>
      <c r="I646" s="2963" t="s">
        <v>3086</v>
      </c>
    </row>
    <row r="647" spans="1:9">
      <c r="A647" s="2963" t="s">
        <v>3328</v>
      </c>
      <c r="B647" s="2963" t="s">
        <v>3355</v>
      </c>
      <c r="D647" s="2963">
        <v>-3128</v>
      </c>
      <c r="E647" s="2963" t="s">
        <v>3797</v>
      </c>
      <c r="F647" s="2966">
        <v>160000</v>
      </c>
      <c r="G647" s="2971">
        <v>39.19</v>
      </c>
      <c r="H647" s="2963" t="s">
        <v>3185</v>
      </c>
      <c r="I647" s="2963" t="s">
        <v>3086</v>
      </c>
    </row>
    <row r="648" spans="1:9">
      <c r="A648" s="2963" t="s">
        <v>3328</v>
      </c>
      <c r="B648" s="2963" t="s">
        <v>3355</v>
      </c>
      <c r="D648" s="2963">
        <v>-3129</v>
      </c>
      <c r="E648" s="2963" t="s">
        <v>3798</v>
      </c>
      <c r="F648" s="2966">
        <v>160000</v>
      </c>
      <c r="G648" s="2971">
        <v>39.19</v>
      </c>
      <c r="H648" s="2963" t="s">
        <v>3185</v>
      </c>
      <c r="I648" s="2963" t="s">
        <v>3086</v>
      </c>
    </row>
    <row r="649" spans="1:9">
      <c r="A649" s="2963" t="s">
        <v>3328</v>
      </c>
      <c r="B649" s="2963" t="s">
        <v>3355</v>
      </c>
      <c r="D649" s="2963">
        <v>-3130</v>
      </c>
      <c r="E649" s="2963" t="s">
        <v>3799</v>
      </c>
      <c r="F649" s="2966">
        <v>160000</v>
      </c>
      <c r="G649" s="2971">
        <v>39.19</v>
      </c>
      <c r="H649" s="2963" t="s">
        <v>3185</v>
      </c>
      <c r="I649" s="2963" t="s">
        <v>3086</v>
      </c>
    </row>
    <row r="650" spans="1:9">
      <c r="A650" s="2963" t="s">
        <v>3328</v>
      </c>
      <c r="B650" s="2963" t="s">
        <v>3355</v>
      </c>
      <c r="D650" s="2963">
        <v>-3131</v>
      </c>
      <c r="E650" s="2963" t="s">
        <v>3800</v>
      </c>
      <c r="F650" s="2966">
        <v>160000</v>
      </c>
      <c r="G650" s="2971">
        <v>39.19</v>
      </c>
      <c r="H650" s="2963" t="s">
        <v>3185</v>
      </c>
      <c r="I650" s="2963" t="s">
        <v>3086</v>
      </c>
    </row>
    <row r="651" spans="1:9">
      <c r="A651" s="2963" t="s">
        <v>3328</v>
      </c>
      <c r="B651" s="2963" t="s">
        <v>3355</v>
      </c>
      <c r="D651" s="2963">
        <v>-3132</v>
      </c>
      <c r="E651" s="2963" t="s">
        <v>3801</v>
      </c>
      <c r="F651" s="2966">
        <v>160000</v>
      </c>
      <c r="G651" s="2971">
        <v>39.19</v>
      </c>
      <c r="H651" s="2963" t="s">
        <v>3185</v>
      </c>
      <c r="I651" s="2963" t="s">
        <v>3086</v>
      </c>
    </row>
    <row r="652" spans="1:9">
      <c r="A652" s="2963" t="s">
        <v>3328</v>
      </c>
      <c r="B652" s="2963" t="s">
        <v>3355</v>
      </c>
      <c r="D652" s="2963">
        <v>-3133</v>
      </c>
      <c r="E652" s="2963" t="s">
        <v>3802</v>
      </c>
      <c r="F652" s="2966">
        <v>160000</v>
      </c>
      <c r="G652" s="2971">
        <v>39.19</v>
      </c>
      <c r="H652" s="2963" t="s">
        <v>3185</v>
      </c>
      <c r="I652" s="2963" t="s">
        <v>3086</v>
      </c>
    </row>
    <row r="653" spans="1:9">
      <c r="A653" s="2963" t="s">
        <v>3328</v>
      </c>
      <c r="B653" s="2963" t="s">
        <v>3355</v>
      </c>
      <c r="D653" s="2963">
        <v>-3134</v>
      </c>
      <c r="E653" s="2963" t="s">
        <v>3803</v>
      </c>
      <c r="F653" s="2966">
        <v>160000</v>
      </c>
      <c r="G653" s="2971">
        <v>39.19</v>
      </c>
      <c r="H653" s="2963" t="s">
        <v>3185</v>
      </c>
      <c r="I653" s="2963" t="s">
        <v>3086</v>
      </c>
    </row>
    <row r="654" spans="1:9">
      <c r="A654" s="2963" t="s">
        <v>3328</v>
      </c>
      <c r="B654" s="2963" t="s">
        <v>3355</v>
      </c>
      <c r="D654" s="2963">
        <v>-3135</v>
      </c>
      <c r="E654" s="2963" t="s">
        <v>3804</v>
      </c>
      <c r="F654" s="2966">
        <v>160000</v>
      </c>
      <c r="G654" s="2971">
        <v>39.19</v>
      </c>
      <c r="H654" s="2963" t="s">
        <v>3185</v>
      </c>
      <c r="I654" s="2963" t="s">
        <v>3086</v>
      </c>
    </row>
    <row r="655" spans="1:9">
      <c r="A655" s="2963" t="s">
        <v>3328</v>
      </c>
      <c r="B655" s="2963" t="s">
        <v>3355</v>
      </c>
      <c r="D655" s="2963">
        <v>-3136</v>
      </c>
      <c r="E655" s="2963" t="s">
        <v>3805</v>
      </c>
      <c r="F655" s="2966">
        <v>160000</v>
      </c>
      <c r="G655" s="2971">
        <v>39.19</v>
      </c>
      <c r="H655" s="2963" t="s">
        <v>3185</v>
      </c>
      <c r="I655" s="2963" t="s">
        <v>3086</v>
      </c>
    </row>
    <row r="656" spans="1:9">
      <c r="A656" s="2963" t="s">
        <v>3328</v>
      </c>
      <c r="B656" s="2963" t="s">
        <v>3355</v>
      </c>
      <c r="D656" s="2963">
        <v>-3137</v>
      </c>
      <c r="E656" s="2963" t="s">
        <v>3806</v>
      </c>
      <c r="F656" s="2966">
        <v>160000</v>
      </c>
      <c r="G656" s="2971">
        <v>39.19</v>
      </c>
      <c r="H656" s="2963" t="s">
        <v>3185</v>
      </c>
      <c r="I656" s="2963" t="s">
        <v>3086</v>
      </c>
    </row>
    <row r="657" spans="1:9">
      <c r="A657" s="2963" t="s">
        <v>3328</v>
      </c>
      <c r="B657" s="2963" t="s">
        <v>3355</v>
      </c>
      <c r="D657" s="2963">
        <v>-3138</v>
      </c>
      <c r="E657" s="2963" t="s">
        <v>3807</v>
      </c>
      <c r="F657" s="2966">
        <v>160000</v>
      </c>
      <c r="G657" s="2971">
        <v>39.19</v>
      </c>
      <c r="H657" s="2963" t="s">
        <v>3185</v>
      </c>
      <c r="I657" s="2963" t="s">
        <v>3086</v>
      </c>
    </row>
    <row r="658" spans="1:9">
      <c r="A658" s="2963" t="s">
        <v>3328</v>
      </c>
      <c r="B658" s="2963" t="s">
        <v>3355</v>
      </c>
      <c r="D658" s="2963">
        <v>-3139</v>
      </c>
      <c r="E658" s="2963" t="s">
        <v>3808</v>
      </c>
      <c r="F658" s="2966">
        <v>160000</v>
      </c>
      <c r="G658" s="2971">
        <v>39.19</v>
      </c>
      <c r="H658" s="2963" t="s">
        <v>3185</v>
      </c>
      <c r="I658" s="2963" t="s">
        <v>3086</v>
      </c>
    </row>
    <row r="659" spans="1:9">
      <c r="A659" s="2963" t="s">
        <v>3328</v>
      </c>
      <c r="B659" s="2963" t="s">
        <v>3355</v>
      </c>
      <c r="D659" s="2963">
        <v>-3140</v>
      </c>
      <c r="E659" s="2963" t="s">
        <v>3809</v>
      </c>
      <c r="F659" s="2966">
        <v>160000</v>
      </c>
      <c r="G659" s="2971">
        <v>39.19</v>
      </c>
      <c r="H659" s="2963" t="s">
        <v>3185</v>
      </c>
      <c r="I659" s="2963" t="s">
        <v>3086</v>
      </c>
    </row>
    <row r="660" spans="1:9">
      <c r="A660" s="2963" t="s">
        <v>3328</v>
      </c>
      <c r="B660" s="2963" t="s">
        <v>3355</v>
      </c>
      <c r="D660" s="2963">
        <v>-3141</v>
      </c>
      <c r="E660" s="2963" t="s">
        <v>3810</v>
      </c>
      <c r="F660" s="2966">
        <v>160000</v>
      </c>
      <c r="G660" s="2971">
        <v>39.19</v>
      </c>
      <c r="H660" s="2963" t="s">
        <v>3185</v>
      </c>
      <c r="I660" s="2963" t="s">
        <v>3086</v>
      </c>
    </row>
    <row r="661" spans="1:9">
      <c r="A661" s="2963" t="s">
        <v>3328</v>
      </c>
      <c r="B661" s="2963" t="s">
        <v>3355</v>
      </c>
      <c r="D661" s="2963">
        <v>-3142</v>
      </c>
      <c r="E661" s="2963" t="s">
        <v>3811</v>
      </c>
      <c r="F661" s="2966">
        <v>160000</v>
      </c>
      <c r="G661" s="2971">
        <v>39.19</v>
      </c>
      <c r="H661" s="2963" t="s">
        <v>3185</v>
      </c>
      <c r="I661" s="2963" t="s">
        <v>3086</v>
      </c>
    </row>
    <row r="662" spans="1:9">
      <c r="A662" s="2963" t="s">
        <v>3328</v>
      </c>
      <c r="B662" s="2963" t="s">
        <v>3355</v>
      </c>
      <c r="D662" s="2963">
        <v>-3143</v>
      </c>
      <c r="E662" s="2963" t="s">
        <v>3812</v>
      </c>
      <c r="F662" s="2966">
        <v>160000</v>
      </c>
      <c r="G662" s="2971">
        <v>39.19</v>
      </c>
      <c r="H662" s="2963" t="s">
        <v>3185</v>
      </c>
      <c r="I662" s="2963" t="s">
        <v>3086</v>
      </c>
    </row>
    <row r="663" spans="1:9">
      <c r="A663" s="2963" t="s">
        <v>3328</v>
      </c>
      <c r="B663" s="2963" t="s">
        <v>3355</v>
      </c>
      <c r="D663" s="2963">
        <v>-3144</v>
      </c>
      <c r="E663" s="2963" t="s">
        <v>3813</v>
      </c>
      <c r="F663" s="2966">
        <v>160000</v>
      </c>
      <c r="G663" s="2971">
        <v>39.19</v>
      </c>
      <c r="H663" s="2963" t="s">
        <v>3185</v>
      </c>
      <c r="I663" s="2963" t="s">
        <v>3086</v>
      </c>
    </row>
    <row r="664" spans="1:9">
      <c r="A664" s="2963" t="s">
        <v>3328</v>
      </c>
      <c r="B664" s="2963" t="s">
        <v>3355</v>
      </c>
      <c r="D664" s="2963">
        <v>-3145</v>
      </c>
      <c r="E664" s="2963" t="s">
        <v>3814</v>
      </c>
      <c r="F664" s="2966">
        <v>160000</v>
      </c>
      <c r="G664" s="2971">
        <v>39.19</v>
      </c>
      <c r="H664" s="2963" t="s">
        <v>3185</v>
      </c>
      <c r="I664" s="2963" t="s">
        <v>3086</v>
      </c>
    </row>
    <row r="665" spans="1:9">
      <c r="A665" s="2963" t="s">
        <v>3328</v>
      </c>
      <c r="B665" s="2963" t="s">
        <v>3355</v>
      </c>
      <c r="D665" s="2963">
        <v>-3146</v>
      </c>
      <c r="E665" s="2963" t="s">
        <v>3815</v>
      </c>
      <c r="F665" s="2966">
        <v>160000</v>
      </c>
      <c r="G665" s="2971">
        <v>39.19</v>
      </c>
      <c r="H665" s="2963" t="s">
        <v>3185</v>
      </c>
      <c r="I665" s="2963" t="s">
        <v>3086</v>
      </c>
    </row>
    <row r="666" spans="1:9">
      <c r="A666" s="2963" t="s">
        <v>3328</v>
      </c>
      <c r="B666" s="2963" t="s">
        <v>3355</v>
      </c>
      <c r="D666" s="2963">
        <v>-3147</v>
      </c>
      <c r="E666" s="2963" t="s">
        <v>3816</v>
      </c>
      <c r="F666" s="2966">
        <v>160000</v>
      </c>
      <c r="G666" s="2971">
        <v>39.19</v>
      </c>
      <c r="H666" s="2963" t="s">
        <v>3185</v>
      </c>
      <c r="I666" s="2963" t="s">
        <v>3086</v>
      </c>
    </row>
    <row r="667" spans="1:9">
      <c r="A667" s="2963" t="s">
        <v>3328</v>
      </c>
      <c r="B667" s="2963" t="s">
        <v>3355</v>
      </c>
      <c r="D667" s="2963">
        <v>-3148</v>
      </c>
      <c r="E667" s="2963" t="s">
        <v>3817</v>
      </c>
      <c r="F667" s="2966">
        <v>160000</v>
      </c>
      <c r="G667" s="2971">
        <v>39.19</v>
      </c>
      <c r="H667" s="2963" t="s">
        <v>3185</v>
      </c>
      <c r="I667" s="2963" t="s">
        <v>3086</v>
      </c>
    </row>
    <row r="668" spans="1:9">
      <c r="A668" s="2963" t="s">
        <v>3328</v>
      </c>
      <c r="B668" s="2963" t="s">
        <v>3355</v>
      </c>
      <c r="D668" s="2963">
        <v>-3149</v>
      </c>
      <c r="E668" s="2963" t="s">
        <v>3818</v>
      </c>
      <c r="F668" s="2966">
        <v>160000</v>
      </c>
      <c r="G668" s="2971">
        <v>39.19</v>
      </c>
      <c r="H668" s="2963" t="s">
        <v>3185</v>
      </c>
      <c r="I668" s="2963" t="s">
        <v>3086</v>
      </c>
    </row>
    <row r="669" spans="1:9">
      <c r="A669" s="2963" t="s">
        <v>3328</v>
      </c>
      <c r="B669" s="2963" t="s">
        <v>3355</v>
      </c>
      <c r="D669" s="2963">
        <v>-3150</v>
      </c>
      <c r="E669" s="2963" t="s">
        <v>3819</v>
      </c>
      <c r="F669" s="2966">
        <v>160000</v>
      </c>
      <c r="G669" s="2971">
        <v>39.19</v>
      </c>
      <c r="H669" s="2963" t="s">
        <v>3185</v>
      </c>
      <c r="I669" s="2963" t="s">
        <v>3086</v>
      </c>
    </row>
    <row r="670" spans="1:9">
      <c r="A670" s="2963" t="s">
        <v>3328</v>
      </c>
      <c r="B670" s="2963" t="s">
        <v>3355</v>
      </c>
      <c r="D670" s="2963">
        <v>-3151</v>
      </c>
      <c r="E670" s="2963" t="s">
        <v>3820</v>
      </c>
      <c r="F670" s="2966">
        <v>160000</v>
      </c>
      <c r="G670" s="2971">
        <v>39.19</v>
      </c>
      <c r="H670" s="2963" t="s">
        <v>3185</v>
      </c>
      <c r="I670" s="2963" t="s">
        <v>3086</v>
      </c>
    </row>
    <row r="671" spans="1:9">
      <c r="A671" s="2963" t="s">
        <v>3328</v>
      </c>
      <c r="B671" s="2963" t="s">
        <v>3355</v>
      </c>
      <c r="D671" s="2963">
        <v>-3152</v>
      </c>
      <c r="E671" s="2963" t="s">
        <v>3821</v>
      </c>
      <c r="F671" s="2966">
        <v>160000</v>
      </c>
      <c r="G671" s="2971">
        <v>39.19</v>
      </c>
      <c r="H671" s="2963" t="s">
        <v>3185</v>
      </c>
      <c r="I671" s="2963" t="s">
        <v>3086</v>
      </c>
    </row>
    <row r="672" spans="1:9">
      <c r="A672" s="2963" t="s">
        <v>3328</v>
      </c>
      <c r="B672" s="2963" t="s">
        <v>3355</v>
      </c>
      <c r="D672" s="2963">
        <v>-3153</v>
      </c>
      <c r="E672" s="2963" t="s">
        <v>3822</v>
      </c>
      <c r="F672" s="2966">
        <v>160000</v>
      </c>
      <c r="G672" s="2971">
        <v>39.19</v>
      </c>
      <c r="H672" s="2963" t="s">
        <v>3185</v>
      </c>
      <c r="I672" s="2963" t="s">
        <v>3086</v>
      </c>
    </row>
    <row r="673" spans="1:9">
      <c r="A673" s="2963" t="s">
        <v>3328</v>
      </c>
      <c r="B673" s="2963" t="s">
        <v>3355</v>
      </c>
      <c r="D673" s="2963">
        <v>-3154</v>
      </c>
      <c r="E673" s="2963" t="s">
        <v>3823</v>
      </c>
      <c r="F673" s="2966">
        <v>160000</v>
      </c>
      <c r="G673" s="2971">
        <v>39.19</v>
      </c>
      <c r="H673" s="2963" t="s">
        <v>3185</v>
      </c>
      <c r="I673" s="2963" t="s">
        <v>3086</v>
      </c>
    </row>
    <row r="674" spans="1:9">
      <c r="A674" s="2963" t="s">
        <v>3328</v>
      </c>
      <c r="B674" s="2963" t="s">
        <v>3355</v>
      </c>
      <c r="D674" s="2963">
        <v>-3155</v>
      </c>
      <c r="E674" s="2963" t="s">
        <v>3824</v>
      </c>
      <c r="F674" s="2966">
        <v>160000</v>
      </c>
      <c r="G674" s="2971">
        <v>39.19</v>
      </c>
      <c r="H674" s="2963" t="s">
        <v>3185</v>
      </c>
      <c r="I674" s="2963" t="s">
        <v>3086</v>
      </c>
    </row>
    <row r="675" spans="1:9">
      <c r="A675" s="2963" t="s">
        <v>3328</v>
      </c>
      <c r="B675" s="2963" t="s">
        <v>3355</v>
      </c>
      <c r="D675" s="2963">
        <v>-3156</v>
      </c>
      <c r="E675" s="2963" t="s">
        <v>3825</v>
      </c>
      <c r="F675" s="2966">
        <v>160000</v>
      </c>
      <c r="G675" s="2971">
        <v>39.19</v>
      </c>
      <c r="H675" s="2963" t="s">
        <v>3185</v>
      </c>
      <c r="I675" s="2963" t="s">
        <v>3086</v>
      </c>
    </row>
    <row r="676" spans="1:9">
      <c r="A676" s="2963" t="s">
        <v>3328</v>
      </c>
      <c r="B676" s="2963" t="s">
        <v>3355</v>
      </c>
      <c r="D676" s="2963">
        <v>-3157</v>
      </c>
      <c r="E676" s="2963" t="s">
        <v>3826</v>
      </c>
      <c r="F676" s="2966">
        <v>160000</v>
      </c>
      <c r="G676" s="2971">
        <v>39.19</v>
      </c>
      <c r="H676" s="2963" t="s">
        <v>3185</v>
      </c>
      <c r="I676" s="2963" t="s">
        <v>3086</v>
      </c>
    </row>
    <row r="677" spans="1:9">
      <c r="A677" s="2963" t="s">
        <v>3328</v>
      </c>
      <c r="B677" s="2963" t="s">
        <v>3355</v>
      </c>
      <c r="D677" s="2963">
        <v>-3158</v>
      </c>
      <c r="E677" s="2963" t="s">
        <v>3827</v>
      </c>
      <c r="F677" s="2966">
        <v>170000</v>
      </c>
      <c r="G677" s="2971">
        <v>58</v>
      </c>
      <c r="H677" s="2963" t="s">
        <v>3185</v>
      </c>
      <c r="I677" s="2963" t="s">
        <v>3086</v>
      </c>
    </row>
    <row r="678" spans="1:9">
      <c r="A678" s="2963" t="s">
        <v>3328</v>
      </c>
      <c r="B678" s="2963" t="s">
        <v>3355</v>
      </c>
      <c r="D678" s="2963">
        <v>-3159</v>
      </c>
      <c r="E678" s="2963" t="s">
        <v>3828</v>
      </c>
      <c r="F678" s="2966">
        <v>160000</v>
      </c>
      <c r="G678" s="2971">
        <v>39.19</v>
      </c>
      <c r="H678" s="2963" t="s">
        <v>3185</v>
      </c>
      <c r="I678" s="2963" t="s">
        <v>3086</v>
      </c>
    </row>
    <row r="679" spans="1:9">
      <c r="A679" s="2963" t="s">
        <v>3328</v>
      </c>
      <c r="B679" s="2963" t="s">
        <v>3355</v>
      </c>
      <c r="D679" s="2963">
        <v>-3160</v>
      </c>
      <c r="E679" s="2963" t="s">
        <v>3829</v>
      </c>
      <c r="F679" s="2966">
        <v>160000</v>
      </c>
      <c r="G679" s="2971">
        <v>39.19</v>
      </c>
      <c r="H679" s="2963" t="s">
        <v>3185</v>
      </c>
      <c r="I679" s="2963" t="s">
        <v>3086</v>
      </c>
    </row>
    <row r="680" spans="1:9">
      <c r="A680" s="2963" t="s">
        <v>3328</v>
      </c>
      <c r="B680" s="2963" t="s">
        <v>3355</v>
      </c>
      <c r="D680" s="2963">
        <v>-3161</v>
      </c>
      <c r="E680" s="2963" t="s">
        <v>3830</v>
      </c>
      <c r="F680" s="2966">
        <v>160000</v>
      </c>
      <c r="G680" s="2971">
        <v>39.19</v>
      </c>
      <c r="H680" s="2963" t="s">
        <v>3185</v>
      </c>
      <c r="I680" s="2963" t="s">
        <v>3086</v>
      </c>
    </row>
    <row r="681" spans="1:9">
      <c r="A681" s="2963" t="s">
        <v>3328</v>
      </c>
      <c r="B681" s="2963" t="s">
        <v>3355</v>
      </c>
      <c r="D681" s="2963">
        <v>-3162</v>
      </c>
      <c r="E681" s="2963" t="s">
        <v>3831</v>
      </c>
      <c r="F681" s="2966">
        <v>160000</v>
      </c>
      <c r="G681" s="2971">
        <v>39.19</v>
      </c>
      <c r="H681" s="2963" t="s">
        <v>3185</v>
      </c>
      <c r="I681" s="2963" t="s">
        <v>3086</v>
      </c>
    </row>
    <row r="682" spans="1:9">
      <c r="A682" s="2963" t="s">
        <v>3328</v>
      </c>
      <c r="B682" s="2963" t="s">
        <v>3355</v>
      </c>
      <c r="D682" s="2963">
        <v>-3163</v>
      </c>
      <c r="E682" s="2963" t="s">
        <v>3832</v>
      </c>
      <c r="F682" s="2966">
        <v>160000</v>
      </c>
      <c r="G682" s="2971">
        <v>39.19</v>
      </c>
      <c r="H682" s="2963" t="s">
        <v>3185</v>
      </c>
      <c r="I682" s="2963" t="s">
        <v>3086</v>
      </c>
    </row>
    <row r="683" spans="1:9">
      <c r="A683" s="2963" t="s">
        <v>3328</v>
      </c>
      <c r="B683" s="2963" t="s">
        <v>3355</v>
      </c>
      <c r="D683" s="2963">
        <v>-3164</v>
      </c>
      <c r="E683" s="2963" t="s">
        <v>3833</v>
      </c>
      <c r="F683" s="2966">
        <v>160000</v>
      </c>
      <c r="G683" s="2971">
        <v>39.19</v>
      </c>
      <c r="H683" s="2963" t="s">
        <v>3185</v>
      </c>
      <c r="I683" s="2963" t="s">
        <v>3086</v>
      </c>
    </row>
    <row r="684" spans="1:9">
      <c r="A684" s="2963" t="s">
        <v>3328</v>
      </c>
      <c r="B684" s="2963" t="s">
        <v>3355</v>
      </c>
      <c r="D684" s="2963">
        <v>-3165</v>
      </c>
      <c r="E684" s="2963" t="s">
        <v>3834</v>
      </c>
      <c r="F684" s="2966">
        <v>160000</v>
      </c>
      <c r="G684" s="2971">
        <v>39.19</v>
      </c>
      <c r="H684" s="2963" t="s">
        <v>3185</v>
      </c>
      <c r="I684" s="2963" t="s">
        <v>3086</v>
      </c>
    </row>
    <row r="685" spans="1:9">
      <c r="A685" s="2963" t="s">
        <v>3328</v>
      </c>
      <c r="B685" s="2963" t="s">
        <v>3355</v>
      </c>
      <c r="D685" s="2963">
        <v>-3166</v>
      </c>
      <c r="E685" s="2963" t="s">
        <v>3835</v>
      </c>
      <c r="F685" s="2966">
        <v>160000</v>
      </c>
      <c r="G685" s="2971">
        <v>39.19</v>
      </c>
      <c r="H685" s="2963" t="s">
        <v>3185</v>
      </c>
      <c r="I685" s="2963" t="s">
        <v>3086</v>
      </c>
    </row>
    <row r="686" spans="1:9">
      <c r="A686" s="2963" t="s">
        <v>3328</v>
      </c>
      <c r="B686" s="2963" t="s">
        <v>3355</v>
      </c>
      <c r="D686" s="2963">
        <v>-3167</v>
      </c>
      <c r="E686" s="2963" t="s">
        <v>3836</v>
      </c>
      <c r="F686" s="2966">
        <v>160000</v>
      </c>
      <c r="G686" s="2971">
        <v>39.19</v>
      </c>
      <c r="H686" s="2963" t="s">
        <v>3185</v>
      </c>
      <c r="I686" s="2963" t="s">
        <v>3086</v>
      </c>
    </row>
    <row r="687" spans="1:9">
      <c r="A687" s="2963" t="s">
        <v>3328</v>
      </c>
      <c r="B687" s="2963" t="s">
        <v>3355</v>
      </c>
      <c r="D687" s="2963">
        <v>-3168</v>
      </c>
      <c r="E687" s="2963" t="s">
        <v>3837</v>
      </c>
      <c r="F687" s="2966">
        <v>160000</v>
      </c>
      <c r="G687" s="2971">
        <v>39.19</v>
      </c>
      <c r="H687" s="2963" t="s">
        <v>3185</v>
      </c>
      <c r="I687" s="2963" t="s">
        <v>3086</v>
      </c>
    </row>
    <row r="688" spans="1:9">
      <c r="A688" s="2963" t="s">
        <v>3328</v>
      </c>
      <c r="B688" s="2963" t="s">
        <v>3355</v>
      </c>
      <c r="D688" s="2963">
        <v>-3169</v>
      </c>
      <c r="E688" s="2963" t="s">
        <v>3838</v>
      </c>
      <c r="F688" s="2966">
        <v>160000</v>
      </c>
      <c r="G688" s="2971">
        <v>39.19</v>
      </c>
      <c r="H688" s="2963" t="s">
        <v>3185</v>
      </c>
      <c r="I688" s="2963" t="s">
        <v>3086</v>
      </c>
    </row>
    <row r="689" spans="1:9">
      <c r="A689" s="2963" t="s">
        <v>3328</v>
      </c>
      <c r="B689" s="2963" t="s">
        <v>3355</v>
      </c>
      <c r="D689" s="2963">
        <v>-3170</v>
      </c>
      <c r="E689" s="2963" t="s">
        <v>3839</v>
      </c>
      <c r="F689" s="2966">
        <v>160000</v>
      </c>
      <c r="G689" s="2971">
        <v>39.19</v>
      </c>
      <c r="H689" s="2963" t="s">
        <v>3185</v>
      </c>
      <c r="I689" s="2963" t="s">
        <v>3086</v>
      </c>
    </row>
    <row r="690" spans="1:9">
      <c r="A690" s="2963" t="s">
        <v>3328</v>
      </c>
      <c r="B690" s="2963" t="s">
        <v>3355</v>
      </c>
      <c r="D690" s="2963">
        <v>-3171</v>
      </c>
      <c r="E690" s="2963" t="s">
        <v>3840</v>
      </c>
      <c r="F690" s="2966">
        <v>160000</v>
      </c>
      <c r="G690" s="2971">
        <v>39.19</v>
      </c>
      <c r="H690" s="2963" t="s">
        <v>3185</v>
      </c>
      <c r="I690" s="2963" t="s">
        <v>3086</v>
      </c>
    </row>
    <row r="691" spans="1:9">
      <c r="A691" s="2963" t="s">
        <v>3328</v>
      </c>
      <c r="B691" s="2963" t="s">
        <v>3355</v>
      </c>
      <c r="D691" s="2963">
        <v>-3172</v>
      </c>
      <c r="E691" s="2963" t="s">
        <v>3841</v>
      </c>
      <c r="F691" s="2966">
        <v>160000</v>
      </c>
      <c r="G691" s="2971">
        <v>39.19</v>
      </c>
      <c r="H691" s="2963" t="s">
        <v>3185</v>
      </c>
      <c r="I691" s="2963" t="s">
        <v>3086</v>
      </c>
    </row>
    <row r="692" spans="1:9">
      <c r="A692" s="2963" t="s">
        <v>3328</v>
      </c>
      <c r="B692" s="2963" t="s">
        <v>3355</v>
      </c>
      <c r="D692" s="2963">
        <v>-3173</v>
      </c>
      <c r="E692" s="2963" t="s">
        <v>3842</v>
      </c>
      <c r="F692" s="2966">
        <v>160000</v>
      </c>
      <c r="G692" s="2971">
        <v>39.19</v>
      </c>
      <c r="H692" s="2963" t="s">
        <v>3185</v>
      </c>
      <c r="I692" s="2963" t="s">
        <v>3086</v>
      </c>
    </row>
    <row r="693" spans="1:9">
      <c r="A693" s="2963" t="s">
        <v>3328</v>
      </c>
      <c r="B693" s="2963" t="s">
        <v>3355</v>
      </c>
      <c r="D693" s="2963">
        <v>-3174</v>
      </c>
      <c r="E693" s="2963" t="s">
        <v>3843</v>
      </c>
      <c r="F693" s="2966">
        <v>160000</v>
      </c>
      <c r="G693" s="2971">
        <v>39.19</v>
      </c>
      <c r="H693" s="2963" t="s">
        <v>3185</v>
      </c>
      <c r="I693" s="2963" t="s">
        <v>3086</v>
      </c>
    </row>
    <row r="694" spans="1:9">
      <c r="A694" s="2963" t="s">
        <v>3328</v>
      </c>
      <c r="B694" s="2963" t="s">
        <v>3355</v>
      </c>
      <c r="D694" s="2963">
        <v>-3175</v>
      </c>
      <c r="E694" s="2963" t="s">
        <v>3844</v>
      </c>
      <c r="F694" s="2966">
        <v>160000</v>
      </c>
      <c r="G694" s="2971">
        <v>39.19</v>
      </c>
      <c r="H694" s="2963" t="s">
        <v>3185</v>
      </c>
      <c r="I694" s="2963" t="s">
        <v>3086</v>
      </c>
    </row>
    <row r="695" spans="1:9">
      <c r="A695" s="2963" t="s">
        <v>3328</v>
      </c>
      <c r="B695" s="2963" t="s">
        <v>3355</v>
      </c>
      <c r="D695" s="2963">
        <v>-3176</v>
      </c>
      <c r="E695" s="2963" t="s">
        <v>3845</v>
      </c>
      <c r="F695" s="2966">
        <v>160000</v>
      </c>
      <c r="G695" s="2971">
        <v>39.19</v>
      </c>
      <c r="H695" s="2963" t="s">
        <v>3185</v>
      </c>
      <c r="I695" s="2963" t="s">
        <v>3086</v>
      </c>
    </row>
    <row r="696" spans="1:9">
      <c r="A696" s="2963" t="s">
        <v>3328</v>
      </c>
      <c r="B696" s="2963" t="s">
        <v>3355</v>
      </c>
      <c r="D696" s="2963">
        <v>-3177</v>
      </c>
      <c r="E696" s="2963" t="s">
        <v>3846</v>
      </c>
      <c r="F696" s="2966">
        <v>160000</v>
      </c>
      <c r="G696" s="2971">
        <v>39.19</v>
      </c>
      <c r="H696" s="2963" t="s">
        <v>3185</v>
      </c>
      <c r="I696" s="2963" t="s">
        <v>3086</v>
      </c>
    </row>
    <row r="697" spans="1:9">
      <c r="A697" s="2963" t="s">
        <v>3328</v>
      </c>
      <c r="B697" s="2963" t="s">
        <v>3355</v>
      </c>
      <c r="D697" s="2963">
        <v>-3178</v>
      </c>
      <c r="E697" s="2963" t="s">
        <v>3847</v>
      </c>
      <c r="F697" s="2966">
        <v>160000</v>
      </c>
      <c r="G697" s="2971">
        <v>39.19</v>
      </c>
      <c r="H697" s="2963" t="s">
        <v>3185</v>
      </c>
      <c r="I697" s="2963" t="s">
        <v>3086</v>
      </c>
    </row>
    <row r="698" spans="1:9">
      <c r="A698" s="2963" t="s">
        <v>3328</v>
      </c>
      <c r="B698" s="2963" t="s">
        <v>3355</v>
      </c>
      <c r="D698" s="2963">
        <v>-3179</v>
      </c>
      <c r="E698" s="2963" t="s">
        <v>3848</v>
      </c>
      <c r="F698" s="2966">
        <v>160000</v>
      </c>
      <c r="G698" s="2971">
        <v>39.19</v>
      </c>
      <c r="H698" s="2963" t="s">
        <v>3185</v>
      </c>
      <c r="I698" s="2963" t="s">
        <v>3086</v>
      </c>
    </row>
    <row r="699" spans="1:9">
      <c r="A699" s="2963" t="s">
        <v>3328</v>
      </c>
      <c r="B699" s="2963" t="s">
        <v>3355</v>
      </c>
      <c r="D699" s="2963">
        <v>-3180</v>
      </c>
      <c r="E699" s="2963" t="s">
        <v>3849</v>
      </c>
      <c r="F699" s="2966">
        <v>160000</v>
      </c>
      <c r="G699" s="2971">
        <v>39.19</v>
      </c>
      <c r="H699" s="2963" t="s">
        <v>3185</v>
      </c>
      <c r="I699" s="2963" t="s">
        <v>3086</v>
      </c>
    </row>
    <row r="700" spans="1:9">
      <c r="A700" s="2963" t="s">
        <v>3328</v>
      </c>
      <c r="B700" s="2963" t="s">
        <v>3355</v>
      </c>
      <c r="D700" s="2963">
        <v>-3181</v>
      </c>
      <c r="E700" s="2963" t="s">
        <v>3850</v>
      </c>
      <c r="F700" s="2966">
        <v>160000</v>
      </c>
      <c r="G700" s="2971">
        <v>39.19</v>
      </c>
      <c r="H700" s="2963" t="s">
        <v>3185</v>
      </c>
      <c r="I700" s="2963" t="s">
        <v>3086</v>
      </c>
    </row>
    <row r="701" spans="1:9">
      <c r="A701" s="2963" t="s">
        <v>3328</v>
      </c>
      <c r="B701" s="2963" t="s">
        <v>3355</v>
      </c>
      <c r="D701" s="2963">
        <v>-3182</v>
      </c>
      <c r="E701" s="2963" t="s">
        <v>3851</v>
      </c>
      <c r="F701" s="2966">
        <v>160000</v>
      </c>
      <c r="G701" s="2971">
        <v>39.19</v>
      </c>
      <c r="H701" s="2963" t="s">
        <v>3185</v>
      </c>
      <c r="I701" s="2963" t="s">
        <v>3086</v>
      </c>
    </row>
    <row r="702" spans="1:9">
      <c r="A702" s="2963" t="s">
        <v>3328</v>
      </c>
      <c r="B702" s="2963" t="s">
        <v>3355</v>
      </c>
      <c r="D702" s="2963">
        <v>-3183</v>
      </c>
      <c r="E702" s="2963" t="s">
        <v>3852</v>
      </c>
      <c r="F702" s="2966">
        <v>160000</v>
      </c>
      <c r="G702" s="2971">
        <v>39.19</v>
      </c>
      <c r="H702" s="2963" t="s">
        <v>3185</v>
      </c>
      <c r="I702" s="2963" t="s">
        <v>3086</v>
      </c>
    </row>
    <row r="703" spans="1:9">
      <c r="A703" s="2963" t="s">
        <v>3328</v>
      </c>
      <c r="B703" s="2963" t="s">
        <v>3355</v>
      </c>
      <c r="D703" s="2963">
        <v>-3184</v>
      </c>
      <c r="E703" s="2963" t="s">
        <v>3853</v>
      </c>
      <c r="F703" s="2966">
        <v>160000</v>
      </c>
      <c r="G703" s="2971">
        <v>39.19</v>
      </c>
      <c r="H703" s="2963" t="s">
        <v>3185</v>
      </c>
      <c r="I703" s="2963" t="s">
        <v>3086</v>
      </c>
    </row>
    <row r="704" spans="1:9">
      <c r="A704" s="2963" t="s">
        <v>3328</v>
      </c>
      <c r="B704" s="2963" t="s">
        <v>3355</v>
      </c>
      <c r="D704" s="2963">
        <v>-3185</v>
      </c>
      <c r="E704" s="2963" t="s">
        <v>3854</v>
      </c>
      <c r="F704" s="2966">
        <v>160000</v>
      </c>
      <c r="G704" s="2971">
        <v>39.19</v>
      </c>
      <c r="H704" s="2963" t="s">
        <v>3185</v>
      </c>
      <c r="I704" s="2963" t="s">
        <v>3086</v>
      </c>
    </row>
    <row r="705" spans="1:9">
      <c r="A705" s="2963" t="s">
        <v>3328</v>
      </c>
      <c r="B705" s="2963" t="s">
        <v>3355</v>
      </c>
      <c r="D705" s="2963">
        <v>-3186</v>
      </c>
      <c r="E705" s="2963" t="s">
        <v>3855</v>
      </c>
      <c r="F705" s="2966">
        <v>160000</v>
      </c>
      <c r="G705" s="2971">
        <v>39.19</v>
      </c>
      <c r="H705" s="2963" t="s">
        <v>3185</v>
      </c>
      <c r="I705" s="2963" t="s">
        <v>3086</v>
      </c>
    </row>
    <row r="706" spans="1:9">
      <c r="A706" s="2963" t="s">
        <v>3328</v>
      </c>
      <c r="B706" s="2963" t="s">
        <v>3355</v>
      </c>
      <c r="D706" s="2963">
        <v>-3187</v>
      </c>
      <c r="E706" s="2963" t="s">
        <v>3856</v>
      </c>
      <c r="F706" s="2966">
        <v>160000</v>
      </c>
      <c r="G706" s="2971">
        <v>39.19</v>
      </c>
      <c r="H706" s="2963" t="s">
        <v>3185</v>
      </c>
      <c r="I706" s="2963" t="s">
        <v>3086</v>
      </c>
    </row>
    <row r="707" spans="1:9">
      <c r="A707" s="2963" t="s">
        <v>3328</v>
      </c>
      <c r="B707" s="2963" t="s">
        <v>3355</v>
      </c>
      <c r="D707" s="2963">
        <v>-3189</v>
      </c>
      <c r="E707" s="2963" t="s">
        <v>3857</v>
      </c>
      <c r="F707" s="2966">
        <v>160000</v>
      </c>
      <c r="G707" s="2971">
        <v>39.19</v>
      </c>
      <c r="H707" s="2963" t="s">
        <v>3185</v>
      </c>
      <c r="I707" s="2963" t="s">
        <v>3086</v>
      </c>
    </row>
    <row r="708" spans="1:9">
      <c r="A708" s="2963" t="s">
        <v>3328</v>
      </c>
      <c r="B708" s="2963" t="s">
        <v>3355</v>
      </c>
      <c r="D708" s="2963">
        <v>-3190</v>
      </c>
      <c r="E708" s="2963" t="s">
        <v>3858</v>
      </c>
      <c r="F708" s="2966">
        <v>160000</v>
      </c>
      <c r="G708" s="2971">
        <v>39.19</v>
      </c>
      <c r="H708" s="2963" t="s">
        <v>3185</v>
      </c>
      <c r="I708" s="2963" t="s">
        <v>3086</v>
      </c>
    </row>
    <row r="709" spans="1:9">
      <c r="A709" s="2963" t="s">
        <v>3328</v>
      </c>
      <c r="B709" s="2963" t="s">
        <v>3355</v>
      </c>
      <c r="D709" s="2963">
        <v>-3191</v>
      </c>
      <c r="E709" s="2963" t="s">
        <v>3859</v>
      </c>
      <c r="F709" s="2966">
        <v>160000</v>
      </c>
      <c r="G709" s="2971">
        <v>39.19</v>
      </c>
      <c r="H709" s="2963" t="s">
        <v>3185</v>
      </c>
      <c r="I709" s="2963" t="s">
        <v>3086</v>
      </c>
    </row>
    <row r="710" spans="1:9">
      <c r="A710" s="2963" t="s">
        <v>3328</v>
      </c>
      <c r="B710" s="2963" t="s">
        <v>3355</v>
      </c>
      <c r="D710" s="2963">
        <v>-3192</v>
      </c>
      <c r="E710" s="2963" t="s">
        <v>3860</v>
      </c>
      <c r="F710" s="2966">
        <v>160000</v>
      </c>
      <c r="G710" s="2971">
        <v>39.19</v>
      </c>
      <c r="H710" s="2963" t="s">
        <v>3185</v>
      </c>
      <c r="I710" s="2963" t="s">
        <v>3086</v>
      </c>
    </row>
    <row r="711" spans="1:9">
      <c r="A711" s="2963" t="s">
        <v>3328</v>
      </c>
      <c r="B711" s="2963" t="s">
        <v>3355</v>
      </c>
      <c r="D711" s="2963">
        <v>-3195</v>
      </c>
      <c r="E711" s="2963" t="s">
        <v>3861</v>
      </c>
      <c r="F711" s="2966">
        <v>160000</v>
      </c>
      <c r="G711" s="2971">
        <v>39.19</v>
      </c>
      <c r="H711" s="2963" t="s">
        <v>3185</v>
      </c>
      <c r="I711" s="2963" t="s">
        <v>3086</v>
      </c>
    </row>
    <row r="712" spans="1:9">
      <c r="A712" s="2963" t="s">
        <v>3328</v>
      </c>
      <c r="B712" s="2963" t="s">
        <v>3355</v>
      </c>
      <c r="D712" s="2963">
        <v>-3196</v>
      </c>
      <c r="E712" s="2963" t="s">
        <v>3862</v>
      </c>
      <c r="F712" s="2966">
        <v>160000</v>
      </c>
      <c r="G712" s="2971">
        <v>39.19</v>
      </c>
      <c r="H712" s="2963" t="s">
        <v>3185</v>
      </c>
      <c r="I712" s="2963" t="s">
        <v>3086</v>
      </c>
    </row>
    <row r="713" spans="1:9">
      <c r="A713" s="2963" t="s">
        <v>3328</v>
      </c>
      <c r="B713" s="2963" t="s">
        <v>3355</v>
      </c>
      <c r="D713" s="2963">
        <v>-3197</v>
      </c>
      <c r="E713" s="2963" t="s">
        <v>3863</v>
      </c>
      <c r="F713" s="2966">
        <v>160000</v>
      </c>
      <c r="G713" s="2971">
        <v>39.19</v>
      </c>
      <c r="H713" s="2963" t="s">
        <v>3185</v>
      </c>
      <c r="I713" s="2963" t="s">
        <v>3086</v>
      </c>
    </row>
    <row r="714" spans="1:9">
      <c r="A714" s="2963" t="s">
        <v>3328</v>
      </c>
      <c r="B714" s="2963" t="s">
        <v>3355</v>
      </c>
      <c r="D714" s="2963">
        <v>-3199</v>
      </c>
      <c r="E714" s="2963" t="s">
        <v>3864</v>
      </c>
      <c r="F714" s="2966">
        <v>160000</v>
      </c>
      <c r="G714" s="2971">
        <v>39.19</v>
      </c>
      <c r="H714" s="2963" t="s">
        <v>3185</v>
      </c>
      <c r="I714" s="2963" t="s">
        <v>3086</v>
      </c>
    </row>
    <row r="715" spans="1:9">
      <c r="A715" s="2963" t="s">
        <v>3328</v>
      </c>
      <c r="B715" s="2963" t="s">
        <v>3355</v>
      </c>
      <c r="D715" s="2963">
        <v>-3201</v>
      </c>
      <c r="E715" s="2963" t="s">
        <v>3865</v>
      </c>
      <c r="F715" s="2966">
        <v>160000</v>
      </c>
      <c r="G715" s="2971">
        <v>39.19</v>
      </c>
      <c r="H715" s="2963" t="s">
        <v>3185</v>
      </c>
      <c r="I715" s="2963" t="s">
        <v>3086</v>
      </c>
    </row>
    <row r="716" spans="1:9">
      <c r="A716" s="2963" t="s">
        <v>3328</v>
      </c>
      <c r="B716" s="2963" t="s">
        <v>3355</v>
      </c>
      <c r="D716" s="2963">
        <v>-3202</v>
      </c>
      <c r="E716" s="2963" t="s">
        <v>3866</v>
      </c>
      <c r="F716" s="2966">
        <v>160000</v>
      </c>
      <c r="G716" s="2971">
        <v>39.19</v>
      </c>
      <c r="H716" s="2963" t="s">
        <v>3185</v>
      </c>
      <c r="I716" s="2963" t="s">
        <v>3086</v>
      </c>
    </row>
    <row r="717" spans="1:9">
      <c r="A717" s="2963" t="s">
        <v>3328</v>
      </c>
      <c r="B717" s="2963" t="s">
        <v>3355</v>
      </c>
      <c r="D717" s="2963">
        <v>-3205</v>
      </c>
      <c r="E717" s="2963" t="s">
        <v>3867</v>
      </c>
      <c r="F717" s="2966">
        <v>160000</v>
      </c>
      <c r="G717" s="2971">
        <v>39.19</v>
      </c>
      <c r="H717" s="2963" t="s">
        <v>3185</v>
      </c>
      <c r="I717" s="2963" t="s">
        <v>3086</v>
      </c>
    </row>
    <row r="718" spans="1:9">
      <c r="A718" s="2963" t="s">
        <v>3328</v>
      </c>
      <c r="B718" s="2963" t="s">
        <v>3355</v>
      </c>
      <c r="D718" s="2963">
        <v>-3208</v>
      </c>
      <c r="E718" s="2963" t="s">
        <v>3868</v>
      </c>
      <c r="F718" s="2966">
        <v>160000</v>
      </c>
      <c r="G718" s="2971">
        <v>39.19</v>
      </c>
      <c r="H718" s="2963" t="s">
        <v>3185</v>
      </c>
      <c r="I718" s="2963" t="s">
        <v>3086</v>
      </c>
    </row>
    <row r="719" spans="1:9">
      <c r="A719" s="2963" t="s">
        <v>3328</v>
      </c>
      <c r="B719" s="2963" t="s">
        <v>3355</v>
      </c>
      <c r="D719" s="2963">
        <v>-3211</v>
      </c>
      <c r="E719" s="2963" t="s">
        <v>3869</v>
      </c>
      <c r="F719" s="2966">
        <v>160000</v>
      </c>
      <c r="G719" s="2971">
        <v>39.19</v>
      </c>
      <c r="H719" s="2963" t="s">
        <v>3185</v>
      </c>
      <c r="I719" s="2963" t="s">
        <v>3086</v>
      </c>
    </row>
    <row r="720" spans="1:9">
      <c r="A720" s="2963" t="s">
        <v>3328</v>
      </c>
      <c r="B720" s="2963" t="s">
        <v>3355</v>
      </c>
      <c r="D720" s="2963">
        <v>-3216</v>
      </c>
      <c r="E720" s="2963" t="s">
        <v>3870</v>
      </c>
      <c r="F720" s="2966">
        <v>160000</v>
      </c>
      <c r="G720" s="2971">
        <v>39.19</v>
      </c>
      <c r="H720" s="2963" t="s">
        <v>3185</v>
      </c>
      <c r="I720" s="2963" t="s">
        <v>3086</v>
      </c>
    </row>
    <row r="721" spans="1:9">
      <c r="A721" s="2963" t="s">
        <v>3328</v>
      </c>
      <c r="B721" s="2963" t="s">
        <v>3355</v>
      </c>
      <c r="D721" s="2963">
        <v>-3217</v>
      </c>
      <c r="E721" s="2963" t="s">
        <v>3871</v>
      </c>
      <c r="F721" s="2966">
        <v>160000</v>
      </c>
      <c r="G721" s="2971">
        <v>39.19</v>
      </c>
      <c r="H721" s="2963" t="s">
        <v>3185</v>
      </c>
      <c r="I721" s="2963" t="s">
        <v>3086</v>
      </c>
    </row>
    <row r="722" spans="1:9">
      <c r="A722" s="2963" t="s">
        <v>3328</v>
      </c>
      <c r="B722" s="2963" t="s">
        <v>3355</v>
      </c>
      <c r="D722" s="2963">
        <v>-3218</v>
      </c>
      <c r="E722" s="2963" t="s">
        <v>3872</v>
      </c>
      <c r="F722" s="2966">
        <v>160000</v>
      </c>
      <c r="G722" s="2971">
        <v>39.19</v>
      </c>
      <c r="H722" s="2963" t="s">
        <v>3185</v>
      </c>
      <c r="I722" s="2963" t="s">
        <v>3086</v>
      </c>
    </row>
    <row r="723" spans="1:9">
      <c r="A723" s="2963" t="s">
        <v>3328</v>
      </c>
      <c r="B723" s="2963" t="s">
        <v>3355</v>
      </c>
      <c r="D723" s="2963">
        <v>-3219</v>
      </c>
      <c r="E723" s="2963" t="s">
        <v>3873</v>
      </c>
      <c r="F723" s="2966">
        <v>160000</v>
      </c>
      <c r="G723" s="2971">
        <v>39.19</v>
      </c>
      <c r="H723" s="2963" t="s">
        <v>3185</v>
      </c>
      <c r="I723" s="2963" t="s">
        <v>3086</v>
      </c>
    </row>
    <row r="724" spans="1:9">
      <c r="A724" s="2963" t="s">
        <v>3328</v>
      </c>
      <c r="B724" s="2963" t="s">
        <v>3355</v>
      </c>
      <c r="D724" s="2963">
        <v>-3222</v>
      </c>
      <c r="E724" s="2963" t="s">
        <v>3874</v>
      </c>
      <c r="F724" s="2966">
        <v>160000</v>
      </c>
      <c r="G724" s="2971">
        <v>39.19</v>
      </c>
      <c r="H724" s="2963" t="s">
        <v>3185</v>
      </c>
      <c r="I724" s="2963" t="s">
        <v>3086</v>
      </c>
    </row>
    <row r="725" spans="1:9">
      <c r="A725" s="2963" t="s">
        <v>3328</v>
      </c>
      <c r="B725" s="2963" t="s">
        <v>3355</v>
      </c>
      <c r="D725" s="2963">
        <v>-3224</v>
      </c>
      <c r="E725" s="2963" t="s">
        <v>3875</v>
      </c>
      <c r="F725" s="2966">
        <v>160000</v>
      </c>
      <c r="G725" s="2971">
        <v>39.19</v>
      </c>
      <c r="H725" s="2963" t="s">
        <v>3185</v>
      </c>
      <c r="I725" s="2963" t="s">
        <v>3086</v>
      </c>
    </row>
    <row r="726" spans="1:9">
      <c r="A726" s="2963" t="s">
        <v>3328</v>
      </c>
      <c r="B726" s="2963" t="s">
        <v>3355</v>
      </c>
      <c r="D726" s="2963">
        <v>-3225</v>
      </c>
      <c r="E726" s="2963" t="s">
        <v>3876</v>
      </c>
      <c r="F726" s="2966">
        <v>160000</v>
      </c>
      <c r="G726" s="2971">
        <v>39.19</v>
      </c>
      <c r="H726" s="2963" t="s">
        <v>3185</v>
      </c>
      <c r="I726" s="2963" t="s">
        <v>3086</v>
      </c>
    </row>
    <row r="727" spans="1:9">
      <c r="A727" s="2963" t="s">
        <v>3328</v>
      </c>
      <c r="B727" s="2963" t="s">
        <v>3355</v>
      </c>
      <c r="D727" s="2963">
        <v>-3226</v>
      </c>
      <c r="E727" s="2963" t="s">
        <v>3877</v>
      </c>
      <c r="F727" s="2966">
        <v>160000</v>
      </c>
      <c r="G727" s="2971">
        <v>39.19</v>
      </c>
      <c r="H727" s="2963" t="s">
        <v>3185</v>
      </c>
      <c r="I727" s="2963" t="s">
        <v>3086</v>
      </c>
    </row>
    <row r="728" spans="1:9">
      <c r="A728" s="2963" t="s">
        <v>3328</v>
      </c>
      <c r="B728" s="2963" t="s">
        <v>3355</v>
      </c>
      <c r="D728" s="2963">
        <v>-3228</v>
      </c>
      <c r="E728" s="2963" t="s">
        <v>3878</v>
      </c>
      <c r="F728" s="2966">
        <v>160000</v>
      </c>
      <c r="G728" s="2971">
        <v>39.19</v>
      </c>
      <c r="H728" s="2963" t="s">
        <v>3185</v>
      </c>
      <c r="I728" s="2963" t="s">
        <v>3086</v>
      </c>
    </row>
    <row r="729" spans="1:9">
      <c r="A729" s="2963" t="s">
        <v>3328</v>
      </c>
      <c r="B729" s="2963" t="s">
        <v>3355</v>
      </c>
      <c r="D729" s="2963">
        <v>-3229</v>
      </c>
      <c r="E729" s="2963" t="s">
        <v>3879</v>
      </c>
      <c r="F729" s="2966">
        <v>160000</v>
      </c>
      <c r="G729" s="2971">
        <v>39.19</v>
      </c>
      <c r="H729" s="2963" t="s">
        <v>3185</v>
      </c>
      <c r="I729" s="2963" t="s">
        <v>3086</v>
      </c>
    </row>
    <row r="730" spans="1:9">
      <c r="A730" s="2963" t="s">
        <v>3328</v>
      </c>
      <c r="B730" s="2963" t="s">
        <v>3355</v>
      </c>
      <c r="D730" s="2963">
        <v>-3230</v>
      </c>
      <c r="E730" s="2963" t="s">
        <v>3880</v>
      </c>
      <c r="F730" s="2966">
        <v>160000</v>
      </c>
      <c r="G730" s="2971">
        <v>39.19</v>
      </c>
      <c r="H730" s="2963" t="s">
        <v>3185</v>
      </c>
      <c r="I730" s="2963" t="s">
        <v>3086</v>
      </c>
    </row>
    <row r="731" spans="1:9">
      <c r="A731" s="2963" t="s">
        <v>3328</v>
      </c>
      <c r="B731" s="2963" t="s">
        <v>3355</v>
      </c>
      <c r="D731" s="2963">
        <v>-3231</v>
      </c>
      <c r="E731" s="2963" t="s">
        <v>3881</v>
      </c>
      <c r="F731" s="2966">
        <v>160000</v>
      </c>
      <c r="G731" s="2971">
        <v>39.19</v>
      </c>
      <c r="H731" s="2963" t="s">
        <v>3185</v>
      </c>
      <c r="I731" s="2963" t="s">
        <v>3086</v>
      </c>
    </row>
    <row r="732" spans="1:9">
      <c r="A732" s="2963" t="s">
        <v>3328</v>
      </c>
      <c r="B732" s="2963" t="s">
        <v>3355</v>
      </c>
      <c r="D732" s="2963">
        <v>-3232</v>
      </c>
      <c r="E732" s="2963" t="s">
        <v>3882</v>
      </c>
      <c r="F732" s="2966">
        <v>160000</v>
      </c>
      <c r="G732" s="2971">
        <v>39.19</v>
      </c>
      <c r="H732" s="2963" t="s">
        <v>3185</v>
      </c>
      <c r="I732" s="2963" t="s">
        <v>3086</v>
      </c>
    </row>
    <row r="733" spans="1:9">
      <c r="A733" s="2963" t="s">
        <v>3328</v>
      </c>
      <c r="B733" s="2963" t="s">
        <v>3355</v>
      </c>
      <c r="D733" s="2963">
        <v>-3233</v>
      </c>
      <c r="E733" s="2963" t="s">
        <v>3883</v>
      </c>
      <c r="F733" s="2966">
        <v>160000</v>
      </c>
      <c r="G733" s="2971">
        <v>39.19</v>
      </c>
      <c r="H733" s="2963" t="s">
        <v>3185</v>
      </c>
      <c r="I733" s="2963" t="s">
        <v>3086</v>
      </c>
    </row>
    <row r="734" spans="1:9">
      <c r="A734" s="2963" t="s">
        <v>3328</v>
      </c>
      <c r="B734" s="2963" t="s">
        <v>3355</v>
      </c>
      <c r="D734" s="2963">
        <v>-3234</v>
      </c>
      <c r="E734" s="2963" t="s">
        <v>3884</v>
      </c>
      <c r="F734" s="2966">
        <v>160000</v>
      </c>
      <c r="G734" s="2971">
        <v>39.19</v>
      </c>
      <c r="H734" s="2963" t="s">
        <v>3185</v>
      </c>
      <c r="I734" s="2963" t="s">
        <v>3086</v>
      </c>
    </row>
    <row r="735" spans="1:9">
      <c r="A735" s="2963" t="s">
        <v>3328</v>
      </c>
      <c r="B735" s="2963" t="s">
        <v>3355</v>
      </c>
      <c r="D735" s="2963">
        <v>-3235</v>
      </c>
      <c r="E735" s="2963" t="s">
        <v>3885</v>
      </c>
      <c r="F735" s="2966">
        <v>160000</v>
      </c>
      <c r="G735" s="2971">
        <v>39.19</v>
      </c>
      <c r="H735" s="2963" t="s">
        <v>3185</v>
      </c>
      <c r="I735" s="2963" t="s">
        <v>3086</v>
      </c>
    </row>
    <row r="736" spans="1:9">
      <c r="A736" s="2963" t="s">
        <v>3328</v>
      </c>
      <c r="B736" s="2963" t="s">
        <v>3355</v>
      </c>
      <c r="D736" s="2963">
        <v>-3236</v>
      </c>
      <c r="E736" s="2963" t="s">
        <v>3886</v>
      </c>
      <c r="F736" s="2966">
        <v>160000</v>
      </c>
      <c r="G736" s="2971">
        <v>39.19</v>
      </c>
      <c r="H736" s="2963" t="s">
        <v>3185</v>
      </c>
      <c r="I736" s="2963" t="s">
        <v>3086</v>
      </c>
    </row>
    <row r="737" spans="1:9">
      <c r="A737" s="2963" t="s">
        <v>3328</v>
      </c>
      <c r="B737" s="2963" t="s">
        <v>3355</v>
      </c>
      <c r="D737" s="2963">
        <v>-3237</v>
      </c>
      <c r="E737" s="2963" t="s">
        <v>3887</v>
      </c>
      <c r="F737" s="2966">
        <v>160000</v>
      </c>
      <c r="G737" s="2971">
        <v>39.19</v>
      </c>
      <c r="H737" s="2963" t="s">
        <v>3185</v>
      </c>
      <c r="I737" s="2963" t="s">
        <v>3086</v>
      </c>
    </row>
    <row r="738" spans="1:9">
      <c r="A738" s="2963" t="s">
        <v>3328</v>
      </c>
      <c r="B738" s="2963" t="s">
        <v>3355</v>
      </c>
      <c r="D738" s="2963">
        <v>-3238</v>
      </c>
      <c r="E738" s="2963" t="s">
        <v>3888</v>
      </c>
      <c r="F738" s="2966">
        <v>170000</v>
      </c>
      <c r="G738" s="2971">
        <v>58</v>
      </c>
      <c r="H738" s="2963" t="s">
        <v>3185</v>
      </c>
      <c r="I738" s="2963" t="s">
        <v>3086</v>
      </c>
    </row>
    <row r="739" spans="1:9">
      <c r="A739" s="2963" t="s">
        <v>3328</v>
      </c>
      <c r="B739" s="2963" t="s">
        <v>3355</v>
      </c>
      <c r="D739" s="2963">
        <v>-3239</v>
      </c>
      <c r="E739" s="2963" t="s">
        <v>3889</v>
      </c>
      <c r="F739" s="2966">
        <v>160000</v>
      </c>
      <c r="G739" s="2971">
        <v>39.19</v>
      </c>
      <c r="H739" s="2963" t="s">
        <v>3185</v>
      </c>
      <c r="I739" s="2963" t="s">
        <v>3086</v>
      </c>
    </row>
    <row r="740" spans="1:9">
      <c r="A740" s="2963" t="s">
        <v>3328</v>
      </c>
      <c r="B740" s="2963" t="s">
        <v>3355</v>
      </c>
      <c r="D740" s="2963">
        <v>-3240</v>
      </c>
      <c r="E740" s="2963" t="s">
        <v>3890</v>
      </c>
      <c r="F740" s="2966">
        <v>160000</v>
      </c>
      <c r="G740" s="2971">
        <v>39.19</v>
      </c>
      <c r="H740" s="2963" t="s">
        <v>3185</v>
      </c>
      <c r="I740" s="2963" t="s">
        <v>3086</v>
      </c>
    </row>
    <row r="741" spans="1:9">
      <c r="A741" s="2963" t="s">
        <v>3328</v>
      </c>
      <c r="B741" s="2963" t="s">
        <v>3355</v>
      </c>
      <c r="D741" s="2963">
        <v>-3241</v>
      </c>
      <c r="E741" s="2963" t="s">
        <v>3891</v>
      </c>
      <c r="F741" s="2966">
        <v>160000</v>
      </c>
      <c r="G741" s="2971">
        <v>39.19</v>
      </c>
      <c r="H741" s="2963" t="s">
        <v>3185</v>
      </c>
      <c r="I741" s="2963" t="s">
        <v>3086</v>
      </c>
    </row>
    <row r="742" spans="1:9">
      <c r="A742" s="2963" t="s">
        <v>3328</v>
      </c>
      <c r="B742" s="2963" t="s">
        <v>3355</v>
      </c>
      <c r="D742" s="2963">
        <v>-3242</v>
      </c>
      <c r="E742" s="2963" t="s">
        <v>3892</v>
      </c>
      <c r="F742" s="2966">
        <v>160000</v>
      </c>
      <c r="G742" s="2971">
        <v>39.19</v>
      </c>
      <c r="H742" s="2963" t="s">
        <v>3185</v>
      </c>
      <c r="I742" s="2963" t="s">
        <v>3086</v>
      </c>
    </row>
    <row r="743" spans="1:9">
      <c r="A743" s="2963" t="s">
        <v>3328</v>
      </c>
      <c r="B743" s="2963" t="s">
        <v>3355</v>
      </c>
      <c r="D743" s="2963">
        <v>-3243</v>
      </c>
      <c r="E743" s="2963" t="s">
        <v>3893</v>
      </c>
      <c r="F743" s="2966">
        <v>160000</v>
      </c>
      <c r="G743" s="2971">
        <v>39.19</v>
      </c>
      <c r="H743" s="2963" t="s">
        <v>3185</v>
      </c>
      <c r="I743" s="2963" t="s">
        <v>3086</v>
      </c>
    </row>
    <row r="744" spans="1:9">
      <c r="A744" s="2963" t="s">
        <v>3328</v>
      </c>
      <c r="B744" s="2963" t="s">
        <v>3355</v>
      </c>
      <c r="D744" s="2963">
        <v>-3244</v>
      </c>
      <c r="E744" s="2963" t="s">
        <v>3894</v>
      </c>
      <c r="F744" s="2966">
        <v>160000</v>
      </c>
      <c r="G744" s="2971">
        <v>39.19</v>
      </c>
      <c r="H744" s="2963" t="s">
        <v>3185</v>
      </c>
      <c r="I744" s="2963" t="s">
        <v>3086</v>
      </c>
    </row>
    <row r="745" spans="1:9">
      <c r="A745" s="2963" t="s">
        <v>3328</v>
      </c>
      <c r="B745" s="2963" t="s">
        <v>3355</v>
      </c>
      <c r="D745" s="2963">
        <v>-3245</v>
      </c>
      <c r="E745" s="2963" t="s">
        <v>3895</v>
      </c>
      <c r="F745" s="2966">
        <v>160000</v>
      </c>
      <c r="G745" s="2971">
        <v>39.19</v>
      </c>
      <c r="H745" s="2963" t="s">
        <v>3185</v>
      </c>
      <c r="I745" s="2963" t="s">
        <v>3086</v>
      </c>
    </row>
    <row r="746" spans="1:9">
      <c r="A746" s="2963" t="s">
        <v>3328</v>
      </c>
      <c r="B746" s="2963" t="s">
        <v>3355</v>
      </c>
      <c r="D746" s="2963">
        <v>-3246</v>
      </c>
      <c r="E746" s="2963" t="s">
        <v>3896</v>
      </c>
      <c r="F746" s="2966">
        <v>160000</v>
      </c>
      <c r="G746" s="2971">
        <v>39.19</v>
      </c>
      <c r="H746" s="2963" t="s">
        <v>3185</v>
      </c>
      <c r="I746" s="2963" t="s">
        <v>3086</v>
      </c>
    </row>
    <row r="747" spans="1:9">
      <c r="A747" s="2963" t="s">
        <v>3328</v>
      </c>
      <c r="B747" s="2963" t="s">
        <v>3355</v>
      </c>
      <c r="D747" s="2963">
        <v>-3247</v>
      </c>
      <c r="E747" s="2963" t="s">
        <v>3897</v>
      </c>
      <c r="F747" s="2966">
        <v>160000</v>
      </c>
      <c r="G747" s="2971">
        <v>39.19</v>
      </c>
      <c r="H747" s="2963" t="s">
        <v>3185</v>
      </c>
      <c r="I747" s="2963" t="s">
        <v>3086</v>
      </c>
    </row>
    <row r="748" spans="1:9">
      <c r="A748" s="2963" t="s">
        <v>3328</v>
      </c>
      <c r="B748" s="2963" t="s">
        <v>3355</v>
      </c>
      <c r="D748" s="2963">
        <v>-3248</v>
      </c>
      <c r="E748" s="2963" t="s">
        <v>3898</v>
      </c>
      <c r="F748" s="2966">
        <v>160000</v>
      </c>
      <c r="G748" s="2971">
        <v>39.19</v>
      </c>
      <c r="H748" s="2963" t="s">
        <v>3185</v>
      </c>
      <c r="I748" s="2963" t="s">
        <v>3086</v>
      </c>
    </row>
    <row r="749" spans="1:9">
      <c r="A749" s="2963" t="s">
        <v>3328</v>
      </c>
      <c r="B749" s="2963" t="s">
        <v>3355</v>
      </c>
      <c r="D749" s="2963">
        <v>-3249</v>
      </c>
      <c r="E749" s="2963" t="s">
        <v>3899</v>
      </c>
      <c r="F749" s="2966">
        <v>160000</v>
      </c>
      <c r="G749" s="2971">
        <v>39.19</v>
      </c>
      <c r="H749" s="2963" t="s">
        <v>3185</v>
      </c>
      <c r="I749" s="2963" t="s">
        <v>3086</v>
      </c>
    </row>
    <row r="750" spans="1:9">
      <c r="A750" s="2963" t="s">
        <v>3328</v>
      </c>
      <c r="B750" s="2963" t="s">
        <v>3355</v>
      </c>
      <c r="D750" s="2963">
        <v>-3250</v>
      </c>
      <c r="E750" s="2963" t="s">
        <v>3900</v>
      </c>
      <c r="F750" s="2966">
        <v>160000</v>
      </c>
      <c r="G750" s="2971">
        <v>39.19</v>
      </c>
      <c r="H750" s="2963" t="s">
        <v>3185</v>
      </c>
      <c r="I750" s="2963" t="s">
        <v>3086</v>
      </c>
    </row>
    <row r="751" spans="1:9">
      <c r="A751" s="2963" t="s">
        <v>3328</v>
      </c>
      <c r="B751" s="2963" t="s">
        <v>3355</v>
      </c>
      <c r="D751" s="2963">
        <v>-3251</v>
      </c>
      <c r="E751" s="2963" t="s">
        <v>3901</v>
      </c>
      <c r="F751" s="2966">
        <v>160000</v>
      </c>
      <c r="G751" s="2971">
        <v>39.19</v>
      </c>
      <c r="H751" s="2963" t="s">
        <v>3185</v>
      </c>
      <c r="I751" s="2963" t="s">
        <v>3086</v>
      </c>
    </row>
    <row r="752" spans="1:9">
      <c r="A752" s="2963" t="s">
        <v>3328</v>
      </c>
      <c r="B752" s="2963" t="s">
        <v>3355</v>
      </c>
      <c r="D752" s="2963">
        <v>-3252</v>
      </c>
      <c r="E752" s="2963" t="s">
        <v>3902</v>
      </c>
      <c r="F752" s="2966">
        <v>160000</v>
      </c>
      <c r="G752" s="2971">
        <v>39.19</v>
      </c>
      <c r="H752" s="2963" t="s">
        <v>3185</v>
      </c>
      <c r="I752" s="2963" t="s">
        <v>3086</v>
      </c>
    </row>
    <row r="753" spans="1:9">
      <c r="A753" s="2963" t="s">
        <v>3328</v>
      </c>
      <c r="B753" s="2963" t="s">
        <v>3355</v>
      </c>
      <c r="D753" s="2963">
        <v>-3253</v>
      </c>
      <c r="E753" s="2963" t="s">
        <v>3903</v>
      </c>
      <c r="F753" s="2966">
        <v>160000</v>
      </c>
      <c r="G753" s="2971">
        <v>39.19</v>
      </c>
      <c r="H753" s="2963" t="s">
        <v>3185</v>
      </c>
      <c r="I753" s="2963" t="s">
        <v>3086</v>
      </c>
    </row>
    <row r="754" spans="1:9">
      <c r="A754" s="2963" t="s">
        <v>3328</v>
      </c>
      <c r="B754" s="2963" t="s">
        <v>3355</v>
      </c>
      <c r="D754" s="2963">
        <v>-3254</v>
      </c>
      <c r="E754" s="2963" t="s">
        <v>3904</v>
      </c>
      <c r="F754" s="2966">
        <v>160000</v>
      </c>
      <c r="G754" s="2971">
        <v>39.19</v>
      </c>
      <c r="H754" s="2963" t="s">
        <v>3185</v>
      </c>
      <c r="I754" s="2963" t="s">
        <v>3086</v>
      </c>
    </row>
    <row r="755" spans="1:9">
      <c r="A755" s="2963" t="s">
        <v>3328</v>
      </c>
      <c r="B755" s="2963" t="s">
        <v>3355</v>
      </c>
      <c r="D755" s="2963">
        <v>-3255</v>
      </c>
      <c r="E755" s="2963" t="s">
        <v>3905</v>
      </c>
      <c r="F755" s="2966">
        <v>160000</v>
      </c>
      <c r="G755" s="2971">
        <v>39.19</v>
      </c>
      <c r="H755" s="2963" t="s">
        <v>3185</v>
      </c>
      <c r="I755" s="2963" t="s">
        <v>3086</v>
      </c>
    </row>
    <row r="756" spans="1:9">
      <c r="A756" s="2963" t="s">
        <v>3328</v>
      </c>
      <c r="B756" s="2963" t="s">
        <v>3355</v>
      </c>
      <c r="D756" s="2963">
        <v>-3256</v>
      </c>
      <c r="E756" s="2963" t="s">
        <v>3906</v>
      </c>
      <c r="F756" s="2966">
        <v>160000</v>
      </c>
      <c r="G756" s="2971">
        <v>39.19</v>
      </c>
      <c r="H756" s="2963" t="s">
        <v>3185</v>
      </c>
      <c r="I756" s="2963" t="s">
        <v>3086</v>
      </c>
    </row>
    <row r="757" spans="1:9">
      <c r="A757" s="2963" t="s">
        <v>3328</v>
      </c>
      <c r="B757" s="2963" t="s">
        <v>3355</v>
      </c>
      <c r="D757" s="2963">
        <v>-3258</v>
      </c>
      <c r="E757" s="2963" t="s">
        <v>3907</v>
      </c>
      <c r="F757" s="2966">
        <v>160000</v>
      </c>
      <c r="G757" s="2971">
        <v>39.19</v>
      </c>
      <c r="H757" s="2963" t="s">
        <v>3185</v>
      </c>
      <c r="I757" s="2963" t="s">
        <v>3086</v>
      </c>
    </row>
    <row r="758" spans="1:9">
      <c r="A758" s="2963" t="s">
        <v>3328</v>
      </c>
      <c r="B758" s="2963" t="s">
        <v>3355</v>
      </c>
      <c r="D758" s="2963">
        <v>-3259</v>
      </c>
      <c r="E758" s="2963" t="s">
        <v>3908</v>
      </c>
      <c r="F758" s="2966">
        <v>160000</v>
      </c>
      <c r="G758" s="2971">
        <v>39.19</v>
      </c>
      <c r="H758" s="2963" t="s">
        <v>3185</v>
      </c>
      <c r="I758" s="2963" t="s">
        <v>3086</v>
      </c>
    </row>
    <row r="759" spans="1:9">
      <c r="A759" s="2963" t="s">
        <v>3328</v>
      </c>
      <c r="B759" s="2963" t="s">
        <v>3355</v>
      </c>
      <c r="D759" s="2963">
        <v>-3260</v>
      </c>
      <c r="E759" s="2963" t="s">
        <v>3909</v>
      </c>
      <c r="F759" s="2966">
        <v>160000</v>
      </c>
      <c r="G759" s="2971">
        <v>39.19</v>
      </c>
      <c r="H759" s="2963" t="s">
        <v>3185</v>
      </c>
      <c r="I759" s="2963" t="s">
        <v>3086</v>
      </c>
    </row>
    <row r="760" spans="1:9">
      <c r="A760" s="2963" t="s">
        <v>3328</v>
      </c>
      <c r="B760" s="2963" t="s">
        <v>3355</v>
      </c>
      <c r="D760" s="2963">
        <v>-3261</v>
      </c>
      <c r="E760" s="2963" t="s">
        <v>3910</v>
      </c>
      <c r="F760" s="2966">
        <v>160000</v>
      </c>
      <c r="G760" s="2971">
        <v>39.19</v>
      </c>
      <c r="H760" s="2963" t="s">
        <v>3185</v>
      </c>
      <c r="I760" s="2963" t="s">
        <v>3086</v>
      </c>
    </row>
    <row r="761" spans="1:9">
      <c r="A761" s="2963" t="s">
        <v>3328</v>
      </c>
      <c r="B761" s="2963" t="s">
        <v>3355</v>
      </c>
      <c r="D761" s="2963">
        <v>-3266</v>
      </c>
      <c r="E761" s="2963" t="s">
        <v>3911</v>
      </c>
      <c r="F761" s="2966">
        <v>160000</v>
      </c>
      <c r="G761" s="2971">
        <v>39.19</v>
      </c>
      <c r="H761" s="2963" t="s">
        <v>3185</v>
      </c>
      <c r="I761" s="2963" t="s">
        <v>3086</v>
      </c>
    </row>
    <row r="762" spans="1:9">
      <c r="A762" s="2963" t="s">
        <v>3328</v>
      </c>
      <c r="B762" s="2963" t="s">
        <v>3355</v>
      </c>
      <c r="D762" s="2963">
        <v>-3267</v>
      </c>
      <c r="E762" s="2963" t="s">
        <v>3912</v>
      </c>
      <c r="F762" s="2966">
        <v>160000</v>
      </c>
      <c r="G762" s="2971">
        <v>39.19</v>
      </c>
      <c r="H762" s="2963" t="s">
        <v>3185</v>
      </c>
      <c r="I762" s="2963" t="s">
        <v>3086</v>
      </c>
    </row>
    <row r="763" spans="1:9">
      <c r="A763" s="2963" t="s">
        <v>3328</v>
      </c>
      <c r="B763" s="2963" t="s">
        <v>3355</v>
      </c>
      <c r="D763" s="2963">
        <v>-3268</v>
      </c>
      <c r="E763" s="2963" t="s">
        <v>3913</v>
      </c>
      <c r="F763" s="2966">
        <v>160000</v>
      </c>
      <c r="G763" s="2971">
        <v>39.19</v>
      </c>
      <c r="H763" s="2963" t="s">
        <v>3185</v>
      </c>
      <c r="I763" s="2963" t="s">
        <v>3086</v>
      </c>
    </row>
    <row r="764" spans="1:9">
      <c r="A764" s="2963" t="s">
        <v>3328</v>
      </c>
      <c r="B764" s="2963" t="s">
        <v>3355</v>
      </c>
      <c r="D764" s="2963">
        <v>-3269</v>
      </c>
      <c r="E764" s="2963" t="s">
        <v>3914</v>
      </c>
      <c r="F764" s="2966">
        <v>160000</v>
      </c>
      <c r="G764" s="2971">
        <v>39.19</v>
      </c>
      <c r="H764" s="2963" t="s">
        <v>3185</v>
      </c>
      <c r="I764" s="2963" t="s">
        <v>3086</v>
      </c>
    </row>
    <row r="765" spans="1:9">
      <c r="A765" s="2963" t="s">
        <v>3328</v>
      </c>
      <c r="B765" s="2963" t="s">
        <v>3355</v>
      </c>
      <c r="D765" s="2963">
        <v>-3270</v>
      </c>
      <c r="E765" s="2963" t="s">
        <v>3915</v>
      </c>
      <c r="F765" s="2966">
        <v>160000</v>
      </c>
      <c r="G765" s="2971">
        <v>39.19</v>
      </c>
      <c r="H765" s="2963" t="s">
        <v>3185</v>
      </c>
      <c r="I765" s="2963" t="s">
        <v>3086</v>
      </c>
    </row>
    <row r="766" spans="1:9">
      <c r="A766" s="2963" t="s">
        <v>3328</v>
      </c>
      <c r="B766" s="2963" t="s">
        <v>3355</v>
      </c>
      <c r="D766" s="2963">
        <v>-3271</v>
      </c>
      <c r="E766" s="2963" t="s">
        <v>3916</v>
      </c>
      <c r="F766" s="2966">
        <v>160000</v>
      </c>
      <c r="G766" s="2971">
        <v>39.19</v>
      </c>
      <c r="H766" s="2963" t="s">
        <v>3185</v>
      </c>
      <c r="I766" s="2963" t="s">
        <v>3086</v>
      </c>
    </row>
    <row r="767" spans="1:9">
      <c r="A767" s="2963" t="s">
        <v>3328</v>
      </c>
      <c r="B767" s="2963" t="s">
        <v>3355</v>
      </c>
      <c r="D767" s="2963">
        <v>-3272</v>
      </c>
      <c r="E767" s="2963" t="s">
        <v>3917</v>
      </c>
      <c r="F767" s="2966">
        <v>160000</v>
      </c>
      <c r="G767" s="2971">
        <v>39.19</v>
      </c>
      <c r="H767" s="2963" t="s">
        <v>3185</v>
      </c>
      <c r="I767" s="2963" t="s">
        <v>3086</v>
      </c>
    </row>
    <row r="768" spans="1:9">
      <c r="A768" s="2963" t="s">
        <v>3328</v>
      </c>
      <c r="B768" s="2963" t="s">
        <v>3355</v>
      </c>
      <c r="D768" s="2963">
        <v>-3273</v>
      </c>
      <c r="E768" s="2963" t="s">
        <v>3918</v>
      </c>
      <c r="F768" s="2966">
        <v>160000</v>
      </c>
      <c r="G768" s="2971">
        <v>39.19</v>
      </c>
      <c r="H768" s="2963" t="s">
        <v>3185</v>
      </c>
      <c r="I768" s="2963" t="s">
        <v>3086</v>
      </c>
    </row>
    <row r="769" spans="1:9">
      <c r="A769" s="2963" t="s">
        <v>3328</v>
      </c>
      <c r="B769" s="2963" t="s">
        <v>3355</v>
      </c>
      <c r="D769" s="2963">
        <v>-3274</v>
      </c>
      <c r="E769" s="2963" t="s">
        <v>3919</v>
      </c>
      <c r="F769" s="2966">
        <v>160000</v>
      </c>
      <c r="G769" s="2971">
        <v>39.19</v>
      </c>
      <c r="H769" s="2963" t="s">
        <v>3185</v>
      </c>
      <c r="I769" s="2963" t="s">
        <v>3086</v>
      </c>
    </row>
    <row r="770" spans="1:9">
      <c r="A770" s="2963" t="s">
        <v>3328</v>
      </c>
      <c r="B770" s="2963" t="s">
        <v>3355</v>
      </c>
      <c r="D770" s="2963">
        <v>-3275</v>
      </c>
      <c r="E770" s="2963" t="s">
        <v>3920</v>
      </c>
      <c r="F770" s="2966">
        <v>160000</v>
      </c>
      <c r="G770" s="2971">
        <v>39.19</v>
      </c>
      <c r="H770" s="2963" t="s">
        <v>3185</v>
      </c>
      <c r="I770" s="2963" t="s">
        <v>3086</v>
      </c>
    </row>
    <row r="771" spans="1:9">
      <c r="A771" s="2963" t="s">
        <v>3328</v>
      </c>
      <c r="B771" s="2963" t="s">
        <v>3355</v>
      </c>
      <c r="D771" s="2963">
        <v>-3276</v>
      </c>
      <c r="E771" s="2963" t="s">
        <v>3921</v>
      </c>
      <c r="F771" s="2966">
        <v>160000</v>
      </c>
      <c r="G771" s="2971">
        <v>39.19</v>
      </c>
      <c r="H771" s="2963" t="s">
        <v>3185</v>
      </c>
      <c r="I771" s="2963" t="s">
        <v>3086</v>
      </c>
    </row>
    <row r="772" spans="1:9">
      <c r="A772" s="2963" t="s">
        <v>3328</v>
      </c>
      <c r="B772" s="2963" t="s">
        <v>3355</v>
      </c>
      <c r="D772" s="2963">
        <v>-3277</v>
      </c>
      <c r="E772" s="2963" t="s">
        <v>3922</v>
      </c>
      <c r="F772" s="2966">
        <v>160000</v>
      </c>
      <c r="G772" s="2971">
        <v>39.19</v>
      </c>
      <c r="H772" s="2963" t="s">
        <v>3185</v>
      </c>
      <c r="I772" s="2963" t="s">
        <v>3086</v>
      </c>
    </row>
    <row r="773" spans="1:9">
      <c r="A773" s="2963" t="s">
        <v>3328</v>
      </c>
      <c r="B773" s="2963" t="s">
        <v>3355</v>
      </c>
      <c r="D773" s="2963">
        <v>-3278</v>
      </c>
      <c r="E773" s="2963" t="s">
        <v>3923</v>
      </c>
      <c r="F773" s="2966">
        <v>160000</v>
      </c>
      <c r="G773" s="2971">
        <v>39.19</v>
      </c>
      <c r="H773" s="2963" t="s">
        <v>3185</v>
      </c>
      <c r="I773" s="2963" t="s">
        <v>3086</v>
      </c>
    </row>
    <row r="774" spans="1:9">
      <c r="A774" s="2963" t="s">
        <v>3328</v>
      </c>
      <c r="B774" s="2963" t="s">
        <v>3355</v>
      </c>
      <c r="D774" s="2963">
        <v>-3279</v>
      </c>
      <c r="E774" s="2963" t="s">
        <v>3924</v>
      </c>
      <c r="F774" s="2966">
        <v>160000</v>
      </c>
      <c r="G774" s="2971">
        <v>39.19</v>
      </c>
      <c r="H774" s="2963" t="s">
        <v>3185</v>
      </c>
      <c r="I774" s="2963" t="s">
        <v>3086</v>
      </c>
    </row>
    <row r="775" spans="1:9">
      <c r="A775" s="2963" t="s">
        <v>3328</v>
      </c>
      <c r="B775" s="2963" t="s">
        <v>3355</v>
      </c>
      <c r="D775" s="2963">
        <v>-3280</v>
      </c>
      <c r="E775" s="2963" t="s">
        <v>3925</v>
      </c>
      <c r="F775" s="2966">
        <v>160000</v>
      </c>
      <c r="G775" s="2971">
        <v>39.19</v>
      </c>
      <c r="H775" s="2963" t="s">
        <v>3185</v>
      </c>
      <c r="I775" s="2963" t="s">
        <v>3086</v>
      </c>
    </row>
    <row r="776" spans="1:9">
      <c r="A776" s="2963" t="s">
        <v>3328</v>
      </c>
      <c r="B776" s="2963" t="s">
        <v>3355</v>
      </c>
      <c r="D776" s="2963">
        <v>-3281</v>
      </c>
      <c r="E776" s="2963" t="s">
        <v>3926</v>
      </c>
      <c r="F776" s="2966">
        <v>160000</v>
      </c>
      <c r="G776" s="2971">
        <v>39.19</v>
      </c>
      <c r="H776" s="2963" t="s">
        <v>3185</v>
      </c>
      <c r="I776" s="2963" t="s">
        <v>3086</v>
      </c>
    </row>
    <row r="777" spans="1:9">
      <c r="A777" s="2963" t="s">
        <v>3328</v>
      </c>
      <c r="B777" s="2963" t="s">
        <v>3355</v>
      </c>
      <c r="D777" s="2963">
        <v>-3283</v>
      </c>
      <c r="E777" s="2963" t="s">
        <v>3927</v>
      </c>
      <c r="F777" s="2966">
        <v>160000</v>
      </c>
      <c r="G777" s="2971">
        <v>39.19</v>
      </c>
      <c r="H777" s="2963" t="s">
        <v>3185</v>
      </c>
      <c r="I777" s="2963" t="s">
        <v>3086</v>
      </c>
    </row>
    <row r="778" spans="1:9">
      <c r="A778" s="2963" t="s">
        <v>3328</v>
      </c>
      <c r="B778" s="2963" t="s">
        <v>3355</v>
      </c>
      <c r="D778" s="2963">
        <v>-3285</v>
      </c>
      <c r="E778" s="2963" t="s">
        <v>3928</v>
      </c>
      <c r="F778" s="2966">
        <v>160000</v>
      </c>
      <c r="G778" s="2971">
        <v>36.049999999999997</v>
      </c>
      <c r="H778" s="2963" t="s">
        <v>3185</v>
      </c>
      <c r="I778" s="2963" t="s">
        <v>3086</v>
      </c>
    </row>
    <row r="779" spans="1:9">
      <c r="A779" s="2963" t="s">
        <v>3328</v>
      </c>
      <c r="B779" s="2963" t="s">
        <v>3355</v>
      </c>
      <c r="D779" s="2963">
        <v>-3286</v>
      </c>
      <c r="E779" s="2963" t="s">
        <v>3929</v>
      </c>
      <c r="F779" s="2966">
        <v>160000</v>
      </c>
      <c r="G779" s="2971">
        <v>39.19</v>
      </c>
      <c r="H779" s="2963" t="s">
        <v>3185</v>
      </c>
      <c r="I779" s="2963" t="s">
        <v>3086</v>
      </c>
    </row>
    <row r="780" spans="1:9">
      <c r="A780" s="2963" t="s">
        <v>3328</v>
      </c>
      <c r="B780" s="2963" t="s">
        <v>3355</v>
      </c>
      <c r="D780" s="2963">
        <v>-3287</v>
      </c>
      <c r="E780" s="2963" t="s">
        <v>3930</v>
      </c>
      <c r="F780" s="2966">
        <v>160000</v>
      </c>
      <c r="G780" s="2971">
        <v>39.19</v>
      </c>
      <c r="H780" s="2963" t="s">
        <v>3185</v>
      </c>
      <c r="I780" s="2963" t="s">
        <v>3086</v>
      </c>
    </row>
    <row r="781" spans="1:9">
      <c r="A781" s="2963" t="s">
        <v>3328</v>
      </c>
      <c r="B781" s="2963" t="s">
        <v>3355</v>
      </c>
      <c r="D781" s="2963">
        <v>-3288</v>
      </c>
      <c r="E781" s="2963" t="s">
        <v>3931</v>
      </c>
      <c r="F781" s="2966">
        <v>160000</v>
      </c>
      <c r="G781" s="2971">
        <v>39.19</v>
      </c>
      <c r="H781" s="2963" t="s">
        <v>3185</v>
      </c>
      <c r="I781" s="2963" t="s">
        <v>3086</v>
      </c>
    </row>
    <row r="782" spans="1:9">
      <c r="A782" s="2963" t="s">
        <v>3328</v>
      </c>
      <c r="B782" s="2963" t="s">
        <v>3355</v>
      </c>
      <c r="D782" s="2963">
        <v>-3289</v>
      </c>
      <c r="E782" s="2963" t="s">
        <v>3932</v>
      </c>
      <c r="F782" s="2966">
        <v>160000</v>
      </c>
      <c r="G782" s="2971">
        <v>39.19</v>
      </c>
      <c r="H782" s="2963" t="s">
        <v>3185</v>
      </c>
      <c r="I782" s="2963" t="s">
        <v>3086</v>
      </c>
    </row>
    <row r="783" spans="1:9">
      <c r="A783" s="2963" t="s">
        <v>3328</v>
      </c>
      <c r="B783" s="2963" t="s">
        <v>3355</v>
      </c>
      <c r="D783" s="2963">
        <v>-3290</v>
      </c>
      <c r="E783" s="2963" t="s">
        <v>3933</v>
      </c>
      <c r="F783" s="2966">
        <v>160000</v>
      </c>
      <c r="G783" s="2971">
        <v>39.19</v>
      </c>
      <c r="H783" s="2963" t="s">
        <v>3185</v>
      </c>
      <c r="I783" s="2963" t="s">
        <v>3086</v>
      </c>
    </row>
    <row r="784" spans="1:9">
      <c r="A784" s="2963" t="s">
        <v>3328</v>
      </c>
      <c r="B784" s="2963" t="s">
        <v>3355</v>
      </c>
      <c r="D784" s="2963">
        <v>-3291</v>
      </c>
      <c r="E784" s="2963" t="s">
        <v>3934</v>
      </c>
      <c r="F784" s="2966">
        <v>160000</v>
      </c>
      <c r="G784" s="2971">
        <v>39.19</v>
      </c>
      <c r="H784" s="2963" t="s">
        <v>3185</v>
      </c>
      <c r="I784" s="2963" t="s">
        <v>3086</v>
      </c>
    </row>
    <row r="785" spans="1:9">
      <c r="A785" s="2963" t="s">
        <v>3328</v>
      </c>
      <c r="B785" s="2963" t="s">
        <v>3355</v>
      </c>
      <c r="D785" s="2963">
        <v>-3292</v>
      </c>
      <c r="E785" s="2963" t="s">
        <v>3935</v>
      </c>
      <c r="F785" s="2966">
        <v>160000</v>
      </c>
      <c r="G785" s="2971">
        <v>39.19</v>
      </c>
      <c r="H785" s="2963" t="s">
        <v>3185</v>
      </c>
      <c r="I785" s="2963" t="s">
        <v>3086</v>
      </c>
    </row>
    <row r="786" spans="1:9">
      <c r="A786" s="2963" t="s">
        <v>3328</v>
      </c>
      <c r="B786" s="2963" t="s">
        <v>3355</v>
      </c>
      <c r="D786" s="2963">
        <v>-3293</v>
      </c>
      <c r="E786" s="2963" t="s">
        <v>3936</v>
      </c>
      <c r="F786" s="2966">
        <v>160000</v>
      </c>
      <c r="G786" s="2971">
        <v>39.19</v>
      </c>
      <c r="H786" s="2963" t="s">
        <v>3185</v>
      </c>
      <c r="I786" s="2963" t="s">
        <v>3086</v>
      </c>
    </row>
    <row r="787" spans="1:9">
      <c r="A787" s="2963" t="s">
        <v>3328</v>
      </c>
      <c r="B787" s="2963" t="s">
        <v>3355</v>
      </c>
      <c r="D787" s="2963">
        <v>-3294</v>
      </c>
      <c r="E787" s="2963" t="s">
        <v>3937</v>
      </c>
      <c r="F787" s="2966">
        <v>160000</v>
      </c>
      <c r="G787" s="2971">
        <v>39.19</v>
      </c>
      <c r="H787" s="2963" t="s">
        <v>3185</v>
      </c>
      <c r="I787" s="2963" t="s">
        <v>3086</v>
      </c>
    </row>
    <row r="788" spans="1:9">
      <c r="A788" s="2963" t="s">
        <v>3328</v>
      </c>
      <c r="B788" s="2963" t="s">
        <v>3355</v>
      </c>
      <c r="D788" s="2963">
        <v>-3295</v>
      </c>
      <c r="E788" s="2963" t="s">
        <v>3938</v>
      </c>
      <c r="F788" s="2966">
        <v>160000</v>
      </c>
      <c r="G788" s="2971">
        <v>39.19</v>
      </c>
      <c r="H788" s="2963" t="s">
        <v>3185</v>
      </c>
      <c r="I788" s="2963" t="s">
        <v>3086</v>
      </c>
    </row>
    <row r="789" spans="1:9">
      <c r="A789" s="2963" t="s">
        <v>3328</v>
      </c>
      <c r="B789" s="2963" t="s">
        <v>3355</v>
      </c>
      <c r="D789" s="2963">
        <v>-3296</v>
      </c>
      <c r="E789" s="2963" t="s">
        <v>3939</v>
      </c>
      <c r="F789" s="2966">
        <v>160000</v>
      </c>
      <c r="G789" s="2971">
        <v>39.19</v>
      </c>
      <c r="H789" s="2963" t="s">
        <v>3185</v>
      </c>
      <c r="I789" s="2963" t="s">
        <v>3086</v>
      </c>
    </row>
    <row r="790" spans="1:9">
      <c r="A790" s="2963" t="s">
        <v>3328</v>
      </c>
      <c r="B790" s="2963" t="s">
        <v>3355</v>
      </c>
      <c r="D790" s="2963">
        <v>-3297</v>
      </c>
      <c r="E790" s="2963" t="s">
        <v>3940</v>
      </c>
      <c r="F790" s="2966">
        <v>160000</v>
      </c>
      <c r="G790" s="2971">
        <v>39.19</v>
      </c>
      <c r="H790" s="2963" t="s">
        <v>3185</v>
      </c>
      <c r="I790" s="2963" t="s">
        <v>3086</v>
      </c>
    </row>
    <row r="791" spans="1:9">
      <c r="A791" s="2963" t="s">
        <v>3328</v>
      </c>
      <c r="B791" s="2963" t="s">
        <v>3355</v>
      </c>
      <c r="D791" s="2963">
        <v>-3298</v>
      </c>
      <c r="E791" s="2963" t="s">
        <v>3941</v>
      </c>
      <c r="F791" s="2966">
        <v>160000</v>
      </c>
      <c r="G791" s="2971">
        <v>39.19</v>
      </c>
      <c r="H791" s="2963" t="s">
        <v>3185</v>
      </c>
      <c r="I791" s="2963" t="s">
        <v>3086</v>
      </c>
    </row>
    <row r="792" spans="1:9">
      <c r="A792" s="2963" t="s">
        <v>3328</v>
      </c>
      <c r="B792" s="2963" t="s">
        <v>3355</v>
      </c>
      <c r="D792" s="2963">
        <v>-3299</v>
      </c>
      <c r="E792" s="2963" t="s">
        <v>3942</v>
      </c>
      <c r="F792" s="2966">
        <v>160000</v>
      </c>
      <c r="G792" s="2971">
        <v>39.19</v>
      </c>
      <c r="H792" s="2963" t="s">
        <v>3185</v>
      </c>
      <c r="I792" s="2963" t="s">
        <v>3086</v>
      </c>
    </row>
    <row r="793" spans="1:9">
      <c r="A793" s="2963" t="s">
        <v>3328</v>
      </c>
      <c r="B793" s="2963" t="s">
        <v>3355</v>
      </c>
      <c r="D793" s="2963">
        <v>-3300</v>
      </c>
      <c r="E793" s="2963" t="s">
        <v>3943</v>
      </c>
      <c r="F793" s="2966">
        <v>160000</v>
      </c>
      <c r="G793" s="2971">
        <v>39.19</v>
      </c>
      <c r="H793" s="2963" t="s">
        <v>3185</v>
      </c>
      <c r="I793" s="2963" t="s">
        <v>3086</v>
      </c>
    </row>
    <row r="794" spans="1:9">
      <c r="A794" s="2963" t="s">
        <v>3328</v>
      </c>
      <c r="B794" s="2963" t="s">
        <v>3355</v>
      </c>
      <c r="D794" s="2963">
        <v>-3301</v>
      </c>
      <c r="E794" s="2963" t="s">
        <v>3944</v>
      </c>
      <c r="F794" s="2966">
        <v>160000</v>
      </c>
      <c r="G794" s="2971">
        <v>39.19</v>
      </c>
      <c r="H794" s="2963" t="s">
        <v>3185</v>
      </c>
      <c r="I794" s="2963" t="s">
        <v>3086</v>
      </c>
    </row>
    <row r="795" spans="1:9">
      <c r="A795" s="2963" t="s">
        <v>3328</v>
      </c>
      <c r="B795" s="2963" t="s">
        <v>3355</v>
      </c>
      <c r="D795" s="2963">
        <v>-3302</v>
      </c>
      <c r="E795" s="2963" t="s">
        <v>3945</v>
      </c>
      <c r="F795" s="2966">
        <v>160000</v>
      </c>
      <c r="G795" s="2971">
        <v>39.19</v>
      </c>
      <c r="H795" s="2963" t="s">
        <v>3185</v>
      </c>
      <c r="I795" s="2963" t="s">
        <v>3086</v>
      </c>
    </row>
    <row r="796" spans="1:9">
      <c r="A796" s="2963" t="s">
        <v>3328</v>
      </c>
      <c r="B796" s="2963" t="s">
        <v>3355</v>
      </c>
      <c r="D796" s="2963">
        <v>-3303</v>
      </c>
      <c r="E796" s="2963" t="s">
        <v>3946</v>
      </c>
      <c r="F796" s="2966">
        <v>160000</v>
      </c>
      <c r="G796" s="2971">
        <v>39.19</v>
      </c>
      <c r="H796" s="2963" t="s">
        <v>3185</v>
      </c>
      <c r="I796" s="2963" t="s">
        <v>3086</v>
      </c>
    </row>
    <row r="797" spans="1:9">
      <c r="A797" s="2963" t="s">
        <v>3328</v>
      </c>
      <c r="B797" s="2963" t="s">
        <v>3355</v>
      </c>
      <c r="D797" s="2963">
        <v>-3304</v>
      </c>
      <c r="E797" s="2963" t="s">
        <v>3947</v>
      </c>
      <c r="F797" s="2966">
        <v>160000</v>
      </c>
      <c r="G797" s="2971">
        <v>39.19</v>
      </c>
      <c r="H797" s="2963" t="s">
        <v>3185</v>
      </c>
      <c r="I797" s="2963" t="s">
        <v>3086</v>
      </c>
    </row>
    <row r="798" spans="1:9">
      <c r="A798" s="2963" t="s">
        <v>3328</v>
      </c>
      <c r="B798" s="2963" t="s">
        <v>3355</v>
      </c>
      <c r="D798" s="2963">
        <v>-3305</v>
      </c>
      <c r="E798" s="2963" t="s">
        <v>3948</v>
      </c>
      <c r="F798" s="2966">
        <v>160000</v>
      </c>
      <c r="G798" s="2971">
        <v>39.19</v>
      </c>
      <c r="H798" s="2963" t="s">
        <v>3185</v>
      </c>
      <c r="I798" s="2963" t="s">
        <v>3086</v>
      </c>
    </row>
    <row r="799" spans="1:9">
      <c r="A799" s="2963" t="s">
        <v>3328</v>
      </c>
      <c r="B799" s="2963" t="s">
        <v>3355</v>
      </c>
      <c r="D799" s="2963">
        <v>-3306</v>
      </c>
      <c r="E799" s="2963" t="s">
        <v>3949</v>
      </c>
      <c r="F799" s="2966">
        <v>160000</v>
      </c>
      <c r="G799" s="2971">
        <v>39.19</v>
      </c>
      <c r="H799" s="2963" t="s">
        <v>3185</v>
      </c>
      <c r="I799" s="2963" t="s">
        <v>3086</v>
      </c>
    </row>
    <row r="800" spans="1:9">
      <c r="A800" s="2963" t="s">
        <v>3328</v>
      </c>
      <c r="B800" s="2963" t="s">
        <v>3355</v>
      </c>
      <c r="D800" s="2963">
        <v>-3307</v>
      </c>
      <c r="E800" s="2963" t="s">
        <v>3950</v>
      </c>
      <c r="F800" s="2966">
        <v>160000</v>
      </c>
      <c r="G800" s="2971">
        <v>39.19</v>
      </c>
      <c r="H800" s="2963" t="s">
        <v>3185</v>
      </c>
      <c r="I800" s="2963" t="s">
        <v>3086</v>
      </c>
    </row>
    <row r="801" spans="1:9">
      <c r="A801" s="2963" t="s">
        <v>3328</v>
      </c>
      <c r="B801" s="2963" t="s">
        <v>3355</v>
      </c>
      <c r="D801" s="2963">
        <v>-3308</v>
      </c>
      <c r="E801" s="2963" t="s">
        <v>3951</v>
      </c>
      <c r="F801" s="2966">
        <v>160000</v>
      </c>
      <c r="G801" s="2971">
        <v>39.19</v>
      </c>
      <c r="H801" s="2963" t="s">
        <v>3185</v>
      </c>
      <c r="I801" s="2963" t="s">
        <v>3086</v>
      </c>
    </row>
    <row r="802" spans="1:9">
      <c r="A802" s="2963" t="s">
        <v>3328</v>
      </c>
      <c r="B802" s="2963" t="s">
        <v>3355</v>
      </c>
      <c r="D802" s="2963">
        <v>-3309</v>
      </c>
      <c r="E802" s="2963" t="s">
        <v>3952</v>
      </c>
      <c r="F802" s="2966">
        <v>160000</v>
      </c>
      <c r="G802" s="2971">
        <v>39.19</v>
      </c>
      <c r="H802" s="2963" t="s">
        <v>3185</v>
      </c>
      <c r="I802" s="2963" t="s">
        <v>3086</v>
      </c>
    </row>
    <row r="803" spans="1:9">
      <c r="A803" s="2963" t="s">
        <v>3328</v>
      </c>
      <c r="B803" s="2963" t="s">
        <v>3355</v>
      </c>
      <c r="D803" s="2963">
        <v>-3310</v>
      </c>
      <c r="E803" s="2963" t="s">
        <v>3953</v>
      </c>
      <c r="F803" s="2966">
        <v>160000</v>
      </c>
      <c r="G803" s="2971">
        <v>39.19</v>
      </c>
      <c r="H803" s="2963" t="s">
        <v>3185</v>
      </c>
      <c r="I803" s="2963" t="s">
        <v>3086</v>
      </c>
    </row>
    <row r="804" spans="1:9">
      <c r="A804" s="2963" t="s">
        <v>3328</v>
      </c>
      <c r="B804" s="2963" t="s">
        <v>3355</v>
      </c>
      <c r="D804" s="2963">
        <v>-3311</v>
      </c>
      <c r="E804" s="2963" t="s">
        <v>3954</v>
      </c>
      <c r="F804" s="2966">
        <v>160000</v>
      </c>
      <c r="G804" s="2971">
        <v>39.19</v>
      </c>
      <c r="H804" s="2963" t="s">
        <v>3185</v>
      </c>
      <c r="I804" s="2963" t="s">
        <v>3086</v>
      </c>
    </row>
    <row r="805" spans="1:9">
      <c r="A805" s="2963" t="s">
        <v>3328</v>
      </c>
      <c r="B805" s="2963" t="s">
        <v>3355</v>
      </c>
      <c r="D805" s="2963">
        <v>-3312</v>
      </c>
      <c r="E805" s="2963" t="s">
        <v>3955</v>
      </c>
      <c r="F805" s="2966">
        <v>160000</v>
      </c>
      <c r="G805" s="2971">
        <v>39.19</v>
      </c>
      <c r="H805" s="2963" t="s">
        <v>3185</v>
      </c>
      <c r="I805" s="2963" t="s">
        <v>3086</v>
      </c>
    </row>
    <row r="806" spans="1:9">
      <c r="A806" s="2963" t="s">
        <v>3328</v>
      </c>
      <c r="B806" s="2963" t="s">
        <v>3355</v>
      </c>
      <c r="D806" s="2963">
        <v>-3313</v>
      </c>
      <c r="E806" s="2963" t="s">
        <v>3956</v>
      </c>
      <c r="F806" s="2966">
        <v>160000</v>
      </c>
      <c r="G806" s="2971">
        <v>39.19</v>
      </c>
      <c r="H806" s="2963" t="s">
        <v>3185</v>
      </c>
      <c r="I806" s="2963" t="s">
        <v>3086</v>
      </c>
    </row>
    <row r="807" spans="1:9">
      <c r="A807" s="2963" t="s">
        <v>3328</v>
      </c>
      <c r="B807" s="2963" t="s">
        <v>3355</v>
      </c>
      <c r="D807" s="2963">
        <v>-3314</v>
      </c>
      <c r="E807" s="2963" t="s">
        <v>3957</v>
      </c>
      <c r="F807" s="2966">
        <v>160000</v>
      </c>
      <c r="G807" s="2971">
        <v>39.19</v>
      </c>
      <c r="H807" s="2963" t="s">
        <v>3185</v>
      </c>
      <c r="I807" s="2963" t="s">
        <v>3086</v>
      </c>
    </row>
    <row r="808" spans="1:9">
      <c r="A808" s="2963" t="s">
        <v>3328</v>
      </c>
      <c r="B808" s="2963" t="s">
        <v>3355</v>
      </c>
      <c r="D808" s="2963">
        <v>-3315</v>
      </c>
      <c r="E808" s="2963" t="s">
        <v>3958</v>
      </c>
      <c r="F808" s="2966">
        <v>160000</v>
      </c>
      <c r="G808" s="2971">
        <v>39.19</v>
      </c>
      <c r="H808" s="2963" t="s">
        <v>3185</v>
      </c>
      <c r="I808" s="2963" t="s">
        <v>3086</v>
      </c>
    </row>
    <row r="809" spans="1:9">
      <c r="A809" s="2963" t="s">
        <v>3328</v>
      </c>
      <c r="B809" s="2963" t="s">
        <v>3355</v>
      </c>
      <c r="D809" s="2963">
        <v>-3316</v>
      </c>
      <c r="E809" s="2963" t="s">
        <v>3959</v>
      </c>
      <c r="F809" s="2966">
        <v>160000</v>
      </c>
      <c r="G809" s="2971">
        <v>39.19</v>
      </c>
      <c r="H809" s="2963" t="s">
        <v>3185</v>
      </c>
      <c r="I809" s="2963" t="s">
        <v>3086</v>
      </c>
    </row>
    <row r="810" spans="1:9">
      <c r="A810" s="2963" t="s">
        <v>3328</v>
      </c>
      <c r="B810" s="2963" t="s">
        <v>3355</v>
      </c>
      <c r="D810" s="2963">
        <v>-3317</v>
      </c>
      <c r="E810" s="2963" t="s">
        <v>3960</v>
      </c>
      <c r="F810" s="2966">
        <v>160000</v>
      </c>
      <c r="G810" s="2971">
        <v>39.19</v>
      </c>
      <c r="H810" s="2963" t="s">
        <v>3185</v>
      </c>
      <c r="I810" s="2963" t="s">
        <v>3086</v>
      </c>
    </row>
    <row r="811" spans="1:9">
      <c r="A811" s="2963" t="s">
        <v>3328</v>
      </c>
      <c r="B811" s="2963" t="s">
        <v>3355</v>
      </c>
      <c r="D811" s="2963">
        <v>-3318</v>
      </c>
      <c r="E811" s="2963" t="s">
        <v>3961</v>
      </c>
      <c r="F811" s="2966">
        <v>160000</v>
      </c>
      <c r="G811" s="2971">
        <v>39.19</v>
      </c>
      <c r="H811" s="2963" t="s">
        <v>3185</v>
      </c>
      <c r="I811" s="2963" t="s">
        <v>3086</v>
      </c>
    </row>
    <row r="812" spans="1:9">
      <c r="A812" s="2963" t="s">
        <v>3328</v>
      </c>
      <c r="B812" s="2963" t="s">
        <v>3355</v>
      </c>
      <c r="D812" s="2963">
        <v>-3319</v>
      </c>
      <c r="E812" s="2963" t="s">
        <v>3962</v>
      </c>
      <c r="F812" s="2966">
        <v>170000</v>
      </c>
      <c r="G812" s="2971">
        <v>58</v>
      </c>
      <c r="H812" s="2963" t="s">
        <v>3185</v>
      </c>
      <c r="I812" s="2963" t="s">
        <v>3086</v>
      </c>
    </row>
    <row r="813" spans="1:9">
      <c r="A813" s="2963" t="s">
        <v>3328</v>
      </c>
      <c r="B813" s="2963" t="s">
        <v>3355</v>
      </c>
      <c r="D813" s="2963">
        <v>-3320</v>
      </c>
      <c r="E813" s="2963" t="s">
        <v>3963</v>
      </c>
      <c r="F813" s="2966">
        <v>170000</v>
      </c>
      <c r="G813" s="2971">
        <v>58</v>
      </c>
      <c r="H813" s="2963" t="s">
        <v>3185</v>
      </c>
      <c r="I813" s="2963" t="s">
        <v>3086</v>
      </c>
    </row>
    <row r="814" spans="1:9">
      <c r="A814" s="2963" t="s">
        <v>3328</v>
      </c>
      <c r="B814" s="2963" t="s">
        <v>3355</v>
      </c>
      <c r="D814" s="2963">
        <v>-3321</v>
      </c>
      <c r="E814" s="2963" t="s">
        <v>3964</v>
      </c>
      <c r="F814" s="2966">
        <v>160000</v>
      </c>
      <c r="G814" s="2971">
        <v>39.19</v>
      </c>
      <c r="H814" s="2963" t="s">
        <v>3185</v>
      </c>
      <c r="I814" s="2963" t="s">
        <v>3086</v>
      </c>
    </row>
    <row r="815" spans="1:9">
      <c r="A815" s="2963" t="s">
        <v>3328</v>
      </c>
      <c r="B815" s="2963" t="s">
        <v>3355</v>
      </c>
      <c r="D815" s="2963">
        <v>-3322</v>
      </c>
      <c r="E815" s="2963" t="s">
        <v>3965</v>
      </c>
      <c r="F815" s="2966">
        <v>160000</v>
      </c>
      <c r="G815" s="2971">
        <v>39.19</v>
      </c>
      <c r="H815" s="2963" t="s">
        <v>3185</v>
      </c>
      <c r="I815" s="2963" t="s">
        <v>3086</v>
      </c>
    </row>
    <row r="816" spans="1:9">
      <c r="A816" s="2963" t="s">
        <v>3328</v>
      </c>
      <c r="B816" s="2963" t="s">
        <v>3355</v>
      </c>
      <c r="D816" s="2963">
        <v>-3323</v>
      </c>
      <c r="E816" s="2963" t="s">
        <v>3966</v>
      </c>
      <c r="F816" s="2966">
        <v>160000</v>
      </c>
      <c r="G816" s="2971">
        <v>39.19</v>
      </c>
      <c r="H816" s="2963" t="s">
        <v>3185</v>
      </c>
      <c r="I816" s="2963" t="s">
        <v>3086</v>
      </c>
    </row>
    <row r="817" spans="1:9">
      <c r="A817" s="2963" t="s">
        <v>3328</v>
      </c>
      <c r="B817" s="2963" t="s">
        <v>3355</v>
      </c>
      <c r="D817" s="2963">
        <v>-3324</v>
      </c>
      <c r="E817" s="2963" t="s">
        <v>3967</v>
      </c>
      <c r="F817" s="2966">
        <v>160000</v>
      </c>
      <c r="G817" s="2971">
        <v>39.19</v>
      </c>
      <c r="H817" s="2963" t="s">
        <v>3185</v>
      </c>
      <c r="I817" s="2963" t="s">
        <v>3086</v>
      </c>
    </row>
    <row r="818" spans="1:9">
      <c r="A818" s="2963" t="s">
        <v>3328</v>
      </c>
      <c r="B818" s="2963" t="s">
        <v>3355</v>
      </c>
      <c r="D818" s="2963">
        <v>-3325</v>
      </c>
      <c r="E818" s="2963" t="s">
        <v>3968</v>
      </c>
      <c r="F818" s="2966">
        <v>160000</v>
      </c>
      <c r="G818" s="2971">
        <v>39.19</v>
      </c>
      <c r="H818" s="2963" t="s">
        <v>3185</v>
      </c>
      <c r="I818" s="2963" t="s">
        <v>3086</v>
      </c>
    </row>
    <row r="819" spans="1:9">
      <c r="A819" s="2963" t="s">
        <v>3328</v>
      </c>
      <c r="B819" s="2963" t="s">
        <v>3355</v>
      </c>
      <c r="D819" s="2963">
        <v>-3326</v>
      </c>
      <c r="E819" s="2963" t="s">
        <v>3969</v>
      </c>
      <c r="F819" s="2966">
        <v>160000</v>
      </c>
      <c r="G819" s="2971">
        <v>39.19</v>
      </c>
      <c r="H819" s="2963" t="s">
        <v>3185</v>
      </c>
      <c r="I819" s="2963" t="s">
        <v>3086</v>
      </c>
    </row>
    <row r="820" spans="1:9">
      <c r="A820" s="2963" t="s">
        <v>3328</v>
      </c>
      <c r="B820" s="2963" t="s">
        <v>3355</v>
      </c>
      <c r="D820" s="2963">
        <v>-3327</v>
      </c>
      <c r="E820" s="2963" t="s">
        <v>3970</v>
      </c>
      <c r="F820" s="2966">
        <v>160000</v>
      </c>
      <c r="G820" s="2971">
        <v>39.19</v>
      </c>
      <c r="H820" s="2963" t="s">
        <v>3185</v>
      </c>
      <c r="I820" s="2963" t="s">
        <v>3086</v>
      </c>
    </row>
    <row r="821" spans="1:9">
      <c r="A821" s="2963" t="s">
        <v>3328</v>
      </c>
      <c r="B821" s="2963" t="s">
        <v>3355</v>
      </c>
      <c r="D821" s="2963">
        <v>-3328</v>
      </c>
      <c r="E821" s="2963" t="s">
        <v>3971</v>
      </c>
      <c r="F821" s="2966">
        <v>160000</v>
      </c>
      <c r="G821" s="2971">
        <v>39.19</v>
      </c>
      <c r="H821" s="2963" t="s">
        <v>3185</v>
      </c>
      <c r="I821" s="2963" t="s">
        <v>3086</v>
      </c>
    </row>
    <row r="822" spans="1:9">
      <c r="A822" s="2963" t="s">
        <v>3328</v>
      </c>
      <c r="B822" s="2963" t="s">
        <v>3355</v>
      </c>
      <c r="D822" s="2963">
        <v>-3329</v>
      </c>
      <c r="E822" s="2963" t="s">
        <v>3972</v>
      </c>
      <c r="F822" s="2966">
        <v>160000</v>
      </c>
      <c r="G822" s="2971">
        <v>39.19</v>
      </c>
      <c r="H822" s="2963" t="s">
        <v>3185</v>
      </c>
      <c r="I822" s="2963" t="s">
        <v>3086</v>
      </c>
    </row>
    <row r="823" spans="1:9">
      <c r="A823" s="2963" t="s">
        <v>3328</v>
      </c>
      <c r="B823" s="2963" t="s">
        <v>3355</v>
      </c>
      <c r="D823" s="2963">
        <v>-3330</v>
      </c>
      <c r="E823" s="2963" t="s">
        <v>3973</v>
      </c>
      <c r="F823" s="2966">
        <v>160000</v>
      </c>
      <c r="G823" s="2971">
        <v>39.19</v>
      </c>
      <c r="H823" s="2963" t="s">
        <v>3185</v>
      </c>
      <c r="I823" s="2963" t="s">
        <v>3086</v>
      </c>
    </row>
    <row r="824" spans="1:9">
      <c r="A824" s="2963" t="s">
        <v>3328</v>
      </c>
      <c r="B824" s="2963" t="s">
        <v>3355</v>
      </c>
      <c r="D824" s="2963">
        <v>-3331</v>
      </c>
      <c r="E824" s="2963" t="s">
        <v>3974</v>
      </c>
      <c r="F824" s="2966">
        <v>160000</v>
      </c>
      <c r="G824" s="2971">
        <v>39.19</v>
      </c>
      <c r="H824" s="2963" t="s">
        <v>3185</v>
      </c>
      <c r="I824" s="2963" t="s">
        <v>3086</v>
      </c>
    </row>
    <row r="825" spans="1:9">
      <c r="A825" s="2963" t="s">
        <v>3328</v>
      </c>
      <c r="B825" s="2963" t="s">
        <v>3355</v>
      </c>
      <c r="D825" s="2963">
        <v>-3332</v>
      </c>
      <c r="E825" s="2963" t="s">
        <v>3975</v>
      </c>
      <c r="F825" s="2966">
        <v>160000</v>
      </c>
      <c r="G825" s="2971">
        <v>39.19</v>
      </c>
      <c r="H825" s="2963" t="s">
        <v>3185</v>
      </c>
      <c r="I825" s="2963" t="s">
        <v>3086</v>
      </c>
    </row>
    <row r="826" spans="1:9">
      <c r="A826" s="2963" t="s">
        <v>3328</v>
      </c>
      <c r="B826" s="2963" t="s">
        <v>3355</v>
      </c>
      <c r="D826" s="2963">
        <v>-3333</v>
      </c>
      <c r="E826" s="2963" t="s">
        <v>3976</v>
      </c>
      <c r="F826" s="2966">
        <v>160000</v>
      </c>
      <c r="G826" s="2971">
        <v>39.19</v>
      </c>
      <c r="H826" s="2963" t="s">
        <v>3185</v>
      </c>
      <c r="I826" s="2963" t="s">
        <v>3086</v>
      </c>
    </row>
    <row r="827" spans="1:9">
      <c r="A827" s="2963" t="s">
        <v>3328</v>
      </c>
      <c r="B827" s="2963" t="s">
        <v>3355</v>
      </c>
      <c r="D827" s="2963">
        <v>-3334</v>
      </c>
      <c r="E827" s="2963" t="s">
        <v>3977</v>
      </c>
      <c r="F827" s="2966">
        <v>160000</v>
      </c>
      <c r="G827" s="2971">
        <v>39.19</v>
      </c>
      <c r="H827" s="2963" t="s">
        <v>3185</v>
      </c>
      <c r="I827" s="2963" t="s">
        <v>3086</v>
      </c>
    </row>
    <row r="828" spans="1:9">
      <c r="A828" s="2963" t="s">
        <v>3328</v>
      </c>
      <c r="B828" s="2963" t="s">
        <v>3355</v>
      </c>
      <c r="D828" s="2963">
        <v>-3335</v>
      </c>
      <c r="E828" s="2963" t="s">
        <v>3978</v>
      </c>
      <c r="F828" s="2966">
        <v>160000</v>
      </c>
      <c r="G828" s="2971">
        <v>39.19</v>
      </c>
      <c r="H828" s="2963" t="s">
        <v>3185</v>
      </c>
      <c r="I828" s="2963" t="s">
        <v>3086</v>
      </c>
    </row>
    <row r="829" spans="1:9">
      <c r="A829" s="2963" t="s">
        <v>3328</v>
      </c>
      <c r="B829" s="2963" t="s">
        <v>3355</v>
      </c>
      <c r="D829" s="2963">
        <v>-3336</v>
      </c>
      <c r="E829" s="2963" t="s">
        <v>3979</v>
      </c>
      <c r="F829" s="2966">
        <v>160000</v>
      </c>
      <c r="G829" s="2971">
        <v>39.19</v>
      </c>
      <c r="H829" s="2963" t="s">
        <v>3185</v>
      </c>
      <c r="I829" s="2963" t="s">
        <v>3086</v>
      </c>
    </row>
    <row r="830" spans="1:9">
      <c r="A830" s="2963" t="s">
        <v>3328</v>
      </c>
      <c r="B830" s="2963" t="s">
        <v>3355</v>
      </c>
      <c r="D830" s="2963">
        <v>-3337</v>
      </c>
      <c r="E830" s="2963" t="s">
        <v>3980</v>
      </c>
      <c r="F830" s="2966">
        <v>160000</v>
      </c>
      <c r="G830" s="2971">
        <v>39.19</v>
      </c>
      <c r="H830" s="2963" t="s">
        <v>3185</v>
      </c>
      <c r="I830" s="2963" t="s">
        <v>3086</v>
      </c>
    </row>
    <row r="831" spans="1:9">
      <c r="A831" s="2963" t="s">
        <v>3328</v>
      </c>
      <c r="B831" s="2963" t="s">
        <v>3355</v>
      </c>
      <c r="D831" s="2963">
        <v>-3338</v>
      </c>
      <c r="E831" s="2963" t="s">
        <v>3981</v>
      </c>
      <c r="F831" s="2966">
        <v>160000</v>
      </c>
      <c r="G831" s="2971">
        <v>39.19</v>
      </c>
      <c r="H831" s="2963" t="s">
        <v>3185</v>
      </c>
      <c r="I831" s="2963" t="s">
        <v>3086</v>
      </c>
    </row>
    <row r="832" spans="1:9">
      <c r="A832" s="2963" t="s">
        <v>3328</v>
      </c>
      <c r="B832" s="2963" t="s">
        <v>3355</v>
      </c>
      <c r="D832" s="2963">
        <v>-3339</v>
      </c>
      <c r="E832" s="2963" t="s">
        <v>3982</v>
      </c>
      <c r="F832" s="2966">
        <v>160000</v>
      </c>
      <c r="G832" s="2971">
        <v>39.19</v>
      </c>
      <c r="H832" s="2963" t="s">
        <v>3185</v>
      </c>
      <c r="I832" s="2963" t="s">
        <v>3086</v>
      </c>
    </row>
    <row r="833" spans="1:9">
      <c r="A833" s="2963" t="s">
        <v>3328</v>
      </c>
      <c r="B833" s="2963" t="s">
        <v>3355</v>
      </c>
      <c r="D833" s="2963">
        <v>-3340</v>
      </c>
      <c r="E833" s="2963" t="s">
        <v>3983</v>
      </c>
      <c r="F833" s="2966">
        <v>160000</v>
      </c>
      <c r="G833" s="2971">
        <v>39.19</v>
      </c>
      <c r="H833" s="2963" t="s">
        <v>3185</v>
      </c>
      <c r="I833" s="2963" t="s">
        <v>3086</v>
      </c>
    </row>
    <row r="834" spans="1:9">
      <c r="A834" s="2963" t="s">
        <v>3328</v>
      </c>
      <c r="B834" s="2963" t="s">
        <v>3355</v>
      </c>
      <c r="D834" s="2963">
        <v>-3341</v>
      </c>
      <c r="E834" s="2963" t="s">
        <v>3984</v>
      </c>
      <c r="F834" s="2966">
        <v>160000</v>
      </c>
      <c r="G834" s="2971">
        <v>39.19</v>
      </c>
      <c r="H834" s="2963" t="s">
        <v>3185</v>
      </c>
      <c r="I834" s="2963" t="s">
        <v>3086</v>
      </c>
    </row>
    <row r="835" spans="1:9">
      <c r="A835" s="2963" t="s">
        <v>3328</v>
      </c>
      <c r="B835" s="2963" t="s">
        <v>3355</v>
      </c>
      <c r="D835" s="2963">
        <v>-3342</v>
      </c>
      <c r="E835" s="2963" t="s">
        <v>3985</v>
      </c>
      <c r="F835" s="2966">
        <v>160000</v>
      </c>
      <c r="G835" s="2971">
        <v>39.19</v>
      </c>
      <c r="H835" s="2963" t="s">
        <v>3185</v>
      </c>
      <c r="I835" s="2963" t="s">
        <v>3086</v>
      </c>
    </row>
    <row r="836" spans="1:9">
      <c r="A836" s="2963" t="s">
        <v>3328</v>
      </c>
      <c r="B836" s="2963" t="s">
        <v>3355</v>
      </c>
      <c r="D836" s="2963">
        <v>-3343</v>
      </c>
      <c r="E836" s="2963" t="s">
        <v>3986</v>
      </c>
      <c r="F836" s="2966">
        <v>160000</v>
      </c>
      <c r="G836" s="2971">
        <v>39.19</v>
      </c>
      <c r="H836" s="2963" t="s">
        <v>3185</v>
      </c>
      <c r="I836" s="2963" t="s">
        <v>3086</v>
      </c>
    </row>
    <row r="837" spans="1:9">
      <c r="A837" s="2963" t="s">
        <v>3328</v>
      </c>
      <c r="B837" s="2963" t="s">
        <v>3355</v>
      </c>
      <c r="D837" s="2963">
        <v>-3344</v>
      </c>
      <c r="E837" s="2963" t="s">
        <v>3987</v>
      </c>
      <c r="F837" s="2966">
        <v>160000</v>
      </c>
      <c r="G837" s="2971">
        <v>39.19</v>
      </c>
      <c r="H837" s="2963" t="s">
        <v>3185</v>
      </c>
      <c r="I837" s="2963" t="s">
        <v>3086</v>
      </c>
    </row>
    <row r="838" spans="1:9">
      <c r="A838" s="2963" t="s">
        <v>3328</v>
      </c>
      <c r="B838" s="2963" t="s">
        <v>3355</v>
      </c>
      <c r="D838" s="2963">
        <v>-3345</v>
      </c>
      <c r="E838" s="2963" t="s">
        <v>3988</v>
      </c>
      <c r="F838" s="2966">
        <v>160000</v>
      </c>
      <c r="G838" s="2971">
        <v>39.19</v>
      </c>
      <c r="H838" s="2963" t="s">
        <v>3185</v>
      </c>
      <c r="I838" s="2963" t="s">
        <v>3086</v>
      </c>
    </row>
    <row r="839" spans="1:9">
      <c r="A839" s="2963" t="s">
        <v>3328</v>
      </c>
      <c r="B839" s="2963" t="s">
        <v>3355</v>
      </c>
      <c r="D839" s="2963">
        <v>-3346</v>
      </c>
      <c r="E839" s="2963" t="s">
        <v>3989</v>
      </c>
      <c r="F839" s="2966">
        <v>160000</v>
      </c>
      <c r="G839" s="2971">
        <v>39.19</v>
      </c>
      <c r="H839" s="2963" t="s">
        <v>3185</v>
      </c>
      <c r="I839" s="2963" t="s">
        <v>3086</v>
      </c>
    </row>
    <row r="840" spans="1:9">
      <c r="A840" s="2963" t="s">
        <v>3328</v>
      </c>
      <c r="B840" s="2963" t="s">
        <v>3355</v>
      </c>
      <c r="D840" s="2963">
        <v>-3347</v>
      </c>
      <c r="E840" s="2963" t="s">
        <v>3990</v>
      </c>
      <c r="F840" s="2966">
        <v>160000</v>
      </c>
      <c r="G840" s="2971">
        <v>39.19</v>
      </c>
      <c r="H840" s="2963" t="s">
        <v>3185</v>
      </c>
      <c r="I840" s="2963" t="s">
        <v>3086</v>
      </c>
    </row>
    <row r="841" spans="1:9">
      <c r="A841" s="2963" t="s">
        <v>3328</v>
      </c>
      <c r="B841" s="2963" t="s">
        <v>3355</v>
      </c>
      <c r="D841" s="2963">
        <v>-3348</v>
      </c>
      <c r="E841" s="2963" t="s">
        <v>3991</v>
      </c>
      <c r="F841" s="2966">
        <v>160000</v>
      </c>
      <c r="G841" s="2971">
        <v>39.19</v>
      </c>
      <c r="H841" s="2963" t="s">
        <v>3185</v>
      </c>
      <c r="I841" s="2963" t="s">
        <v>3086</v>
      </c>
    </row>
    <row r="842" spans="1:9">
      <c r="A842" s="2963" t="s">
        <v>3328</v>
      </c>
      <c r="B842" s="2963" t="s">
        <v>3355</v>
      </c>
      <c r="D842" s="2963">
        <v>-3349</v>
      </c>
      <c r="E842" s="2963" t="s">
        <v>3992</v>
      </c>
      <c r="F842" s="2966">
        <v>160000</v>
      </c>
      <c r="G842" s="2971">
        <v>39.19</v>
      </c>
      <c r="H842" s="2963" t="s">
        <v>3185</v>
      </c>
      <c r="I842" s="2963" t="s">
        <v>3086</v>
      </c>
    </row>
    <row r="843" spans="1:9">
      <c r="A843" s="2963" t="s">
        <v>3328</v>
      </c>
      <c r="B843" s="2963" t="s">
        <v>3355</v>
      </c>
      <c r="D843" s="2963">
        <v>-3350</v>
      </c>
      <c r="E843" s="2963" t="s">
        <v>3993</v>
      </c>
      <c r="F843" s="2966">
        <v>160000</v>
      </c>
      <c r="G843" s="2971">
        <v>39.19</v>
      </c>
      <c r="H843" s="2963" t="s">
        <v>3185</v>
      </c>
      <c r="I843" s="2963" t="s">
        <v>3086</v>
      </c>
    </row>
    <row r="844" spans="1:9">
      <c r="A844" s="2963" t="s">
        <v>3328</v>
      </c>
      <c r="B844" s="2963" t="s">
        <v>3355</v>
      </c>
      <c r="D844" s="2963">
        <v>-3351</v>
      </c>
      <c r="E844" s="2963" t="s">
        <v>3994</v>
      </c>
      <c r="F844" s="2966">
        <v>160000</v>
      </c>
      <c r="G844" s="2971">
        <v>39.19</v>
      </c>
      <c r="H844" s="2963" t="s">
        <v>3185</v>
      </c>
      <c r="I844" s="2963" t="s">
        <v>3086</v>
      </c>
    </row>
    <row r="845" spans="1:9">
      <c r="A845" s="2963" t="s">
        <v>3328</v>
      </c>
      <c r="B845" s="2963" t="s">
        <v>3355</v>
      </c>
      <c r="D845" s="2963">
        <v>-3352</v>
      </c>
      <c r="E845" s="2963" t="s">
        <v>3995</v>
      </c>
      <c r="F845" s="2966">
        <v>160000</v>
      </c>
      <c r="G845" s="2971">
        <v>39.19</v>
      </c>
      <c r="H845" s="2963" t="s">
        <v>3185</v>
      </c>
      <c r="I845" s="2963" t="s">
        <v>3086</v>
      </c>
    </row>
    <row r="846" spans="1:9">
      <c r="A846" s="2963" t="s">
        <v>3328</v>
      </c>
      <c r="B846" s="2963" t="s">
        <v>3355</v>
      </c>
      <c r="D846" s="2963">
        <v>-3353</v>
      </c>
      <c r="E846" s="2963" t="s">
        <v>3996</v>
      </c>
      <c r="F846" s="2966">
        <v>160000</v>
      </c>
      <c r="G846" s="2971">
        <v>39.19</v>
      </c>
      <c r="H846" s="2963" t="s">
        <v>3185</v>
      </c>
      <c r="I846" s="2963" t="s">
        <v>3086</v>
      </c>
    </row>
    <row r="847" spans="1:9">
      <c r="A847" s="2963" t="s">
        <v>3328</v>
      </c>
      <c r="B847" s="2963" t="s">
        <v>3355</v>
      </c>
      <c r="D847" s="2963">
        <v>-3354</v>
      </c>
      <c r="E847" s="2963" t="s">
        <v>3997</v>
      </c>
      <c r="F847" s="2966">
        <v>160000</v>
      </c>
      <c r="G847" s="2971">
        <v>39.19</v>
      </c>
      <c r="H847" s="2963" t="s">
        <v>3185</v>
      </c>
      <c r="I847" s="2963" t="s">
        <v>3086</v>
      </c>
    </row>
    <row r="848" spans="1:9">
      <c r="A848" s="2963" t="s">
        <v>3328</v>
      </c>
      <c r="B848" s="2963" t="s">
        <v>3355</v>
      </c>
      <c r="D848" s="2963">
        <v>-3355</v>
      </c>
      <c r="E848" s="2963" t="s">
        <v>3998</v>
      </c>
      <c r="F848" s="2966">
        <v>160000</v>
      </c>
      <c r="G848" s="2971">
        <v>39.19</v>
      </c>
      <c r="H848" s="2963" t="s">
        <v>3185</v>
      </c>
      <c r="I848" s="2963" t="s">
        <v>3086</v>
      </c>
    </row>
    <row r="849" spans="1:9">
      <c r="A849" s="2963" t="s">
        <v>3328</v>
      </c>
      <c r="B849" s="2963" t="s">
        <v>3355</v>
      </c>
      <c r="D849" s="2963">
        <v>-3356</v>
      </c>
      <c r="E849" s="2963" t="s">
        <v>3999</v>
      </c>
      <c r="F849" s="2966">
        <v>160000</v>
      </c>
      <c r="G849" s="2971">
        <v>39.19</v>
      </c>
      <c r="H849" s="2963" t="s">
        <v>3185</v>
      </c>
      <c r="I849" s="2963" t="s">
        <v>3086</v>
      </c>
    </row>
    <row r="850" spans="1:9">
      <c r="A850" s="2963" t="s">
        <v>3328</v>
      </c>
      <c r="B850" s="2963" t="s">
        <v>3355</v>
      </c>
      <c r="D850" s="2963">
        <v>-3357</v>
      </c>
      <c r="E850" s="2963" t="s">
        <v>4000</v>
      </c>
      <c r="F850" s="2966">
        <v>160000</v>
      </c>
      <c r="G850" s="2971">
        <v>39.19</v>
      </c>
      <c r="H850" s="2963" t="s">
        <v>3185</v>
      </c>
      <c r="I850" s="2963" t="s">
        <v>3086</v>
      </c>
    </row>
    <row r="851" spans="1:9">
      <c r="A851" s="2963" t="s">
        <v>3328</v>
      </c>
      <c r="B851" s="2963" t="s">
        <v>3355</v>
      </c>
      <c r="D851" s="2963">
        <v>-3358</v>
      </c>
      <c r="E851" s="2963" t="s">
        <v>4001</v>
      </c>
      <c r="F851" s="2966">
        <v>160000</v>
      </c>
      <c r="G851" s="2971">
        <v>39.19</v>
      </c>
      <c r="H851" s="2963" t="s">
        <v>3185</v>
      </c>
      <c r="I851" s="2963" t="s">
        <v>3086</v>
      </c>
    </row>
    <row r="852" spans="1:9">
      <c r="A852" s="2963" t="s">
        <v>3328</v>
      </c>
      <c r="B852" s="2963" t="s">
        <v>3355</v>
      </c>
      <c r="D852" s="2963">
        <v>-3359</v>
      </c>
      <c r="E852" s="2963" t="s">
        <v>4002</v>
      </c>
      <c r="F852" s="2966">
        <v>160000</v>
      </c>
      <c r="G852" s="2971">
        <v>39.19</v>
      </c>
      <c r="H852" s="2963" t="s">
        <v>3185</v>
      </c>
      <c r="I852" s="2963" t="s">
        <v>3086</v>
      </c>
    </row>
    <row r="853" spans="1:9">
      <c r="A853" s="2963" t="s">
        <v>3328</v>
      </c>
      <c r="B853" s="2963" t="s">
        <v>3355</v>
      </c>
      <c r="D853" s="2963">
        <v>-3362</v>
      </c>
      <c r="E853" s="2963" t="s">
        <v>4003</v>
      </c>
      <c r="F853" s="2966">
        <v>160000</v>
      </c>
      <c r="G853" s="2971">
        <v>39.19</v>
      </c>
      <c r="H853" s="2963" t="s">
        <v>3185</v>
      </c>
      <c r="I853" s="2963" t="s">
        <v>3086</v>
      </c>
    </row>
    <row r="854" spans="1:9">
      <c r="A854" s="2963" t="s">
        <v>3328</v>
      </c>
      <c r="B854" s="2963" t="s">
        <v>3355</v>
      </c>
      <c r="D854" s="2963">
        <v>-3363</v>
      </c>
      <c r="E854" s="2963" t="s">
        <v>4004</v>
      </c>
      <c r="F854" s="2966">
        <v>160000</v>
      </c>
      <c r="G854" s="2971">
        <v>39.19</v>
      </c>
      <c r="H854" s="2963" t="s">
        <v>3185</v>
      </c>
      <c r="I854" s="2963" t="s">
        <v>3086</v>
      </c>
    </row>
    <row r="855" spans="1:9">
      <c r="A855" s="2963" t="s">
        <v>3328</v>
      </c>
      <c r="B855" s="2963" t="s">
        <v>3355</v>
      </c>
      <c r="D855" s="2963">
        <v>-3364</v>
      </c>
      <c r="E855" s="2963" t="s">
        <v>4005</v>
      </c>
      <c r="F855" s="2966">
        <v>160000</v>
      </c>
      <c r="G855" s="2971">
        <v>39.19</v>
      </c>
      <c r="H855" s="2963" t="s">
        <v>3185</v>
      </c>
      <c r="I855" s="2963" t="s">
        <v>3086</v>
      </c>
    </row>
    <row r="856" spans="1:9">
      <c r="A856" s="2963" t="s">
        <v>3328</v>
      </c>
      <c r="B856" s="2963" t="s">
        <v>3355</v>
      </c>
      <c r="D856" s="2963">
        <v>-3365</v>
      </c>
      <c r="E856" s="2963" t="s">
        <v>4006</v>
      </c>
      <c r="F856" s="2966">
        <v>160000</v>
      </c>
      <c r="G856" s="2971">
        <v>39.19</v>
      </c>
      <c r="H856" s="2963" t="s">
        <v>3185</v>
      </c>
      <c r="I856" s="2963" t="s">
        <v>3086</v>
      </c>
    </row>
    <row r="857" spans="1:9">
      <c r="A857" s="2963" t="s">
        <v>3328</v>
      </c>
      <c r="B857" s="2963" t="s">
        <v>3355</v>
      </c>
      <c r="D857" s="2963">
        <v>-3366</v>
      </c>
      <c r="E857" s="2963" t="s">
        <v>4007</v>
      </c>
      <c r="F857" s="2966">
        <v>160000</v>
      </c>
      <c r="G857" s="2971">
        <v>39.19</v>
      </c>
      <c r="H857" s="2963" t="s">
        <v>3185</v>
      </c>
      <c r="I857" s="2963" t="s">
        <v>3086</v>
      </c>
    </row>
    <row r="858" spans="1:9">
      <c r="A858" s="2963" t="s">
        <v>3328</v>
      </c>
      <c r="B858" s="2963" t="s">
        <v>3355</v>
      </c>
      <c r="D858" s="2963">
        <v>-3367</v>
      </c>
      <c r="E858" s="2963" t="s">
        <v>4008</v>
      </c>
      <c r="F858" s="2966">
        <v>160000</v>
      </c>
      <c r="G858" s="2971">
        <v>39.19</v>
      </c>
      <c r="H858" s="2963" t="s">
        <v>3185</v>
      </c>
      <c r="I858" s="2963" t="s">
        <v>3086</v>
      </c>
    </row>
    <row r="859" spans="1:9">
      <c r="A859" s="2963" t="s">
        <v>3328</v>
      </c>
      <c r="B859" s="2963" t="s">
        <v>3355</v>
      </c>
      <c r="D859" s="2963">
        <v>-3368</v>
      </c>
      <c r="E859" s="2963" t="s">
        <v>4009</v>
      </c>
      <c r="F859" s="2966">
        <v>160000</v>
      </c>
      <c r="G859" s="2971">
        <v>39.19</v>
      </c>
      <c r="H859" s="2963" t="s">
        <v>3185</v>
      </c>
      <c r="I859" s="2963" t="s">
        <v>3086</v>
      </c>
    </row>
    <row r="860" spans="1:9">
      <c r="A860" s="2963" t="s">
        <v>3328</v>
      </c>
      <c r="B860" s="2963" t="s">
        <v>3355</v>
      </c>
      <c r="D860" s="2963">
        <v>-3369</v>
      </c>
      <c r="E860" s="2963" t="s">
        <v>4010</v>
      </c>
      <c r="F860" s="2966">
        <v>160000</v>
      </c>
      <c r="G860" s="2971">
        <v>39.19</v>
      </c>
      <c r="H860" s="2963" t="s">
        <v>3185</v>
      </c>
      <c r="I860" s="2963" t="s">
        <v>3086</v>
      </c>
    </row>
    <row r="861" spans="1:9">
      <c r="A861" s="2963" t="s">
        <v>3328</v>
      </c>
      <c r="B861" s="2963" t="s">
        <v>3355</v>
      </c>
      <c r="D861" s="2963">
        <v>-3370</v>
      </c>
      <c r="E861" s="2963" t="s">
        <v>4011</v>
      </c>
      <c r="F861" s="2966">
        <v>160000</v>
      </c>
      <c r="G861" s="2971">
        <v>39.19</v>
      </c>
      <c r="H861" s="2963" t="s">
        <v>3185</v>
      </c>
      <c r="I861" s="2963" t="s">
        <v>3086</v>
      </c>
    </row>
    <row r="862" spans="1:9">
      <c r="A862" s="2963" t="s">
        <v>3328</v>
      </c>
      <c r="B862" s="2963" t="s">
        <v>3355</v>
      </c>
      <c r="D862" s="2963">
        <v>-3371</v>
      </c>
      <c r="E862" s="2963" t="s">
        <v>4012</v>
      </c>
      <c r="F862" s="2966">
        <v>160000</v>
      </c>
      <c r="G862" s="2971">
        <v>39.19</v>
      </c>
      <c r="H862" s="2963" t="s">
        <v>3185</v>
      </c>
      <c r="I862" s="2963" t="s">
        <v>3086</v>
      </c>
    </row>
    <row r="863" spans="1:9">
      <c r="A863" s="2963" t="s">
        <v>3328</v>
      </c>
      <c r="B863" s="2963" t="s">
        <v>3355</v>
      </c>
      <c r="D863" s="2963">
        <v>-3372</v>
      </c>
      <c r="E863" s="2963" t="s">
        <v>4013</v>
      </c>
      <c r="F863" s="2966">
        <v>160000</v>
      </c>
      <c r="G863" s="2971">
        <v>39.19</v>
      </c>
      <c r="H863" s="2963" t="s">
        <v>3185</v>
      </c>
      <c r="I863" s="2963" t="s">
        <v>3086</v>
      </c>
    </row>
    <row r="864" spans="1:9">
      <c r="A864" s="2963" t="s">
        <v>3328</v>
      </c>
      <c r="B864" s="2963" t="s">
        <v>3355</v>
      </c>
      <c r="D864" s="2963">
        <v>-3373</v>
      </c>
      <c r="E864" s="2963" t="s">
        <v>4014</v>
      </c>
      <c r="F864" s="2966">
        <v>160000</v>
      </c>
      <c r="G864" s="2971">
        <v>39.19</v>
      </c>
      <c r="H864" s="2963" t="s">
        <v>3185</v>
      </c>
      <c r="I864" s="2963" t="s">
        <v>3086</v>
      </c>
    </row>
    <row r="865" spans="1:9">
      <c r="A865" s="2963" t="s">
        <v>3328</v>
      </c>
      <c r="B865" s="2963" t="s">
        <v>3355</v>
      </c>
      <c r="D865" s="2963">
        <v>-3375</v>
      </c>
      <c r="E865" s="2963" t="s">
        <v>4015</v>
      </c>
      <c r="F865" s="2966">
        <v>160000</v>
      </c>
      <c r="G865" s="2971">
        <v>39.19</v>
      </c>
      <c r="H865" s="2963" t="s">
        <v>3185</v>
      </c>
      <c r="I865" s="2963" t="s">
        <v>3086</v>
      </c>
    </row>
    <row r="866" spans="1:9">
      <c r="A866" s="2963" t="s">
        <v>3328</v>
      </c>
      <c r="B866" s="2963" t="s">
        <v>3355</v>
      </c>
      <c r="D866" s="2963">
        <v>-3376</v>
      </c>
      <c r="E866" s="2963" t="s">
        <v>4016</v>
      </c>
      <c r="F866" s="2966">
        <v>160000</v>
      </c>
      <c r="G866" s="2971">
        <v>39.19</v>
      </c>
      <c r="H866" s="2963" t="s">
        <v>3185</v>
      </c>
      <c r="I866" s="2963" t="s">
        <v>3086</v>
      </c>
    </row>
    <row r="867" spans="1:9">
      <c r="A867" s="2963" t="s">
        <v>3328</v>
      </c>
      <c r="B867" s="2963" t="s">
        <v>3355</v>
      </c>
      <c r="D867" s="2963">
        <v>-3377</v>
      </c>
      <c r="E867" s="2963" t="s">
        <v>4017</v>
      </c>
      <c r="F867" s="2966">
        <v>160000</v>
      </c>
      <c r="G867" s="2971">
        <v>39.19</v>
      </c>
      <c r="H867" s="2963" t="s">
        <v>3185</v>
      </c>
      <c r="I867" s="2963" t="s">
        <v>3086</v>
      </c>
    </row>
    <row r="868" spans="1:9">
      <c r="A868" s="2963" t="s">
        <v>3328</v>
      </c>
      <c r="B868" s="2963" t="s">
        <v>3355</v>
      </c>
      <c r="D868" s="2963">
        <v>-3378</v>
      </c>
      <c r="E868" s="2963" t="s">
        <v>4018</v>
      </c>
      <c r="F868" s="2966">
        <v>160000</v>
      </c>
      <c r="G868" s="2971">
        <v>39.19</v>
      </c>
      <c r="H868" s="2963" t="s">
        <v>3185</v>
      </c>
      <c r="I868" s="2963" t="s">
        <v>3086</v>
      </c>
    </row>
    <row r="869" spans="1:9">
      <c r="A869" s="2963" t="s">
        <v>3328</v>
      </c>
      <c r="B869" s="2963" t="s">
        <v>3355</v>
      </c>
      <c r="D869" s="2963">
        <v>-3379</v>
      </c>
      <c r="E869" s="2963" t="s">
        <v>4019</v>
      </c>
      <c r="F869" s="2966">
        <v>160000</v>
      </c>
      <c r="G869" s="2971">
        <v>39.19</v>
      </c>
      <c r="H869" s="2963" t="s">
        <v>3185</v>
      </c>
      <c r="I869" s="2963" t="s">
        <v>3086</v>
      </c>
    </row>
    <row r="870" spans="1:9">
      <c r="A870" s="2963" t="s">
        <v>3328</v>
      </c>
      <c r="B870" s="2963" t="s">
        <v>3355</v>
      </c>
      <c r="D870" s="2963">
        <v>-3380</v>
      </c>
      <c r="E870" s="2963" t="s">
        <v>4020</v>
      </c>
      <c r="F870" s="2966">
        <v>160000</v>
      </c>
      <c r="G870" s="2971">
        <v>39.19</v>
      </c>
      <c r="H870" s="2963" t="s">
        <v>3185</v>
      </c>
      <c r="I870" s="2963" t="s">
        <v>3086</v>
      </c>
    </row>
    <row r="871" spans="1:9">
      <c r="A871" s="2963" t="s">
        <v>3328</v>
      </c>
      <c r="B871" s="2963" t="s">
        <v>3355</v>
      </c>
      <c r="D871" s="2963">
        <v>-3381</v>
      </c>
      <c r="E871" s="2963" t="s">
        <v>4021</v>
      </c>
      <c r="F871" s="2966">
        <v>160000</v>
      </c>
      <c r="G871" s="2971">
        <v>39.19</v>
      </c>
      <c r="H871" s="2963" t="s">
        <v>3185</v>
      </c>
      <c r="I871" s="2963" t="s">
        <v>3086</v>
      </c>
    </row>
    <row r="872" spans="1:9">
      <c r="A872" s="2963" t="s">
        <v>3328</v>
      </c>
      <c r="B872" s="2963" t="s">
        <v>3355</v>
      </c>
      <c r="D872" s="2963">
        <v>-3382</v>
      </c>
      <c r="E872" s="2963" t="s">
        <v>4022</v>
      </c>
      <c r="F872" s="2966">
        <v>160000</v>
      </c>
      <c r="G872" s="2971">
        <v>39.19</v>
      </c>
      <c r="H872" s="2963" t="s">
        <v>3185</v>
      </c>
      <c r="I872" s="2963" t="s">
        <v>3086</v>
      </c>
    </row>
    <row r="873" spans="1:9">
      <c r="A873" s="2963" t="s">
        <v>3328</v>
      </c>
      <c r="B873" s="2963" t="s">
        <v>3355</v>
      </c>
      <c r="D873" s="2963">
        <v>-3383</v>
      </c>
      <c r="E873" s="2963" t="s">
        <v>4023</v>
      </c>
      <c r="F873" s="2966">
        <v>160000</v>
      </c>
      <c r="G873" s="2971">
        <v>39.19</v>
      </c>
      <c r="H873" s="2963" t="s">
        <v>3185</v>
      </c>
      <c r="I873" s="2963" t="s">
        <v>3086</v>
      </c>
    </row>
    <row r="874" spans="1:9">
      <c r="A874" s="2963" t="s">
        <v>3328</v>
      </c>
      <c r="B874" s="2963" t="s">
        <v>3355</v>
      </c>
      <c r="D874" s="2963">
        <v>-3384</v>
      </c>
      <c r="E874" s="2963" t="s">
        <v>4024</v>
      </c>
      <c r="F874" s="2966">
        <v>160000</v>
      </c>
      <c r="G874" s="2971">
        <v>39.19</v>
      </c>
      <c r="H874" s="2963" t="s">
        <v>3185</v>
      </c>
      <c r="I874" s="2963" t="s">
        <v>3086</v>
      </c>
    </row>
    <row r="875" spans="1:9">
      <c r="A875" s="2963" t="s">
        <v>3328</v>
      </c>
      <c r="B875" s="2963" t="s">
        <v>3355</v>
      </c>
      <c r="D875" s="2963">
        <v>-3387</v>
      </c>
      <c r="E875" s="2963" t="s">
        <v>4025</v>
      </c>
      <c r="F875" s="2966">
        <v>160000</v>
      </c>
      <c r="G875" s="2971">
        <v>39.19</v>
      </c>
      <c r="H875" s="2963" t="s">
        <v>3185</v>
      </c>
      <c r="I875" s="2963" t="s">
        <v>3086</v>
      </c>
    </row>
    <row r="876" spans="1:9">
      <c r="A876" s="2963" t="s">
        <v>3328</v>
      </c>
      <c r="B876" s="2963" t="s">
        <v>3355</v>
      </c>
      <c r="D876" s="2963">
        <v>-3388</v>
      </c>
      <c r="E876" s="2963" t="s">
        <v>4026</v>
      </c>
      <c r="F876" s="2966">
        <v>160000</v>
      </c>
      <c r="G876" s="2971">
        <v>39.19</v>
      </c>
      <c r="H876" s="2963" t="s">
        <v>3185</v>
      </c>
      <c r="I876" s="2963" t="s">
        <v>3086</v>
      </c>
    </row>
    <row r="877" spans="1:9">
      <c r="A877" s="2963" t="s">
        <v>3328</v>
      </c>
      <c r="B877" s="2963" t="s">
        <v>3355</v>
      </c>
      <c r="D877" s="2963">
        <v>-3389</v>
      </c>
      <c r="E877" s="2963" t="s">
        <v>4027</v>
      </c>
      <c r="F877" s="2966">
        <v>160000</v>
      </c>
      <c r="G877" s="2971">
        <v>39.19</v>
      </c>
      <c r="H877" s="2963" t="s">
        <v>3185</v>
      </c>
      <c r="I877" s="2963" t="s">
        <v>3086</v>
      </c>
    </row>
    <row r="878" spans="1:9">
      <c r="A878" s="2963" t="s">
        <v>3328</v>
      </c>
      <c r="B878" s="2963" t="s">
        <v>3355</v>
      </c>
      <c r="D878" s="2963">
        <v>-3390</v>
      </c>
      <c r="E878" s="2963" t="s">
        <v>4028</v>
      </c>
      <c r="F878" s="2966">
        <v>160000</v>
      </c>
      <c r="G878" s="2971">
        <v>39.19</v>
      </c>
      <c r="H878" s="2963" t="s">
        <v>3185</v>
      </c>
      <c r="I878" s="2963" t="s">
        <v>3086</v>
      </c>
    </row>
    <row r="879" spans="1:9">
      <c r="A879" s="2963" t="s">
        <v>3328</v>
      </c>
      <c r="B879" s="2963" t="s">
        <v>3355</v>
      </c>
      <c r="D879" s="2963">
        <v>-3392</v>
      </c>
      <c r="E879" s="2963" t="s">
        <v>4029</v>
      </c>
      <c r="F879" s="2966">
        <v>160000</v>
      </c>
      <c r="G879" s="2971">
        <v>39.19</v>
      </c>
      <c r="H879" s="2963" t="s">
        <v>3185</v>
      </c>
      <c r="I879" s="2963" t="s">
        <v>3086</v>
      </c>
    </row>
    <row r="880" spans="1:9">
      <c r="A880" s="2963" t="s">
        <v>3328</v>
      </c>
      <c r="B880" s="2963" t="s">
        <v>3355</v>
      </c>
      <c r="D880" s="2963">
        <v>-3394</v>
      </c>
      <c r="E880" s="2963" t="s">
        <v>4030</v>
      </c>
      <c r="F880" s="2966">
        <v>160000</v>
      </c>
      <c r="G880" s="2971">
        <v>39.19</v>
      </c>
      <c r="H880" s="2963" t="s">
        <v>3185</v>
      </c>
      <c r="I880" s="2963" t="s">
        <v>3086</v>
      </c>
    </row>
    <row r="881" spans="1:9">
      <c r="A881" s="2963" t="s">
        <v>3328</v>
      </c>
      <c r="B881" s="2963" t="s">
        <v>3355</v>
      </c>
      <c r="D881" s="2963">
        <v>-3395</v>
      </c>
      <c r="E881" s="2963" t="s">
        <v>4031</v>
      </c>
      <c r="F881" s="2966">
        <v>160000</v>
      </c>
      <c r="G881" s="2971">
        <v>39.19</v>
      </c>
      <c r="H881" s="2963" t="s">
        <v>3185</v>
      </c>
      <c r="I881" s="2963" t="s">
        <v>3086</v>
      </c>
    </row>
    <row r="882" spans="1:9">
      <c r="A882" s="2963" t="s">
        <v>3328</v>
      </c>
      <c r="B882" s="2963" t="s">
        <v>3355</v>
      </c>
      <c r="D882" s="2963">
        <v>-3396</v>
      </c>
      <c r="E882" s="2963" t="s">
        <v>4032</v>
      </c>
      <c r="F882" s="2966">
        <v>160000</v>
      </c>
      <c r="G882" s="2971">
        <v>39.19</v>
      </c>
      <c r="H882" s="2963" t="s">
        <v>3185</v>
      </c>
      <c r="I882" s="2963" t="s">
        <v>3086</v>
      </c>
    </row>
    <row r="883" spans="1:9">
      <c r="A883" s="2963" t="s">
        <v>3328</v>
      </c>
      <c r="B883" s="2963" t="s">
        <v>3355</v>
      </c>
      <c r="D883" s="2963">
        <v>-3397</v>
      </c>
      <c r="E883" s="2963" t="s">
        <v>4033</v>
      </c>
      <c r="F883" s="2966">
        <v>160000</v>
      </c>
      <c r="G883" s="2971">
        <v>39.19</v>
      </c>
      <c r="H883" s="2963" t="s">
        <v>3185</v>
      </c>
      <c r="I883" s="2963" t="s">
        <v>3086</v>
      </c>
    </row>
    <row r="884" spans="1:9">
      <c r="A884" s="2963" t="s">
        <v>3328</v>
      </c>
      <c r="B884" s="2963" t="s">
        <v>3355</v>
      </c>
      <c r="D884" s="2963">
        <v>-3398</v>
      </c>
      <c r="E884" s="2963" t="s">
        <v>4034</v>
      </c>
      <c r="F884" s="2966">
        <v>160000</v>
      </c>
      <c r="G884" s="2971">
        <v>39.19</v>
      </c>
      <c r="H884" s="2963" t="s">
        <v>3185</v>
      </c>
      <c r="I884" s="2963" t="s">
        <v>3086</v>
      </c>
    </row>
    <row r="885" spans="1:9">
      <c r="A885" s="2963" t="s">
        <v>3328</v>
      </c>
      <c r="B885" s="2963" t="s">
        <v>3355</v>
      </c>
      <c r="D885" s="2963">
        <v>-3399</v>
      </c>
      <c r="E885" s="2963" t="s">
        <v>4035</v>
      </c>
      <c r="F885" s="2966">
        <v>160000</v>
      </c>
      <c r="G885" s="2971">
        <v>39.19</v>
      </c>
      <c r="H885" s="2963" t="s">
        <v>3185</v>
      </c>
      <c r="I885" s="2963" t="s">
        <v>3086</v>
      </c>
    </row>
    <row r="886" spans="1:9">
      <c r="A886" s="2963" t="s">
        <v>3328</v>
      </c>
      <c r="B886" s="2963" t="s">
        <v>3355</v>
      </c>
      <c r="D886" s="2963">
        <v>-3400</v>
      </c>
      <c r="E886" s="2963" t="s">
        <v>4036</v>
      </c>
      <c r="F886" s="2966">
        <v>160000</v>
      </c>
      <c r="G886" s="2971">
        <v>39.19</v>
      </c>
      <c r="H886" s="2963" t="s">
        <v>3185</v>
      </c>
      <c r="I886" s="2963" t="s">
        <v>3086</v>
      </c>
    </row>
    <row r="887" spans="1:9">
      <c r="A887" s="2963" t="s">
        <v>3328</v>
      </c>
      <c r="B887" s="2963" t="s">
        <v>3355</v>
      </c>
      <c r="D887" s="2963">
        <v>-3401</v>
      </c>
      <c r="E887" s="2963" t="s">
        <v>4037</v>
      </c>
      <c r="F887" s="2966">
        <v>160000</v>
      </c>
      <c r="G887" s="2971">
        <v>39.19</v>
      </c>
      <c r="H887" s="2963" t="s">
        <v>3185</v>
      </c>
      <c r="I887" s="2963" t="s">
        <v>3086</v>
      </c>
    </row>
    <row r="888" spans="1:9">
      <c r="A888" s="2963" t="s">
        <v>3328</v>
      </c>
      <c r="B888" s="2963" t="s">
        <v>3355</v>
      </c>
      <c r="D888" s="2963">
        <v>-3402</v>
      </c>
      <c r="E888" s="2963" t="s">
        <v>4038</v>
      </c>
      <c r="F888" s="2966">
        <v>160000</v>
      </c>
      <c r="G888" s="2971">
        <v>39.19</v>
      </c>
      <c r="H888" s="2963" t="s">
        <v>3185</v>
      </c>
      <c r="I888" s="2963" t="s">
        <v>3086</v>
      </c>
    </row>
    <row r="889" spans="1:9">
      <c r="A889" s="2963" t="s">
        <v>3328</v>
      </c>
      <c r="B889" s="2963" t="s">
        <v>3355</v>
      </c>
      <c r="D889" s="2963">
        <v>-3403</v>
      </c>
      <c r="E889" s="2963" t="s">
        <v>4039</v>
      </c>
      <c r="F889" s="2966">
        <v>160000</v>
      </c>
      <c r="G889" s="2971">
        <v>39.19</v>
      </c>
      <c r="H889" s="2963" t="s">
        <v>3185</v>
      </c>
      <c r="I889" s="2963" t="s">
        <v>3086</v>
      </c>
    </row>
    <row r="890" spans="1:9">
      <c r="A890" s="2963" t="s">
        <v>3328</v>
      </c>
      <c r="B890" s="2963" t="s">
        <v>3355</v>
      </c>
      <c r="D890" s="2963">
        <v>-3404</v>
      </c>
      <c r="E890" s="2963" t="s">
        <v>4040</v>
      </c>
      <c r="F890" s="2966">
        <v>160000</v>
      </c>
      <c r="G890" s="2971">
        <v>39.19</v>
      </c>
      <c r="H890" s="2963" t="s">
        <v>3185</v>
      </c>
      <c r="I890" s="2963" t="s">
        <v>3086</v>
      </c>
    </row>
    <row r="891" spans="1:9">
      <c r="A891" s="2963" t="s">
        <v>3328</v>
      </c>
      <c r="B891" s="2963" t="s">
        <v>3355</v>
      </c>
      <c r="D891" s="2963">
        <v>-3405</v>
      </c>
      <c r="E891" s="2963" t="s">
        <v>4041</v>
      </c>
      <c r="F891" s="2966">
        <v>160000</v>
      </c>
      <c r="G891" s="2971">
        <v>39.19</v>
      </c>
      <c r="H891" s="2963" t="s">
        <v>3185</v>
      </c>
      <c r="I891" s="2963" t="s">
        <v>3086</v>
      </c>
    </row>
    <row r="892" spans="1:9">
      <c r="A892" s="2963" t="s">
        <v>3328</v>
      </c>
      <c r="B892" s="2963" t="s">
        <v>3355</v>
      </c>
      <c r="D892" s="2963">
        <v>-3406</v>
      </c>
      <c r="E892" s="2963" t="s">
        <v>4042</v>
      </c>
      <c r="F892" s="2966">
        <v>160000</v>
      </c>
      <c r="G892" s="2971">
        <v>39.19</v>
      </c>
      <c r="H892" s="2963" t="s">
        <v>3185</v>
      </c>
      <c r="I892" s="2963" t="s">
        <v>3086</v>
      </c>
    </row>
    <row r="893" spans="1:9">
      <c r="A893" s="2963" t="s">
        <v>3328</v>
      </c>
      <c r="B893" s="2963" t="s">
        <v>3355</v>
      </c>
      <c r="D893" s="2963">
        <v>-3407</v>
      </c>
      <c r="E893" s="2963" t="s">
        <v>4043</v>
      </c>
      <c r="F893" s="2966">
        <v>160000</v>
      </c>
      <c r="G893" s="2971">
        <v>39.19</v>
      </c>
      <c r="H893" s="2963" t="s">
        <v>3185</v>
      </c>
      <c r="I893" s="2963" t="s">
        <v>3086</v>
      </c>
    </row>
    <row r="894" spans="1:9">
      <c r="A894" s="2963" t="s">
        <v>3328</v>
      </c>
      <c r="B894" s="2963" t="s">
        <v>3355</v>
      </c>
      <c r="D894" s="2963">
        <v>-3408</v>
      </c>
      <c r="E894" s="2963" t="s">
        <v>4044</v>
      </c>
      <c r="F894" s="2966">
        <v>160000</v>
      </c>
      <c r="G894" s="2971">
        <v>39.19</v>
      </c>
      <c r="H894" s="2963" t="s">
        <v>3185</v>
      </c>
      <c r="I894" s="2963" t="s">
        <v>3086</v>
      </c>
    </row>
    <row r="895" spans="1:9">
      <c r="A895" s="2963" t="s">
        <v>3328</v>
      </c>
      <c r="B895" s="2963" t="s">
        <v>3355</v>
      </c>
      <c r="D895" s="2963">
        <v>-3409</v>
      </c>
      <c r="E895" s="2963" t="s">
        <v>4045</v>
      </c>
      <c r="F895" s="2966">
        <v>160000</v>
      </c>
      <c r="G895" s="2971">
        <v>39.19</v>
      </c>
      <c r="H895" s="2963" t="s">
        <v>3185</v>
      </c>
      <c r="I895" s="2963" t="s">
        <v>3086</v>
      </c>
    </row>
    <row r="896" spans="1:9">
      <c r="A896" s="2963" t="s">
        <v>3328</v>
      </c>
      <c r="B896" s="2963" t="s">
        <v>3355</v>
      </c>
      <c r="D896" s="2963">
        <v>-3410</v>
      </c>
      <c r="E896" s="2963" t="s">
        <v>4046</v>
      </c>
      <c r="F896" s="2966">
        <v>160000</v>
      </c>
      <c r="G896" s="2971">
        <v>39.19</v>
      </c>
      <c r="H896" s="2963" t="s">
        <v>3185</v>
      </c>
      <c r="I896" s="2963" t="s">
        <v>3086</v>
      </c>
    </row>
    <row r="897" spans="1:9">
      <c r="A897" s="2963" t="s">
        <v>3328</v>
      </c>
      <c r="B897" s="2963" t="s">
        <v>3355</v>
      </c>
      <c r="D897" s="2963">
        <v>-3411</v>
      </c>
      <c r="E897" s="2963" t="s">
        <v>4047</v>
      </c>
      <c r="F897" s="2966">
        <v>160000</v>
      </c>
      <c r="G897" s="2971">
        <v>39.19</v>
      </c>
      <c r="H897" s="2963" t="s">
        <v>3185</v>
      </c>
      <c r="I897" s="2963" t="s">
        <v>3086</v>
      </c>
    </row>
    <row r="898" spans="1:9">
      <c r="A898" s="2963" t="s">
        <v>3328</v>
      </c>
      <c r="B898" s="2963" t="s">
        <v>3355</v>
      </c>
      <c r="D898" s="2963">
        <v>-3412</v>
      </c>
      <c r="E898" s="2963" t="s">
        <v>4048</v>
      </c>
      <c r="F898" s="2966">
        <v>160000</v>
      </c>
      <c r="G898" s="2971">
        <v>39.19</v>
      </c>
      <c r="H898" s="2963" t="s">
        <v>3185</v>
      </c>
      <c r="I898" s="2963" t="s">
        <v>3086</v>
      </c>
    </row>
    <row r="899" spans="1:9">
      <c r="A899" s="2963" t="s">
        <v>3328</v>
      </c>
      <c r="B899" s="2963" t="s">
        <v>3355</v>
      </c>
      <c r="D899" s="2963">
        <v>-3413</v>
      </c>
      <c r="E899" s="2963" t="s">
        <v>4049</v>
      </c>
      <c r="F899" s="2966">
        <v>160000</v>
      </c>
      <c r="G899" s="2971">
        <v>39.19</v>
      </c>
      <c r="H899" s="2963" t="s">
        <v>3185</v>
      </c>
      <c r="I899" s="2963" t="s">
        <v>3086</v>
      </c>
    </row>
    <row r="900" spans="1:9">
      <c r="A900" s="2963" t="s">
        <v>3328</v>
      </c>
      <c r="B900" s="2963" t="s">
        <v>3355</v>
      </c>
      <c r="D900" s="2963">
        <v>-3414</v>
      </c>
      <c r="E900" s="2963" t="s">
        <v>4050</v>
      </c>
      <c r="F900" s="2966">
        <v>160000</v>
      </c>
      <c r="G900" s="2971">
        <v>39.19</v>
      </c>
      <c r="H900" s="2963" t="s">
        <v>3185</v>
      </c>
      <c r="I900" s="2963" t="s">
        <v>3086</v>
      </c>
    </row>
    <row r="901" spans="1:9">
      <c r="A901" s="2963" t="s">
        <v>3328</v>
      </c>
      <c r="B901" s="2963" t="s">
        <v>3355</v>
      </c>
      <c r="D901" s="2963">
        <v>-3415</v>
      </c>
      <c r="E901" s="2963" t="s">
        <v>4051</v>
      </c>
      <c r="F901" s="2966">
        <v>160000</v>
      </c>
      <c r="G901" s="2971">
        <v>39.19</v>
      </c>
      <c r="H901" s="2963" t="s">
        <v>3185</v>
      </c>
      <c r="I901" s="2963" t="s">
        <v>3086</v>
      </c>
    </row>
    <row r="902" spans="1:9">
      <c r="A902" s="2963" t="s">
        <v>3328</v>
      </c>
      <c r="B902" s="2963" t="s">
        <v>3355</v>
      </c>
      <c r="D902" s="2963">
        <v>-3416</v>
      </c>
      <c r="E902" s="2963" t="s">
        <v>4052</v>
      </c>
      <c r="F902" s="2966">
        <v>160000</v>
      </c>
      <c r="G902" s="2971">
        <v>39.19</v>
      </c>
      <c r="H902" s="2963" t="s">
        <v>3185</v>
      </c>
      <c r="I902" s="2963" t="s">
        <v>3086</v>
      </c>
    </row>
    <row r="903" spans="1:9">
      <c r="A903" s="2963" t="s">
        <v>3328</v>
      </c>
      <c r="B903" s="2963" t="s">
        <v>3355</v>
      </c>
      <c r="D903" s="2963">
        <v>-3417</v>
      </c>
      <c r="E903" s="2963" t="s">
        <v>4053</v>
      </c>
      <c r="F903" s="2966">
        <v>160000</v>
      </c>
      <c r="G903" s="2971">
        <v>39.19</v>
      </c>
      <c r="H903" s="2963" t="s">
        <v>3185</v>
      </c>
      <c r="I903" s="2963" t="s">
        <v>3086</v>
      </c>
    </row>
    <row r="904" spans="1:9">
      <c r="A904" s="2963" t="s">
        <v>3328</v>
      </c>
      <c r="B904" s="2963" t="s">
        <v>3355</v>
      </c>
      <c r="D904" s="2963">
        <v>-3418</v>
      </c>
      <c r="E904" s="2963" t="s">
        <v>4054</v>
      </c>
      <c r="F904" s="2966">
        <v>160000</v>
      </c>
      <c r="G904" s="2971">
        <v>39.19</v>
      </c>
      <c r="H904" s="2963" t="s">
        <v>3185</v>
      </c>
      <c r="I904" s="2963" t="s">
        <v>3086</v>
      </c>
    </row>
    <row r="905" spans="1:9">
      <c r="A905" s="2963" t="s">
        <v>3328</v>
      </c>
      <c r="B905" s="2963" t="s">
        <v>3355</v>
      </c>
      <c r="D905" s="2963">
        <v>-3419</v>
      </c>
      <c r="E905" s="2963" t="s">
        <v>4055</v>
      </c>
      <c r="F905" s="2966">
        <v>160000</v>
      </c>
      <c r="G905" s="2971">
        <v>39.19</v>
      </c>
      <c r="H905" s="2963" t="s">
        <v>3185</v>
      </c>
      <c r="I905" s="2963" t="s">
        <v>3086</v>
      </c>
    </row>
    <row r="906" spans="1:9">
      <c r="A906" s="2963" t="s">
        <v>3328</v>
      </c>
      <c r="B906" s="2963" t="s">
        <v>3355</v>
      </c>
      <c r="D906" s="2963">
        <v>-3420</v>
      </c>
      <c r="E906" s="2963" t="s">
        <v>4056</v>
      </c>
      <c r="F906" s="2966">
        <v>160000</v>
      </c>
      <c r="G906" s="2971">
        <v>39.19</v>
      </c>
      <c r="H906" s="2963" t="s">
        <v>3185</v>
      </c>
      <c r="I906" s="2963" t="s">
        <v>3086</v>
      </c>
    </row>
    <row r="907" spans="1:9">
      <c r="A907" s="2963" t="s">
        <v>3328</v>
      </c>
      <c r="B907" s="2963" t="s">
        <v>3355</v>
      </c>
      <c r="D907" s="2963">
        <v>-3421</v>
      </c>
      <c r="E907" s="2963" t="s">
        <v>4057</v>
      </c>
      <c r="F907" s="2966">
        <v>160000</v>
      </c>
      <c r="G907" s="2971">
        <v>39.19</v>
      </c>
      <c r="H907" s="2963" t="s">
        <v>3185</v>
      </c>
      <c r="I907" s="2963" t="s">
        <v>3086</v>
      </c>
    </row>
    <row r="908" spans="1:9">
      <c r="A908" s="2963" t="s">
        <v>3328</v>
      </c>
      <c r="B908" s="2963" t="s">
        <v>3355</v>
      </c>
      <c r="D908" s="2963">
        <v>-3422</v>
      </c>
      <c r="E908" s="2963" t="s">
        <v>4058</v>
      </c>
      <c r="F908" s="2966">
        <v>160000</v>
      </c>
      <c r="G908" s="2971">
        <v>39.19</v>
      </c>
      <c r="H908" s="2963" t="s">
        <v>3185</v>
      </c>
      <c r="I908" s="2963" t="s">
        <v>3086</v>
      </c>
    </row>
    <row r="909" spans="1:9">
      <c r="A909" s="2963" t="s">
        <v>3328</v>
      </c>
      <c r="B909" s="2963" t="s">
        <v>3355</v>
      </c>
      <c r="D909" s="2963">
        <v>-3423</v>
      </c>
      <c r="E909" s="2963" t="s">
        <v>4059</v>
      </c>
      <c r="F909" s="2966">
        <v>160000</v>
      </c>
      <c r="G909" s="2971">
        <v>39.19</v>
      </c>
      <c r="H909" s="2963" t="s">
        <v>3185</v>
      </c>
      <c r="I909" s="2963" t="s">
        <v>3086</v>
      </c>
    </row>
    <row r="910" spans="1:9">
      <c r="A910" s="2963" t="s">
        <v>3328</v>
      </c>
      <c r="B910" s="2963" t="s">
        <v>3355</v>
      </c>
      <c r="D910" s="2963">
        <v>-3424</v>
      </c>
      <c r="E910" s="2963" t="s">
        <v>4060</v>
      </c>
      <c r="F910" s="2966">
        <v>160000</v>
      </c>
      <c r="G910" s="2971">
        <v>39.19</v>
      </c>
      <c r="H910" s="2963" t="s">
        <v>3185</v>
      </c>
      <c r="I910" s="2963" t="s">
        <v>3086</v>
      </c>
    </row>
    <row r="911" spans="1:9">
      <c r="A911" s="2963" t="s">
        <v>3328</v>
      </c>
      <c r="B911" s="2963" t="s">
        <v>3355</v>
      </c>
      <c r="D911" s="2963">
        <v>-3425</v>
      </c>
      <c r="E911" s="2963" t="s">
        <v>4061</v>
      </c>
      <c r="F911" s="2966">
        <v>160000</v>
      </c>
      <c r="G911" s="2971">
        <v>39.19</v>
      </c>
      <c r="H911" s="2963" t="s">
        <v>3185</v>
      </c>
      <c r="I911" s="2963" t="s">
        <v>3086</v>
      </c>
    </row>
    <row r="912" spans="1:9">
      <c r="A912" s="2963" t="s">
        <v>3328</v>
      </c>
      <c r="B912" s="2963" t="s">
        <v>3355</v>
      </c>
      <c r="D912" s="2963">
        <v>-3426</v>
      </c>
      <c r="E912" s="2963" t="s">
        <v>4062</v>
      </c>
      <c r="F912" s="2966">
        <v>160000</v>
      </c>
      <c r="G912" s="2971">
        <v>39.19</v>
      </c>
      <c r="H912" s="2963" t="s">
        <v>3185</v>
      </c>
      <c r="I912" s="2963" t="s">
        <v>3086</v>
      </c>
    </row>
    <row r="913" spans="1:9">
      <c r="A913" s="2963" t="s">
        <v>3328</v>
      </c>
      <c r="B913" s="2963" t="s">
        <v>3355</v>
      </c>
      <c r="D913" s="2963">
        <v>-3427</v>
      </c>
      <c r="E913" s="2963" t="s">
        <v>4063</v>
      </c>
      <c r="F913" s="2966">
        <v>160000</v>
      </c>
      <c r="G913" s="2971">
        <v>39.19</v>
      </c>
      <c r="H913" s="2963" t="s">
        <v>3185</v>
      </c>
      <c r="I913" s="2963" t="s">
        <v>3086</v>
      </c>
    </row>
    <row r="914" spans="1:9">
      <c r="A914" s="2963" t="s">
        <v>3328</v>
      </c>
      <c r="B914" s="2963" t="s">
        <v>3355</v>
      </c>
      <c r="D914" s="2963">
        <v>-3428</v>
      </c>
      <c r="E914" s="2963" t="s">
        <v>4064</v>
      </c>
      <c r="F914" s="2966">
        <v>160000</v>
      </c>
      <c r="G914" s="2971">
        <v>39.19</v>
      </c>
      <c r="H914" s="2963" t="s">
        <v>3185</v>
      </c>
      <c r="I914" s="2963" t="s">
        <v>3086</v>
      </c>
    </row>
    <row r="915" spans="1:9">
      <c r="A915" s="2963" t="s">
        <v>3328</v>
      </c>
      <c r="B915" s="2963" t="s">
        <v>3355</v>
      </c>
      <c r="D915" s="2963">
        <v>-3429</v>
      </c>
      <c r="E915" s="2963" t="s">
        <v>4065</v>
      </c>
      <c r="F915" s="2966">
        <v>160000</v>
      </c>
      <c r="G915" s="2971">
        <v>39.19</v>
      </c>
      <c r="H915" s="2963" t="s">
        <v>3185</v>
      </c>
      <c r="I915" s="2963" t="s">
        <v>3086</v>
      </c>
    </row>
    <row r="916" spans="1:9">
      <c r="A916" s="2963" t="s">
        <v>3328</v>
      </c>
      <c r="B916" s="2963" t="s">
        <v>3355</v>
      </c>
      <c r="D916" s="2963">
        <v>-3430</v>
      </c>
      <c r="E916" s="2963" t="s">
        <v>4066</v>
      </c>
      <c r="F916" s="2966">
        <v>160000</v>
      </c>
      <c r="G916" s="2971">
        <v>39.19</v>
      </c>
      <c r="H916" s="2963" t="s">
        <v>3185</v>
      </c>
      <c r="I916" s="2963" t="s">
        <v>3086</v>
      </c>
    </row>
    <row r="917" spans="1:9">
      <c r="A917" s="2963" t="s">
        <v>3328</v>
      </c>
      <c r="B917" s="2963" t="s">
        <v>3355</v>
      </c>
      <c r="D917" s="2963">
        <v>-3431</v>
      </c>
      <c r="E917" s="2963" t="s">
        <v>4067</v>
      </c>
      <c r="F917" s="2966">
        <v>160000</v>
      </c>
      <c r="G917" s="2971">
        <v>39.19</v>
      </c>
      <c r="H917" s="2963" t="s">
        <v>3185</v>
      </c>
      <c r="I917" s="2963" t="s">
        <v>3086</v>
      </c>
    </row>
    <row r="918" spans="1:9">
      <c r="A918" s="2963" t="s">
        <v>3328</v>
      </c>
      <c r="B918" s="2963" t="s">
        <v>3355</v>
      </c>
      <c r="D918" s="2963">
        <v>-3432</v>
      </c>
      <c r="E918" s="2963" t="s">
        <v>4068</v>
      </c>
      <c r="F918" s="2966">
        <v>160000</v>
      </c>
      <c r="G918" s="2971">
        <v>39.19</v>
      </c>
      <c r="H918" s="2963" t="s">
        <v>3185</v>
      </c>
      <c r="I918" s="2963" t="s">
        <v>3086</v>
      </c>
    </row>
    <row r="919" spans="1:9">
      <c r="A919" s="2963" t="s">
        <v>3328</v>
      </c>
      <c r="B919" s="2963" t="s">
        <v>3355</v>
      </c>
      <c r="D919" s="2963">
        <v>-3433</v>
      </c>
      <c r="E919" s="2963" t="s">
        <v>4069</v>
      </c>
      <c r="F919" s="2966">
        <v>160000</v>
      </c>
      <c r="G919" s="2971">
        <v>39.19</v>
      </c>
      <c r="H919" s="2963" t="s">
        <v>3185</v>
      </c>
      <c r="I919" s="2963" t="s">
        <v>3086</v>
      </c>
    </row>
    <row r="920" spans="1:9">
      <c r="A920" s="2963" t="s">
        <v>3328</v>
      </c>
      <c r="B920" s="2963" t="s">
        <v>3355</v>
      </c>
      <c r="D920" s="2963">
        <v>-3434</v>
      </c>
      <c r="E920" s="2963" t="s">
        <v>4070</v>
      </c>
      <c r="F920" s="2966">
        <v>160000</v>
      </c>
      <c r="G920" s="2971">
        <v>39.19</v>
      </c>
      <c r="H920" s="2963" t="s">
        <v>3185</v>
      </c>
      <c r="I920" s="2963" t="s">
        <v>3086</v>
      </c>
    </row>
    <row r="921" spans="1:9">
      <c r="A921" s="2963" t="s">
        <v>3328</v>
      </c>
      <c r="B921" s="2963" t="s">
        <v>3355</v>
      </c>
      <c r="D921" s="2963">
        <v>-3435</v>
      </c>
      <c r="E921" s="2963" t="s">
        <v>4071</v>
      </c>
      <c r="F921" s="2966">
        <v>160000</v>
      </c>
      <c r="G921" s="2971">
        <v>39.19</v>
      </c>
      <c r="H921" s="2963" t="s">
        <v>3185</v>
      </c>
      <c r="I921" s="2963" t="s">
        <v>3086</v>
      </c>
    </row>
    <row r="922" spans="1:9">
      <c r="A922" s="2963" t="s">
        <v>3328</v>
      </c>
      <c r="B922" s="2963" t="s">
        <v>3355</v>
      </c>
      <c r="D922" s="2963">
        <v>-3436</v>
      </c>
      <c r="E922" s="2963" t="s">
        <v>4072</v>
      </c>
      <c r="F922" s="2966">
        <v>160000</v>
      </c>
      <c r="G922" s="2971">
        <v>39.19</v>
      </c>
      <c r="H922" s="2963" t="s">
        <v>3185</v>
      </c>
      <c r="I922" s="2963" t="s">
        <v>3086</v>
      </c>
    </row>
    <row r="923" spans="1:9">
      <c r="A923" s="2963" t="s">
        <v>3328</v>
      </c>
      <c r="B923" s="2963" t="s">
        <v>3355</v>
      </c>
      <c r="D923" s="2963">
        <v>-3437</v>
      </c>
      <c r="E923" s="2963" t="s">
        <v>4073</v>
      </c>
      <c r="F923" s="2966">
        <v>160000</v>
      </c>
      <c r="G923" s="2971">
        <v>39.19</v>
      </c>
      <c r="H923" s="2963" t="s">
        <v>3185</v>
      </c>
      <c r="I923" s="2963" t="s">
        <v>3086</v>
      </c>
    </row>
    <row r="924" spans="1:9">
      <c r="A924" s="2963" t="s">
        <v>3328</v>
      </c>
      <c r="B924" s="2963" t="s">
        <v>3355</v>
      </c>
      <c r="D924" s="2963">
        <v>-3438</v>
      </c>
      <c r="E924" s="2963" t="s">
        <v>4074</v>
      </c>
      <c r="F924" s="2966">
        <v>160000</v>
      </c>
      <c r="G924" s="2971">
        <v>39.19</v>
      </c>
      <c r="H924" s="2963" t="s">
        <v>3185</v>
      </c>
      <c r="I924" s="2963" t="s">
        <v>3086</v>
      </c>
    </row>
    <row r="925" spans="1:9">
      <c r="A925" s="2963" t="s">
        <v>3328</v>
      </c>
      <c r="B925" s="2963" t="s">
        <v>3355</v>
      </c>
      <c r="D925" s="2963">
        <v>-3439</v>
      </c>
      <c r="E925" s="2963" t="s">
        <v>4075</v>
      </c>
      <c r="F925" s="2966">
        <v>160000</v>
      </c>
      <c r="G925" s="2971">
        <v>39.19</v>
      </c>
      <c r="H925" s="2963" t="s">
        <v>3185</v>
      </c>
      <c r="I925" s="2963" t="s">
        <v>3086</v>
      </c>
    </row>
    <row r="926" spans="1:9">
      <c r="A926" s="2963" t="s">
        <v>3328</v>
      </c>
      <c r="B926" s="2963" t="s">
        <v>3355</v>
      </c>
      <c r="D926" s="2963">
        <v>-3440</v>
      </c>
      <c r="E926" s="2963" t="s">
        <v>4076</v>
      </c>
      <c r="F926" s="2966">
        <v>160000</v>
      </c>
      <c r="G926" s="2971">
        <v>39.19</v>
      </c>
      <c r="H926" s="2963" t="s">
        <v>3185</v>
      </c>
      <c r="I926" s="2963" t="s">
        <v>3086</v>
      </c>
    </row>
    <row r="927" spans="1:9">
      <c r="A927" s="2963" t="s">
        <v>3328</v>
      </c>
      <c r="B927" s="2963" t="s">
        <v>3355</v>
      </c>
      <c r="D927" s="2963">
        <v>-3441</v>
      </c>
      <c r="E927" s="2963" t="s">
        <v>4077</v>
      </c>
      <c r="F927" s="2966">
        <v>160000</v>
      </c>
      <c r="G927" s="2971">
        <v>39.19</v>
      </c>
      <c r="H927" s="2963" t="s">
        <v>3185</v>
      </c>
      <c r="I927" s="2963" t="s">
        <v>3086</v>
      </c>
    </row>
    <row r="928" spans="1:9">
      <c r="A928" s="2963" t="s">
        <v>3328</v>
      </c>
      <c r="B928" s="2963" t="s">
        <v>3355</v>
      </c>
      <c r="D928" s="2963">
        <v>-3442</v>
      </c>
      <c r="E928" s="2963" t="s">
        <v>4078</v>
      </c>
      <c r="F928" s="2966">
        <v>160000</v>
      </c>
      <c r="G928" s="2971">
        <v>39.19</v>
      </c>
      <c r="H928" s="2963" t="s">
        <v>3185</v>
      </c>
      <c r="I928" s="2963" t="s">
        <v>3086</v>
      </c>
    </row>
    <row r="929" spans="1:9">
      <c r="A929" s="2963" t="s">
        <v>3328</v>
      </c>
      <c r="B929" s="2963" t="s">
        <v>3355</v>
      </c>
      <c r="D929" s="2963">
        <v>-3443</v>
      </c>
      <c r="E929" s="2963" t="s">
        <v>4079</v>
      </c>
      <c r="F929" s="2966">
        <v>160000</v>
      </c>
      <c r="G929" s="2971">
        <v>39.19</v>
      </c>
      <c r="H929" s="2963" t="s">
        <v>3185</v>
      </c>
      <c r="I929" s="2963" t="s">
        <v>3086</v>
      </c>
    </row>
    <row r="930" spans="1:9">
      <c r="A930" s="2963" t="s">
        <v>3328</v>
      </c>
      <c r="B930" s="2963" t="s">
        <v>3355</v>
      </c>
      <c r="D930" s="2963">
        <v>-3444</v>
      </c>
      <c r="E930" s="2963" t="s">
        <v>4080</v>
      </c>
      <c r="F930" s="2966">
        <v>160000</v>
      </c>
      <c r="G930" s="2971">
        <v>39.19</v>
      </c>
      <c r="H930" s="2963" t="s">
        <v>3185</v>
      </c>
      <c r="I930" s="2963" t="s">
        <v>3086</v>
      </c>
    </row>
    <row r="931" spans="1:9">
      <c r="A931" s="2963" t="s">
        <v>3328</v>
      </c>
      <c r="B931" s="2963" t="s">
        <v>3355</v>
      </c>
      <c r="D931" s="2963">
        <v>-3445</v>
      </c>
      <c r="E931" s="2963" t="s">
        <v>4081</v>
      </c>
      <c r="F931" s="2966">
        <v>160000</v>
      </c>
      <c r="G931" s="2971">
        <v>39.19</v>
      </c>
      <c r="H931" s="2963" t="s">
        <v>3185</v>
      </c>
      <c r="I931" s="2963" t="s">
        <v>3086</v>
      </c>
    </row>
    <row r="932" spans="1:9">
      <c r="A932" s="2963" t="s">
        <v>3328</v>
      </c>
      <c r="B932" s="2963" t="s">
        <v>3355</v>
      </c>
      <c r="D932" s="2963">
        <v>-3446</v>
      </c>
      <c r="E932" s="2963" t="s">
        <v>4082</v>
      </c>
      <c r="F932" s="2966">
        <v>160000</v>
      </c>
      <c r="G932" s="2971">
        <v>39.19</v>
      </c>
      <c r="H932" s="2963" t="s">
        <v>3185</v>
      </c>
      <c r="I932" s="2963" t="s">
        <v>3086</v>
      </c>
    </row>
    <row r="933" spans="1:9">
      <c r="A933" s="2963" t="s">
        <v>3328</v>
      </c>
      <c r="B933" s="2963" t="s">
        <v>3355</v>
      </c>
      <c r="D933" s="2963">
        <v>-3447</v>
      </c>
      <c r="E933" s="2963" t="s">
        <v>4083</v>
      </c>
      <c r="F933" s="2966">
        <v>160000</v>
      </c>
      <c r="G933" s="2971">
        <v>39.19</v>
      </c>
      <c r="H933" s="2963" t="s">
        <v>3185</v>
      </c>
      <c r="I933" s="2963" t="s">
        <v>3086</v>
      </c>
    </row>
    <row r="934" spans="1:9">
      <c r="A934" s="2963" t="s">
        <v>3328</v>
      </c>
      <c r="B934" s="2963" t="s">
        <v>3355</v>
      </c>
      <c r="D934" s="2963">
        <v>-3448</v>
      </c>
      <c r="E934" s="2963" t="s">
        <v>4084</v>
      </c>
      <c r="F934" s="2966">
        <v>160000</v>
      </c>
      <c r="G934" s="2971">
        <v>39.19</v>
      </c>
      <c r="H934" s="2963" t="s">
        <v>3185</v>
      </c>
      <c r="I934" s="2963" t="s">
        <v>3086</v>
      </c>
    </row>
    <row r="935" spans="1:9">
      <c r="A935" s="2963" t="s">
        <v>3328</v>
      </c>
      <c r="B935" s="2963" t="s">
        <v>3355</v>
      </c>
      <c r="D935" s="2963">
        <v>-3449</v>
      </c>
      <c r="E935" s="2963" t="s">
        <v>4085</v>
      </c>
      <c r="F935" s="2966">
        <v>160000</v>
      </c>
      <c r="G935" s="2971">
        <v>39.19</v>
      </c>
      <c r="H935" s="2963" t="s">
        <v>3185</v>
      </c>
      <c r="I935" s="2963" t="s">
        <v>3086</v>
      </c>
    </row>
    <row r="936" spans="1:9">
      <c r="A936" s="2963" t="s">
        <v>3328</v>
      </c>
      <c r="B936" s="2963" t="s">
        <v>3355</v>
      </c>
      <c r="D936" s="2963">
        <v>-3450</v>
      </c>
      <c r="E936" s="2963" t="s">
        <v>4086</v>
      </c>
      <c r="F936" s="2966">
        <v>160000</v>
      </c>
      <c r="G936" s="2971">
        <v>39.19</v>
      </c>
      <c r="H936" s="2963" t="s">
        <v>3185</v>
      </c>
      <c r="I936" s="2963" t="s">
        <v>3086</v>
      </c>
    </row>
    <row r="937" spans="1:9">
      <c r="A937" s="2963" t="s">
        <v>3328</v>
      </c>
      <c r="B937" s="2963" t="s">
        <v>3355</v>
      </c>
      <c r="D937" s="2963">
        <v>-3451</v>
      </c>
      <c r="E937" s="2963" t="s">
        <v>4087</v>
      </c>
      <c r="F937" s="2966">
        <v>160000</v>
      </c>
      <c r="G937" s="2971">
        <v>39.19</v>
      </c>
      <c r="H937" s="2963" t="s">
        <v>3185</v>
      </c>
      <c r="I937" s="2963" t="s">
        <v>3086</v>
      </c>
    </row>
    <row r="938" spans="1:9">
      <c r="A938" s="2963" t="s">
        <v>3328</v>
      </c>
      <c r="B938" s="2963" t="s">
        <v>3355</v>
      </c>
      <c r="D938" s="2963">
        <v>-3452</v>
      </c>
      <c r="E938" s="2963" t="s">
        <v>4088</v>
      </c>
      <c r="F938" s="2966">
        <v>160000</v>
      </c>
      <c r="G938" s="2971">
        <v>39.19</v>
      </c>
      <c r="H938" s="2963" t="s">
        <v>3185</v>
      </c>
      <c r="I938" s="2963" t="s">
        <v>3086</v>
      </c>
    </row>
    <row r="939" spans="1:9">
      <c r="A939" s="2963" t="s">
        <v>3328</v>
      </c>
      <c r="B939" s="2963" t="s">
        <v>3355</v>
      </c>
      <c r="D939" s="2963">
        <v>-3453</v>
      </c>
      <c r="E939" s="2963" t="s">
        <v>4089</v>
      </c>
      <c r="F939" s="2966">
        <v>160000</v>
      </c>
      <c r="G939" s="2971">
        <v>39.19</v>
      </c>
      <c r="H939" s="2963" t="s">
        <v>3185</v>
      </c>
      <c r="I939" s="2963" t="s">
        <v>3086</v>
      </c>
    </row>
    <row r="940" spans="1:9">
      <c r="A940" s="2963" t="s">
        <v>3328</v>
      </c>
      <c r="B940" s="2963" t="s">
        <v>3355</v>
      </c>
      <c r="D940" s="2963">
        <v>-3454</v>
      </c>
      <c r="E940" s="2963" t="s">
        <v>4090</v>
      </c>
      <c r="F940" s="2966">
        <v>160000</v>
      </c>
      <c r="G940" s="2971">
        <v>39.19</v>
      </c>
      <c r="H940" s="2963" t="s">
        <v>3185</v>
      </c>
      <c r="I940" s="2963" t="s">
        <v>3086</v>
      </c>
    </row>
    <row r="941" spans="1:9">
      <c r="A941" s="2963" t="s">
        <v>3328</v>
      </c>
      <c r="B941" s="2963" t="s">
        <v>3355</v>
      </c>
      <c r="D941" s="2963">
        <v>-3455</v>
      </c>
      <c r="E941" s="2963" t="s">
        <v>4091</v>
      </c>
      <c r="F941" s="2966">
        <v>160000</v>
      </c>
      <c r="G941" s="2971">
        <v>39.19</v>
      </c>
      <c r="H941" s="2963" t="s">
        <v>3185</v>
      </c>
      <c r="I941" s="2963" t="s">
        <v>3086</v>
      </c>
    </row>
    <row r="942" spans="1:9">
      <c r="A942" s="2963" t="s">
        <v>3328</v>
      </c>
      <c r="B942" s="2963" t="s">
        <v>3355</v>
      </c>
      <c r="D942" s="2963">
        <v>-3456</v>
      </c>
      <c r="E942" s="2963" t="s">
        <v>4092</v>
      </c>
      <c r="F942" s="2966">
        <v>160000</v>
      </c>
      <c r="G942" s="2971">
        <v>39.19</v>
      </c>
      <c r="H942" s="2963" t="s">
        <v>3185</v>
      </c>
      <c r="I942" s="2963" t="s">
        <v>3086</v>
      </c>
    </row>
    <row r="943" spans="1:9">
      <c r="A943" s="2963" t="s">
        <v>3328</v>
      </c>
      <c r="B943" s="2963" t="s">
        <v>3355</v>
      </c>
      <c r="D943" s="2963">
        <v>-3457</v>
      </c>
      <c r="E943" s="2963" t="s">
        <v>4093</v>
      </c>
      <c r="F943" s="2966">
        <v>160000</v>
      </c>
      <c r="G943" s="2971">
        <v>39.19</v>
      </c>
      <c r="H943" s="2963" t="s">
        <v>3185</v>
      </c>
      <c r="I943" s="2963" t="s">
        <v>3086</v>
      </c>
    </row>
    <row r="944" spans="1:9">
      <c r="A944" s="2963" t="s">
        <v>3328</v>
      </c>
      <c r="B944" s="2963" t="s">
        <v>3355</v>
      </c>
      <c r="D944" s="2963">
        <v>-3458</v>
      </c>
      <c r="E944" s="2963" t="s">
        <v>4094</v>
      </c>
      <c r="F944" s="2966">
        <v>160000</v>
      </c>
      <c r="G944" s="2971">
        <v>39.19</v>
      </c>
      <c r="H944" s="2963" t="s">
        <v>3185</v>
      </c>
      <c r="I944" s="2963" t="s">
        <v>3086</v>
      </c>
    </row>
    <row r="945" spans="1:9">
      <c r="A945" s="2963" t="s">
        <v>3328</v>
      </c>
      <c r="B945" s="2963" t="s">
        <v>3355</v>
      </c>
      <c r="D945" s="2963">
        <v>-3459</v>
      </c>
      <c r="E945" s="2963" t="s">
        <v>4095</v>
      </c>
      <c r="F945" s="2966">
        <v>160000</v>
      </c>
      <c r="G945" s="2971">
        <v>39.19</v>
      </c>
      <c r="H945" s="2963" t="s">
        <v>3185</v>
      </c>
      <c r="I945" s="2963" t="s">
        <v>3086</v>
      </c>
    </row>
    <row r="946" spans="1:9">
      <c r="A946" s="2963" t="s">
        <v>3328</v>
      </c>
      <c r="B946" s="2963" t="s">
        <v>3355</v>
      </c>
      <c r="D946" s="2963">
        <v>-3460</v>
      </c>
      <c r="E946" s="2963" t="s">
        <v>4096</v>
      </c>
      <c r="F946" s="2966">
        <v>160000</v>
      </c>
      <c r="G946" s="2971">
        <v>39.19</v>
      </c>
      <c r="H946" s="2963" t="s">
        <v>3185</v>
      </c>
      <c r="I946" s="2963" t="s">
        <v>3086</v>
      </c>
    </row>
    <row r="947" spans="1:9">
      <c r="A947" s="2963" t="s">
        <v>3328</v>
      </c>
      <c r="B947" s="2963" t="s">
        <v>3355</v>
      </c>
      <c r="D947" s="2963">
        <v>-3461</v>
      </c>
      <c r="E947" s="2963" t="s">
        <v>4097</v>
      </c>
      <c r="F947" s="2966">
        <v>160000</v>
      </c>
      <c r="G947" s="2971">
        <v>39.19</v>
      </c>
      <c r="H947" s="2963" t="s">
        <v>3185</v>
      </c>
      <c r="I947" s="2963" t="s">
        <v>3086</v>
      </c>
    </row>
    <row r="948" spans="1:9">
      <c r="A948" s="2963" t="s">
        <v>3328</v>
      </c>
      <c r="B948" s="2963" t="s">
        <v>3355</v>
      </c>
      <c r="D948" s="2963">
        <v>-3462</v>
      </c>
      <c r="E948" s="2963" t="s">
        <v>4098</v>
      </c>
      <c r="F948" s="2966">
        <v>160000</v>
      </c>
      <c r="G948" s="2971">
        <v>39.19</v>
      </c>
      <c r="H948" s="2963" t="s">
        <v>3185</v>
      </c>
      <c r="I948" s="2963" t="s">
        <v>3086</v>
      </c>
    </row>
    <row r="949" spans="1:9">
      <c r="A949" s="2963" t="s">
        <v>3328</v>
      </c>
      <c r="B949" s="2963" t="s">
        <v>3355</v>
      </c>
      <c r="D949" s="2963">
        <v>-3463</v>
      </c>
      <c r="E949" s="2963" t="s">
        <v>4099</v>
      </c>
      <c r="F949" s="2966">
        <v>160000</v>
      </c>
      <c r="G949" s="2971">
        <v>39.19</v>
      </c>
      <c r="H949" s="2963" t="s">
        <v>3185</v>
      </c>
      <c r="I949" s="2963" t="s">
        <v>3086</v>
      </c>
    </row>
    <row r="950" spans="1:9">
      <c r="A950" s="2963" t="s">
        <v>3328</v>
      </c>
      <c r="B950" s="2963" t="s">
        <v>3355</v>
      </c>
      <c r="D950" s="2963">
        <v>-3464</v>
      </c>
      <c r="E950" s="2963" t="s">
        <v>4100</v>
      </c>
      <c r="F950" s="2966">
        <v>160000</v>
      </c>
      <c r="G950" s="2971">
        <v>39.19</v>
      </c>
      <c r="H950" s="2963" t="s">
        <v>3185</v>
      </c>
      <c r="I950" s="2963" t="s">
        <v>3086</v>
      </c>
    </row>
    <row r="951" spans="1:9">
      <c r="A951" s="2963" t="s">
        <v>3328</v>
      </c>
      <c r="B951" s="2963" t="s">
        <v>3355</v>
      </c>
      <c r="D951" s="2963">
        <v>-3465</v>
      </c>
      <c r="E951" s="2963" t="s">
        <v>4101</v>
      </c>
      <c r="F951" s="2966">
        <v>160000</v>
      </c>
      <c r="G951" s="2971">
        <v>39.19</v>
      </c>
      <c r="H951" s="2963" t="s">
        <v>3185</v>
      </c>
      <c r="I951" s="2963" t="s">
        <v>3086</v>
      </c>
    </row>
    <row r="952" spans="1:9">
      <c r="A952" s="2963" t="s">
        <v>3328</v>
      </c>
      <c r="B952" s="2963" t="s">
        <v>3355</v>
      </c>
      <c r="D952" s="2963">
        <v>-3466</v>
      </c>
      <c r="E952" s="2963" t="s">
        <v>4102</v>
      </c>
      <c r="F952" s="2966">
        <v>160000</v>
      </c>
      <c r="G952" s="2971">
        <v>39.19</v>
      </c>
      <c r="H952" s="2963" t="s">
        <v>3185</v>
      </c>
      <c r="I952" s="2963" t="s">
        <v>3086</v>
      </c>
    </row>
    <row r="953" spans="1:9">
      <c r="A953" s="2963" t="s">
        <v>3328</v>
      </c>
      <c r="B953" s="2963" t="s">
        <v>3355</v>
      </c>
      <c r="D953" s="2963">
        <v>-3467</v>
      </c>
      <c r="E953" s="2963" t="s">
        <v>4103</v>
      </c>
      <c r="F953" s="2966">
        <v>160000</v>
      </c>
      <c r="G953" s="2971">
        <v>39.19</v>
      </c>
      <c r="H953" s="2963" t="s">
        <v>3185</v>
      </c>
      <c r="I953" s="2963" t="s">
        <v>3086</v>
      </c>
    </row>
    <row r="954" spans="1:9">
      <c r="A954" s="2963" t="s">
        <v>3328</v>
      </c>
      <c r="B954" s="2963" t="s">
        <v>3355</v>
      </c>
      <c r="D954" s="2963">
        <v>-3468</v>
      </c>
      <c r="E954" s="2963" t="s">
        <v>4104</v>
      </c>
      <c r="F954" s="2966">
        <v>160000</v>
      </c>
      <c r="G954" s="2971">
        <v>39.19</v>
      </c>
      <c r="H954" s="2963" t="s">
        <v>3185</v>
      </c>
      <c r="I954" s="2963" t="s">
        <v>3086</v>
      </c>
    </row>
    <row r="955" spans="1:9">
      <c r="A955" s="2963" t="s">
        <v>3328</v>
      </c>
      <c r="B955" s="2963" t="s">
        <v>3355</v>
      </c>
      <c r="D955" s="2963">
        <v>-3469</v>
      </c>
      <c r="E955" s="2963" t="s">
        <v>4105</v>
      </c>
      <c r="F955" s="2966">
        <v>160000</v>
      </c>
      <c r="G955" s="2971">
        <v>39.19</v>
      </c>
      <c r="H955" s="2963" t="s">
        <v>3185</v>
      </c>
      <c r="I955" s="2963" t="s">
        <v>3086</v>
      </c>
    </row>
    <row r="956" spans="1:9">
      <c r="A956" s="2963" t="s">
        <v>3328</v>
      </c>
      <c r="B956" s="2963" t="s">
        <v>3355</v>
      </c>
      <c r="D956" s="2963">
        <v>-3470</v>
      </c>
      <c r="E956" s="2963" t="s">
        <v>4106</v>
      </c>
      <c r="F956" s="2966">
        <v>160000</v>
      </c>
      <c r="G956" s="2971">
        <v>39.19</v>
      </c>
      <c r="H956" s="2963" t="s">
        <v>3185</v>
      </c>
      <c r="I956" s="2963" t="s">
        <v>3086</v>
      </c>
    </row>
    <row r="957" spans="1:9">
      <c r="A957" s="2963" t="s">
        <v>3328</v>
      </c>
      <c r="B957" s="2963" t="s">
        <v>3355</v>
      </c>
      <c r="D957" s="2963">
        <v>-3471</v>
      </c>
      <c r="E957" s="2963" t="s">
        <v>4107</v>
      </c>
      <c r="F957" s="2966">
        <v>160000</v>
      </c>
      <c r="G957" s="2971">
        <v>39.19</v>
      </c>
      <c r="H957" s="2963" t="s">
        <v>3185</v>
      </c>
      <c r="I957" s="2963" t="s">
        <v>3086</v>
      </c>
    </row>
    <row r="958" spans="1:9">
      <c r="A958" s="2963" t="s">
        <v>3328</v>
      </c>
      <c r="B958" s="2963" t="s">
        <v>3355</v>
      </c>
      <c r="D958" s="2963">
        <v>-3472</v>
      </c>
      <c r="E958" s="2963" t="s">
        <v>4108</v>
      </c>
      <c r="F958" s="2966">
        <v>160000</v>
      </c>
      <c r="G958" s="2971">
        <v>39.19</v>
      </c>
      <c r="H958" s="2963" t="s">
        <v>3185</v>
      </c>
      <c r="I958" s="2963" t="s">
        <v>3086</v>
      </c>
    </row>
    <row r="959" spans="1:9">
      <c r="A959" s="2963" t="s">
        <v>3328</v>
      </c>
      <c r="B959" s="2963" t="s">
        <v>3355</v>
      </c>
      <c r="D959" s="2963">
        <v>-3473</v>
      </c>
      <c r="E959" s="2963" t="s">
        <v>4109</v>
      </c>
      <c r="F959" s="2966">
        <v>160000</v>
      </c>
      <c r="G959" s="2971">
        <v>39.19</v>
      </c>
      <c r="H959" s="2963" t="s">
        <v>3185</v>
      </c>
      <c r="I959" s="2963" t="s">
        <v>3086</v>
      </c>
    </row>
    <row r="960" spans="1:9">
      <c r="A960" s="2963" t="s">
        <v>3328</v>
      </c>
      <c r="B960" s="2963" t="s">
        <v>3355</v>
      </c>
      <c r="D960" s="2963">
        <v>-3475</v>
      </c>
      <c r="E960" s="2963" t="s">
        <v>4110</v>
      </c>
      <c r="F960" s="2966">
        <v>160000</v>
      </c>
      <c r="G960" s="2971">
        <v>39.19</v>
      </c>
      <c r="H960" s="2963" t="s">
        <v>3185</v>
      </c>
      <c r="I960" s="2963" t="s">
        <v>3086</v>
      </c>
    </row>
    <row r="961" spans="1:9">
      <c r="A961" s="2963" t="s">
        <v>3328</v>
      </c>
      <c r="B961" s="2963" t="s">
        <v>3355</v>
      </c>
      <c r="D961" s="2963">
        <v>-3476</v>
      </c>
      <c r="E961" s="2963" t="s">
        <v>4111</v>
      </c>
      <c r="F961" s="2966">
        <v>160000</v>
      </c>
      <c r="G961" s="2971">
        <v>39.19</v>
      </c>
      <c r="H961" s="2963" t="s">
        <v>3185</v>
      </c>
      <c r="I961" s="2963" t="s">
        <v>3086</v>
      </c>
    </row>
    <row r="962" spans="1:9">
      <c r="A962" s="2963" t="s">
        <v>3328</v>
      </c>
      <c r="B962" s="2963" t="s">
        <v>3355</v>
      </c>
      <c r="D962" s="2963">
        <v>-3477</v>
      </c>
      <c r="E962" s="2963" t="s">
        <v>4112</v>
      </c>
      <c r="F962" s="2966">
        <v>160000</v>
      </c>
      <c r="G962" s="2971">
        <v>39.19</v>
      </c>
      <c r="H962" s="2963" t="s">
        <v>3185</v>
      </c>
      <c r="I962" s="2963" t="s">
        <v>3086</v>
      </c>
    </row>
    <row r="963" spans="1:9">
      <c r="A963" s="2963" t="s">
        <v>3328</v>
      </c>
      <c r="B963" s="2963" t="s">
        <v>3355</v>
      </c>
      <c r="D963" s="2963">
        <v>-3478</v>
      </c>
      <c r="E963" s="2963" t="s">
        <v>4113</v>
      </c>
      <c r="F963" s="2966">
        <v>160000</v>
      </c>
      <c r="G963" s="2971">
        <v>39.19</v>
      </c>
      <c r="H963" s="2963" t="s">
        <v>3185</v>
      </c>
      <c r="I963" s="2963" t="s">
        <v>3086</v>
      </c>
    </row>
    <row r="964" spans="1:9">
      <c r="A964" s="2963" t="s">
        <v>3328</v>
      </c>
      <c r="B964" s="2963" t="s">
        <v>3355</v>
      </c>
      <c r="D964" s="2963">
        <v>-3479</v>
      </c>
      <c r="E964" s="2963" t="s">
        <v>4114</v>
      </c>
      <c r="F964" s="2966">
        <v>160000</v>
      </c>
      <c r="G964" s="2971">
        <v>39.19</v>
      </c>
      <c r="H964" s="2963" t="s">
        <v>3185</v>
      </c>
      <c r="I964" s="2963" t="s">
        <v>3086</v>
      </c>
    </row>
    <row r="965" spans="1:9">
      <c r="A965" s="2963" t="s">
        <v>3328</v>
      </c>
      <c r="B965" s="2963" t="s">
        <v>3355</v>
      </c>
      <c r="D965" s="2963">
        <v>-3480</v>
      </c>
      <c r="E965" s="2963" t="s">
        <v>4115</v>
      </c>
      <c r="F965" s="2966">
        <v>160000</v>
      </c>
      <c r="G965" s="2971">
        <v>39.19</v>
      </c>
      <c r="H965" s="2963" t="s">
        <v>3185</v>
      </c>
      <c r="I965" s="2963" t="s">
        <v>3086</v>
      </c>
    </row>
    <row r="966" spans="1:9">
      <c r="A966" s="2963" t="s">
        <v>3328</v>
      </c>
      <c r="B966" s="2963" t="s">
        <v>3355</v>
      </c>
      <c r="D966" s="2963">
        <v>-3481</v>
      </c>
      <c r="E966" s="2963" t="s">
        <v>4116</v>
      </c>
      <c r="F966" s="2966">
        <v>160000</v>
      </c>
      <c r="G966" s="2971">
        <v>39.19</v>
      </c>
      <c r="H966" s="2963" t="s">
        <v>3185</v>
      </c>
      <c r="I966" s="2963" t="s">
        <v>3086</v>
      </c>
    </row>
    <row r="967" spans="1:9">
      <c r="A967" s="2963" t="s">
        <v>3328</v>
      </c>
      <c r="B967" s="2963" t="s">
        <v>3355</v>
      </c>
      <c r="D967" s="2963">
        <v>-3482</v>
      </c>
      <c r="E967" s="2963" t="s">
        <v>4117</v>
      </c>
      <c r="F967" s="2966">
        <v>160000</v>
      </c>
      <c r="G967" s="2971">
        <v>39.19</v>
      </c>
      <c r="H967" s="2963" t="s">
        <v>3185</v>
      </c>
      <c r="I967" s="2963" t="s">
        <v>3086</v>
      </c>
    </row>
    <row r="968" spans="1:9">
      <c r="A968" s="2963" t="s">
        <v>3328</v>
      </c>
      <c r="B968" s="2963" t="s">
        <v>3355</v>
      </c>
      <c r="D968" s="2963">
        <v>-3483</v>
      </c>
      <c r="E968" s="2963" t="s">
        <v>4118</v>
      </c>
      <c r="F968" s="2966">
        <v>160000</v>
      </c>
      <c r="G968" s="2971">
        <v>39.19</v>
      </c>
      <c r="H968" s="2963" t="s">
        <v>3185</v>
      </c>
      <c r="I968" s="2963" t="s">
        <v>3086</v>
      </c>
    </row>
    <row r="969" spans="1:9">
      <c r="A969" s="2963" t="s">
        <v>3328</v>
      </c>
      <c r="B969" s="2963" t="s">
        <v>3355</v>
      </c>
      <c r="D969" s="2963">
        <v>-3484</v>
      </c>
      <c r="E969" s="2963" t="s">
        <v>4119</v>
      </c>
      <c r="F969" s="2966">
        <v>160000</v>
      </c>
      <c r="G969" s="2971">
        <v>39.19</v>
      </c>
      <c r="H969" s="2963" t="s">
        <v>3185</v>
      </c>
      <c r="I969" s="2963" t="s">
        <v>3086</v>
      </c>
    </row>
    <row r="970" spans="1:9">
      <c r="A970" s="2963" t="s">
        <v>3328</v>
      </c>
      <c r="B970" s="2963" t="s">
        <v>3355</v>
      </c>
      <c r="D970" s="2963">
        <v>-3485</v>
      </c>
      <c r="E970" s="2963" t="s">
        <v>4120</v>
      </c>
      <c r="F970" s="2966">
        <v>160000</v>
      </c>
      <c r="G970" s="2971">
        <v>39.19</v>
      </c>
      <c r="H970" s="2963" t="s">
        <v>3185</v>
      </c>
      <c r="I970" s="2963" t="s">
        <v>3086</v>
      </c>
    </row>
    <row r="971" spans="1:9">
      <c r="A971" s="2963" t="s">
        <v>3328</v>
      </c>
      <c r="B971" s="2963" t="s">
        <v>3355</v>
      </c>
      <c r="D971" s="2963">
        <v>-3486</v>
      </c>
      <c r="E971" s="2963" t="s">
        <v>4121</v>
      </c>
      <c r="F971" s="2966">
        <v>160000</v>
      </c>
      <c r="G971" s="2971">
        <v>39.19</v>
      </c>
      <c r="H971" s="2963" t="s">
        <v>3185</v>
      </c>
      <c r="I971" s="2963" t="s">
        <v>3086</v>
      </c>
    </row>
    <row r="972" spans="1:9">
      <c r="A972" s="2963" t="s">
        <v>3328</v>
      </c>
      <c r="B972" s="2963" t="s">
        <v>3355</v>
      </c>
      <c r="D972" s="2963">
        <v>-3487</v>
      </c>
      <c r="E972" s="2963" t="s">
        <v>4122</v>
      </c>
      <c r="F972" s="2966">
        <v>160000</v>
      </c>
      <c r="G972" s="2971">
        <v>39.19</v>
      </c>
      <c r="H972" s="2963" t="s">
        <v>3185</v>
      </c>
      <c r="I972" s="2963" t="s">
        <v>3086</v>
      </c>
    </row>
    <row r="973" spans="1:9">
      <c r="A973" s="2963" t="s">
        <v>3328</v>
      </c>
      <c r="B973" s="2963" t="s">
        <v>3355</v>
      </c>
      <c r="D973" s="2963">
        <v>-3488</v>
      </c>
      <c r="E973" s="2963" t="s">
        <v>4123</v>
      </c>
      <c r="F973" s="2966">
        <v>160000</v>
      </c>
      <c r="G973" s="2971">
        <v>39.19</v>
      </c>
      <c r="H973" s="2963" t="s">
        <v>3185</v>
      </c>
      <c r="I973" s="2963" t="s">
        <v>3086</v>
      </c>
    </row>
    <row r="974" spans="1:9">
      <c r="A974" s="2963" t="s">
        <v>3328</v>
      </c>
      <c r="B974" s="2963" t="s">
        <v>3355</v>
      </c>
      <c r="D974" s="2963">
        <v>-3489</v>
      </c>
      <c r="E974" s="2963" t="s">
        <v>4124</v>
      </c>
      <c r="F974" s="2966">
        <v>160000</v>
      </c>
      <c r="G974" s="2971">
        <v>39.19</v>
      </c>
      <c r="H974" s="2963" t="s">
        <v>3185</v>
      </c>
      <c r="I974" s="2963" t="s">
        <v>3086</v>
      </c>
    </row>
    <row r="975" spans="1:9">
      <c r="A975" s="2963" t="s">
        <v>3328</v>
      </c>
      <c r="B975" s="2963" t="s">
        <v>3355</v>
      </c>
      <c r="D975" s="2963">
        <v>-3490</v>
      </c>
      <c r="E975" s="2963" t="s">
        <v>4125</v>
      </c>
      <c r="F975" s="2966">
        <v>160000</v>
      </c>
      <c r="G975" s="2971">
        <v>39.19</v>
      </c>
      <c r="H975" s="2963" t="s">
        <v>3185</v>
      </c>
      <c r="I975" s="2963" t="s">
        <v>3086</v>
      </c>
    </row>
    <row r="976" spans="1:9">
      <c r="A976" s="2963" t="s">
        <v>3328</v>
      </c>
      <c r="B976" s="2963" t="s">
        <v>3355</v>
      </c>
      <c r="D976" s="2963">
        <v>-3491</v>
      </c>
      <c r="E976" s="2963" t="s">
        <v>4126</v>
      </c>
      <c r="F976" s="2966">
        <v>160000</v>
      </c>
      <c r="G976" s="2971">
        <v>39.19</v>
      </c>
      <c r="H976" s="2963" t="s">
        <v>3185</v>
      </c>
      <c r="I976" s="2963" t="s">
        <v>3086</v>
      </c>
    </row>
    <row r="977" spans="1:9">
      <c r="A977" s="2963" t="s">
        <v>3328</v>
      </c>
      <c r="B977" s="2963" t="s">
        <v>3355</v>
      </c>
      <c r="D977" s="2963">
        <v>-3492</v>
      </c>
      <c r="E977" s="2963" t="s">
        <v>4127</v>
      </c>
      <c r="F977" s="2966">
        <v>160000</v>
      </c>
      <c r="G977" s="2971">
        <v>39.19</v>
      </c>
      <c r="H977" s="2963" t="s">
        <v>3185</v>
      </c>
      <c r="I977" s="2963" t="s">
        <v>3086</v>
      </c>
    </row>
    <row r="978" spans="1:9">
      <c r="A978" s="2963" t="s">
        <v>3328</v>
      </c>
      <c r="B978" s="2963" t="s">
        <v>3355</v>
      </c>
      <c r="D978" s="2963">
        <v>-3493</v>
      </c>
      <c r="E978" s="2963" t="s">
        <v>4128</v>
      </c>
      <c r="F978" s="2966">
        <v>160000</v>
      </c>
      <c r="G978" s="2971">
        <v>39.19</v>
      </c>
      <c r="H978" s="2963" t="s">
        <v>3185</v>
      </c>
      <c r="I978" s="2963" t="s">
        <v>3086</v>
      </c>
    </row>
    <row r="979" spans="1:9">
      <c r="A979" s="2963" t="s">
        <v>3328</v>
      </c>
      <c r="B979" s="2963" t="s">
        <v>3355</v>
      </c>
      <c r="D979" s="2963">
        <v>-3494</v>
      </c>
      <c r="E979" s="2963" t="s">
        <v>4129</v>
      </c>
      <c r="F979" s="2966">
        <v>160000</v>
      </c>
      <c r="G979" s="2971">
        <v>39.19</v>
      </c>
      <c r="H979" s="2963" t="s">
        <v>3185</v>
      </c>
      <c r="I979" s="2963" t="s">
        <v>3086</v>
      </c>
    </row>
    <row r="980" spans="1:9">
      <c r="A980" s="2963" t="s">
        <v>3328</v>
      </c>
      <c r="B980" s="2963" t="s">
        <v>3355</v>
      </c>
      <c r="D980" s="2963">
        <v>-3495</v>
      </c>
      <c r="E980" s="2963" t="s">
        <v>4130</v>
      </c>
      <c r="F980" s="2966">
        <v>160000</v>
      </c>
      <c r="G980" s="2971">
        <v>39.19</v>
      </c>
      <c r="H980" s="2963" t="s">
        <v>3185</v>
      </c>
      <c r="I980" s="2963" t="s">
        <v>3086</v>
      </c>
    </row>
    <row r="981" spans="1:9">
      <c r="A981" s="2963" t="s">
        <v>3328</v>
      </c>
      <c r="B981" s="2963" t="s">
        <v>3355</v>
      </c>
      <c r="D981" s="2963">
        <v>-3496</v>
      </c>
      <c r="E981" s="2963" t="s">
        <v>4131</v>
      </c>
      <c r="F981" s="2966">
        <v>160000</v>
      </c>
      <c r="G981" s="2971">
        <v>39.19</v>
      </c>
      <c r="H981" s="2963" t="s">
        <v>3185</v>
      </c>
      <c r="I981" s="2963" t="s">
        <v>3086</v>
      </c>
    </row>
    <row r="982" spans="1:9">
      <c r="A982" s="2963" t="s">
        <v>3328</v>
      </c>
      <c r="B982" s="2963" t="s">
        <v>3355</v>
      </c>
      <c r="D982" s="2963">
        <v>-3497</v>
      </c>
      <c r="E982" s="2963" t="s">
        <v>4132</v>
      </c>
      <c r="F982" s="2966">
        <v>160000</v>
      </c>
      <c r="G982" s="2971">
        <v>39.19</v>
      </c>
      <c r="H982" s="2963" t="s">
        <v>3185</v>
      </c>
      <c r="I982" s="2963" t="s">
        <v>3086</v>
      </c>
    </row>
    <row r="983" spans="1:9">
      <c r="A983" s="2963" t="s">
        <v>3328</v>
      </c>
      <c r="B983" s="2963" t="s">
        <v>3355</v>
      </c>
      <c r="D983" s="2963">
        <v>-3498</v>
      </c>
      <c r="E983" s="2963" t="s">
        <v>4133</v>
      </c>
      <c r="F983" s="2966">
        <v>160000</v>
      </c>
      <c r="G983" s="2971">
        <v>39.19</v>
      </c>
      <c r="H983" s="2963" t="s">
        <v>3185</v>
      </c>
      <c r="I983" s="2963" t="s">
        <v>3086</v>
      </c>
    </row>
    <row r="984" spans="1:9">
      <c r="A984" s="2963" t="s">
        <v>3328</v>
      </c>
      <c r="B984" s="2963" t="s">
        <v>3355</v>
      </c>
      <c r="D984" s="2963">
        <v>-3499</v>
      </c>
      <c r="E984" s="2963" t="s">
        <v>4134</v>
      </c>
      <c r="F984" s="2966">
        <v>160000</v>
      </c>
      <c r="G984" s="2971">
        <v>39.19</v>
      </c>
      <c r="H984" s="2963" t="s">
        <v>3185</v>
      </c>
      <c r="I984" s="2963" t="s">
        <v>3086</v>
      </c>
    </row>
    <row r="985" spans="1:9">
      <c r="A985" s="2963" t="s">
        <v>3328</v>
      </c>
      <c r="B985" s="2963" t="s">
        <v>3355</v>
      </c>
      <c r="D985" s="2963">
        <v>-3500</v>
      </c>
      <c r="E985" s="2963" t="s">
        <v>4135</v>
      </c>
      <c r="F985" s="2966">
        <v>160000</v>
      </c>
      <c r="G985" s="2971">
        <v>39.19</v>
      </c>
      <c r="H985" s="2963" t="s">
        <v>3185</v>
      </c>
      <c r="I985" s="2963" t="s">
        <v>3086</v>
      </c>
    </row>
    <row r="986" spans="1:9">
      <c r="A986" s="2963" t="s">
        <v>3328</v>
      </c>
      <c r="B986" s="2963" t="s">
        <v>3355</v>
      </c>
      <c r="D986" s="2963">
        <v>-4001</v>
      </c>
      <c r="E986" s="2963" t="s">
        <v>4136</v>
      </c>
      <c r="F986" s="2966">
        <v>150000</v>
      </c>
      <c r="G986" s="2971">
        <v>39.1</v>
      </c>
      <c r="H986" s="2963" t="s">
        <v>3185</v>
      </c>
      <c r="I986" s="2963" t="s">
        <v>3086</v>
      </c>
    </row>
    <row r="987" spans="1:9">
      <c r="A987" s="2963" t="s">
        <v>3328</v>
      </c>
      <c r="B987" s="2963" t="s">
        <v>3355</v>
      </c>
      <c r="D987" s="2963">
        <v>-4002</v>
      </c>
      <c r="E987" s="2963" t="s">
        <v>4137</v>
      </c>
      <c r="F987" s="2966">
        <v>150000</v>
      </c>
      <c r="G987" s="2971">
        <v>39.1</v>
      </c>
      <c r="H987" s="2963" t="s">
        <v>3185</v>
      </c>
      <c r="I987" s="2963" t="s">
        <v>3086</v>
      </c>
    </row>
    <row r="988" spans="1:9">
      <c r="A988" s="2963" t="s">
        <v>3328</v>
      </c>
      <c r="B988" s="2963" t="s">
        <v>3355</v>
      </c>
      <c r="D988" s="2963">
        <v>-4003</v>
      </c>
      <c r="E988" s="2963" t="s">
        <v>4138</v>
      </c>
      <c r="F988" s="2966">
        <v>150000</v>
      </c>
      <c r="G988" s="2971">
        <v>39.1</v>
      </c>
      <c r="H988" s="2963" t="s">
        <v>3185</v>
      </c>
      <c r="I988" s="2963" t="s">
        <v>3086</v>
      </c>
    </row>
    <row r="989" spans="1:9">
      <c r="A989" s="2963" t="s">
        <v>3328</v>
      </c>
      <c r="B989" s="2963" t="s">
        <v>3355</v>
      </c>
      <c r="D989" s="2963">
        <v>-4004</v>
      </c>
      <c r="E989" s="2963" t="s">
        <v>4139</v>
      </c>
      <c r="F989" s="2966">
        <v>150000</v>
      </c>
      <c r="G989" s="2971">
        <v>39.1</v>
      </c>
      <c r="H989" s="2963" t="s">
        <v>3185</v>
      </c>
      <c r="I989" s="2963" t="s">
        <v>3086</v>
      </c>
    </row>
    <row r="990" spans="1:9">
      <c r="A990" s="2963" t="s">
        <v>3328</v>
      </c>
      <c r="B990" s="2963" t="s">
        <v>3355</v>
      </c>
      <c r="D990" s="2963">
        <v>-4005</v>
      </c>
      <c r="E990" s="2963" t="s">
        <v>4140</v>
      </c>
      <c r="F990" s="2966">
        <v>150000</v>
      </c>
      <c r="G990" s="2971">
        <v>39.1</v>
      </c>
      <c r="H990" s="2963" t="s">
        <v>3185</v>
      </c>
      <c r="I990" s="2963" t="s">
        <v>3086</v>
      </c>
    </row>
    <row r="991" spans="1:9">
      <c r="A991" s="2963" t="s">
        <v>3328</v>
      </c>
      <c r="B991" s="2963" t="s">
        <v>3355</v>
      </c>
      <c r="D991" s="2963">
        <v>-4006</v>
      </c>
      <c r="E991" s="2963" t="s">
        <v>4141</v>
      </c>
      <c r="F991" s="2966">
        <v>150000</v>
      </c>
      <c r="G991" s="2971">
        <v>39.1</v>
      </c>
      <c r="H991" s="2963" t="s">
        <v>3185</v>
      </c>
      <c r="I991" s="2963" t="s">
        <v>3086</v>
      </c>
    </row>
    <row r="992" spans="1:9">
      <c r="A992" s="2963" t="s">
        <v>3328</v>
      </c>
      <c r="B992" s="2963" t="s">
        <v>3355</v>
      </c>
      <c r="D992" s="2963">
        <v>-4007</v>
      </c>
      <c r="E992" s="2963" t="s">
        <v>4142</v>
      </c>
      <c r="F992" s="2966">
        <v>150000</v>
      </c>
      <c r="G992" s="2971">
        <v>39.1</v>
      </c>
      <c r="H992" s="2963" t="s">
        <v>3185</v>
      </c>
      <c r="I992" s="2963" t="s">
        <v>3086</v>
      </c>
    </row>
    <row r="993" spans="1:9">
      <c r="A993" s="2963" t="s">
        <v>3328</v>
      </c>
      <c r="B993" s="2963" t="s">
        <v>3355</v>
      </c>
      <c r="D993" s="2963">
        <v>-4008</v>
      </c>
      <c r="E993" s="2963" t="s">
        <v>4143</v>
      </c>
      <c r="F993" s="2966">
        <v>150000</v>
      </c>
      <c r="G993" s="2971">
        <v>39.1</v>
      </c>
      <c r="H993" s="2963" t="s">
        <v>3185</v>
      </c>
      <c r="I993" s="2963" t="s">
        <v>3086</v>
      </c>
    </row>
    <row r="994" spans="1:9">
      <c r="A994" s="2963" t="s">
        <v>3328</v>
      </c>
      <c r="B994" s="2963" t="s">
        <v>3355</v>
      </c>
      <c r="D994" s="2963">
        <v>-4009</v>
      </c>
      <c r="E994" s="2963" t="s">
        <v>4144</v>
      </c>
      <c r="F994" s="2966">
        <v>150000</v>
      </c>
      <c r="G994" s="2971">
        <v>39.1</v>
      </c>
      <c r="H994" s="2963" t="s">
        <v>3185</v>
      </c>
      <c r="I994" s="2963" t="s">
        <v>3086</v>
      </c>
    </row>
    <row r="995" spans="1:9">
      <c r="A995" s="2963" t="s">
        <v>3328</v>
      </c>
      <c r="B995" s="2963" t="s">
        <v>3355</v>
      </c>
      <c r="D995" s="2963">
        <v>-4010</v>
      </c>
      <c r="E995" s="2963" t="s">
        <v>4145</v>
      </c>
      <c r="F995" s="2966">
        <v>150000</v>
      </c>
      <c r="G995" s="2971">
        <v>39.1</v>
      </c>
      <c r="H995" s="2963" t="s">
        <v>3185</v>
      </c>
      <c r="I995" s="2963" t="s">
        <v>3086</v>
      </c>
    </row>
    <row r="996" spans="1:9">
      <c r="A996" s="2963" t="s">
        <v>3328</v>
      </c>
      <c r="B996" s="2963" t="s">
        <v>3355</v>
      </c>
      <c r="D996" s="2963">
        <v>-4011</v>
      </c>
      <c r="E996" s="2963" t="s">
        <v>4146</v>
      </c>
      <c r="F996" s="2966">
        <v>150000</v>
      </c>
      <c r="G996" s="2971">
        <v>39.1</v>
      </c>
      <c r="H996" s="2963" t="s">
        <v>3185</v>
      </c>
      <c r="I996" s="2963" t="s">
        <v>3086</v>
      </c>
    </row>
    <row r="997" spans="1:9">
      <c r="A997" s="2963" t="s">
        <v>3328</v>
      </c>
      <c r="B997" s="2963" t="s">
        <v>3355</v>
      </c>
      <c r="D997" s="2963">
        <v>-4012</v>
      </c>
      <c r="E997" s="2963" t="s">
        <v>4147</v>
      </c>
      <c r="F997" s="2966">
        <v>150000</v>
      </c>
      <c r="G997" s="2971">
        <v>39.1</v>
      </c>
      <c r="H997" s="2963" t="s">
        <v>3185</v>
      </c>
      <c r="I997" s="2963" t="s">
        <v>3086</v>
      </c>
    </row>
    <row r="998" spans="1:9">
      <c r="A998" s="2963" t="s">
        <v>3328</v>
      </c>
      <c r="B998" s="2963" t="s">
        <v>3355</v>
      </c>
      <c r="D998" s="2963">
        <v>-4014</v>
      </c>
      <c r="E998" s="2963" t="s">
        <v>4148</v>
      </c>
      <c r="F998" s="2966">
        <v>150000</v>
      </c>
      <c r="G998" s="2971">
        <v>39.1</v>
      </c>
      <c r="H998" s="2963" t="s">
        <v>3185</v>
      </c>
      <c r="I998" s="2963" t="s">
        <v>3086</v>
      </c>
    </row>
    <row r="999" spans="1:9">
      <c r="A999" s="2963" t="s">
        <v>3328</v>
      </c>
      <c r="B999" s="2963" t="s">
        <v>3355</v>
      </c>
      <c r="D999" s="2963">
        <v>-4015</v>
      </c>
      <c r="E999" s="2963" t="s">
        <v>4149</v>
      </c>
      <c r="F999" s="2966">
        <v>150000</v>
      </c>
      <c r="G999" s="2971">
        <v>39.1</v>
      </c>
      <c r="H999" s="2963" t="s">
        <v>3185</v>
      </c>
      <c r="I999" s="2963" t="s">
        <v>3086</v>
      </c>
    </row>
    <row r="1000" spans="1:9">
      <c r="A1000" s="2963" t="s">
        <v>3328</v>
      </c>
      <c r="B1000" s="2963" t="s">
        <v>3355</v>
      </c>
      <c r="D1000" s="2963">
        <v>-4016</v>
      </c>
      <c r="E1000" s="2963" t="s">
        <v>4150</v>
      </c>
      <c r="F1000" s="2966">
        <v>150000</v>
      </c>
      <c r="G1000" s="2971">
        <v>39.1</v>
      </c>
      <c r="H1000" s="2963" t="s">
        <v>3185</v>
      </c>
      <c r="I1000" s="2963" t="s">
        <v>3086</v>
      </c>
    </row>
    <row r="1001" spans="1:9">
      <c r="A1001" s="2963" t="s">
        <v>3328</v>
      </c>
      <c r="B1001" s="2963" t="s">
        <v>3355</v>
      </c>
      <c r="D1001" s="2963">
        <v>-4017</v>
      </c>
      <c r="E1001" s="2963" t="s">
        <v>4151</v>
      </c>
      <c r="F1001" s="2966">
        <v>150000</v>
      </c>
      <c r="G1001" s="2971">
        <v>39.1</v>
      </c>
      <c r="H1001" s="2963" t="s">
        <v>3185</v>
      </c>
      <c r="I1001" s="2963" t="s">
        <v>3086</v>
      </c>
    </row>
    <row r="1002" spans="1:9">
      <c r="A1002" s="2963" t="s">
        <v>3328</v>
      </c>
      <c r="B1002" s="2963" t="s">
        <v>3355</v>
      </c>
      <c r="D1002" s="2963">
        <v>-4018</v>
      </c>
      <c r="E1002" s="2963" t="s">
        <v>4152</v>
      </c>
      <c r="F1002" s="2966">
        <v>150000</v>
      </c>
      <c r="G1002" s="2971">
        <v>39.1</v>
      </c>
      <c r="H1002" s="2963" t="s">
        <v>3185</v>
      </c>
      <c r="I1002" s="2963" t="s">
        <v>3086</v>
      </c>
    </row>
    <row r="1003" spans="1:9">
      <c r="A1003" s="2963" t="s">
        <v>3328</v>
      </c>
      <c r="B1003" s="2963" t="s">
        <v>3355</v>
      </c>
      <c r="D1003" s="2963">
        <v>-4019</v>
      </c>
      <c r="E1003" s="2963" t="s">
        <v>4153</v>
      </c>
      <c r="F1003" s="2966">
        <v>150000</v>
      </c>
      <c r="G1003" s="2971">
        <v>39.1</v>
      </c>
      <c r="H1003" s="2963" t="s">
        <v>3185</v>
      </c>
      <c r="I1003" s="2963" t="s">
        <v>3086</v>
      </c>
    </row>
    <row r="1004" spans="1:9">
      <c r="A1004" s="2963" t="s">
        <v>3328</v>
      </c>
      <c r="B1004" s="2963" t="s">
        <v>3355</v>
      </c>
      <c r="D1004" s="2963">
        <v>-4021</v>
      </c>
      <c r="E1004" s="2963" t="s">
        <v>4154</v>
      </c>
      <c r="F1004" s="2966">
        <v>150000</v>
      </c>
      <c r="G1004" s="2971">
        <v>39.1</v>
      </c>
      <c r="H1004" s="2963" t="s">
        <v>3185</v>
      </c>
      <c r="I1004" s="2963" t="s">
        <v>3086</v>
      </c>
    </row>
    <row r="1005" spans="1:9">
      <c r="A1005" s="2963" t="s">
        <v>3328</v>
      </c>
      <c r="B1005" s="2963" t="s">
        <v>3355</v>
      </c>
      <c r="D1005" s="2963">
        <v>-4022</v>
      </c>
      <c r="E1005" s="2963" t="s">
        <v>4155</v>
      </c>
      <c r="F1005" s="2966">
        <v>150000</v>
      </c>
      <c r="G1005" s="2971">
        <v>39.1</v>
      </c>
      <c r="H1005" s="2963" t="s">
        <v>3185</v>
      </c>
      <c r="I1005" s="2963" t="s">
        <v>3086</v>
      </c>
    </row>
    <row r="1006" spans="1:9">
      <c r="A1006" s="2963" t="s">
        <v>3328</v>
      </c>
      <c r="B1006" s="2963" t="s">
        <v>3355</v>
      </c>
      <c r="D1006" s="2963">
        <v>-4023</v>
      </c>
      <c r="E1006" s="2963" t="s">
        <v>4156</v>
      </c>
      <c r="F1006" s="2966">
        <v>150000</v>
      </c>
      <c r="G1006" s="2971">
        <v>39.1</v>
      </c>
      <c r="H1006" s="2963" t="s">
        <v>3185</v>
      </c>
      <c r="I1006" s="2963" t="s">
        <v>3086</v>
      </c>
    </row>
    <row r="1007" spans="1:9">
      <c r="A1007" s="2963" t="s">
        <v>3328</v>
      </c>
      <c r="B1007" s="2963" t="s">
        <v>3355</v>
      </c>
      <c r="D1007" s="2963">
        <v>-4024</v>
      </c>
      <c r="E1007" s="2963" t="s">
        <v>4157</v>
      </c>
      <c r="F1007" s="2966">
        <v>150000</v>
      </c>
      <c r="G1007" s="2971">
        <v>39.1</v>
      </c>
      <c r="H1007" s="2963" t="s">
        <v>3185</v>
      </c>
      <c r="I1007" s="2963" t="s">
        <v>3086</v>
      </c>
    </row>
    <row r="1008" spans="1:9">
      <c r="A1008" s="2963" t="s">
        <v>3328</v>
      </c>
      <c r="B1008" s="2963" t="s">
        <v>3355</v>
      </c>
      <c r="D1008" s="2963">
        <v>-4025</v>
      </c>
      <c r="E1008" s="2963" t="s">
        <v>4158</v>
      </c>
      <c r="F1008" s="2966">
        <v>150000</v>
      </c>
      <c r="G1008" s="2971">
        <v>39.1</v>
      </c>
      <c r="H1008" s="2963" t="s">
        <v>3185</v>
      </c>
      <c r="I1008" s="2963" t="s">
        <v>3086</v>
      </c>
    </row>
    <row r="1009" spans="1:9">
      <c r="A1009" s="2963" t="s">
        <v>3328</v>
      </c>
      <c r="B1009" s="2963" t="s">
        <v>3355</v>
      </c>
      <c r="D1009" s="2963">
        <v>-4026</v>
      </c>
      <c r="E1009" s="2963" t="s">
        <v>4159</v>
      </c>
      <c r="F1009" s="2966">
        <v>150000</v>
      </c>
      <c r="G1009" s="2971">
        <v>39.1</v>
      </c>
      <c r="H1009" s="2963" t="s">
        <v>3185</v>
      </c>
      <c r="I1009" s="2963" t="s">
        <v>3086</v>
      </c>
    </row>
    <row r="1010" spans="1:9">
      <c r="A1010" s="2963" t="s">
        <v>3328</v>
      </c>
      <c r="B1010" s="2963" t="s">
        <v>3355</v>
      </c>
      <c r="D1010" s="2963">
        <v>-4027</v>
      </c>
      <c r="E1010" s="2963" t="s">
        <v>4160</v>
      </c>
      <c r="F1010" s="2966">
        <v>150000</v>
      </c>
      <c r="G1010" s="2971">
        <v>39.1</v>
      </c>
      <c r="H1010" s="2963" t="s">
        <v>3185</v>
      </c>
      <c r="I1010" s="2963" t="s">
        <v>3086</v>
      </c>
    </row>
    <row r="1011" spans="1:9">
      <c r="A1011" s="2963" t="s">
        <v>3328</v>
      </c>
      <c r="B1011" s="2963" t="s">
        <v>3355</v>
      </c>
      <c r="D1011" s="2963">
        <v>-4028</v>
      </c>
      <c r="E1011" s="2963" t="s">
        <v>4161</v>
      </c>
      <c r="F1011" s="2966">
        <v>150000</v>
      </c>
      <c r="G1011" s="2971">
        <v>39.1</v>
      </c>
      <c r="H1011" s="2963" t="s">
        <v>3185</v>
      </c>
      <c r="I1011" s="2963" t="s">
        <v>3086</v>
      </c>
    </row>
    <row r="1012" spans="1:9">
      <c r="A1012" s="2963" t="s">
        <v>3328</v>
      </c>
      <c r="B1012" s="2963" t="s">
        <v>3355</v>
      </c>
      <c r="D1012" s="2963">
        <v>-4029</v>
      </c>
      <c r="E1012" s="2963" t="s">
        <v>4162</v>
      </c>
      <c r="F1012" s="2966">
        <v>150000</v>
      </c>
      <c r="G1012" s="2971">
        <v>39.1</v>
      </c>
      <c r="H1012" s="2963" t="s">
        <v>3185</v>
      </c>
      <c r="I1012" s="2963" t="s">
        <v>3086</v>
      </c>
    </row>
    <row r="1013" spans="1:9">
      <c r="A1013" s="2963" t="s">
        <v>3328</v>
      </c>
      <c r="B1013" s="2963" t="s">
        <v>3355</v>
      </c>
      <c r="D1013" s="2963">
        <v>-4030</v>
      </c>
      <c r="E1013" s="2963" t="s">
        <v>4163</v>
      </c>
      <c r="F1013" s="2966">
        <v>150000</v>
      </c>
      <c r="G1013" s="2971">
        <v>39.1</v>
      </c>
      <c r="H1013" s="2963" t="s">
        <v>3185</v>
      </c>
      <c r="I1013" s="2963" t="s">
        <v>3086</v>
      </c>
    </row>
    <row r="1014" spans="1:9">
      <c r="A1014" s="2963" t="s">
        <v>3328</v>
      </c>
      <c r="B1014" s="2963" t="s">
        <v>3355</v>
      </c>
      <c r="D1014" s="2963">
        <v>-4032</v>
      </c>
      <c r="E1014" s="2963" t="s">
        <v>4164</v>
      </c>
      <c r="F1014" s="2966">
        <v>150000</v>
      </c>
      <c r="G1014" s="2971">
        <v>39.1</v>
      </c>
      <c r="H1014" s="2963" t="s">
        <v>3185</v>
      </c>
      <c r="I1014" s="2963" t="s">
        <v>3086</v>
      </c>
    </row>
    <row r="1015" spans="1:9">
      <c r="A1015" s="2963" t="s">
        <v>3328</v>
      </c>
      <c r="B1015" s="2963" t="s">
        <v>3355</v>
      </c>
      <c r="D1015" s="2963">
        <v>-4033</v>
      </c>
      <c r="E1015" s="2963" t="s">
        <v>4165</v>
      </c>
      <c r="F1015" s="2966">
        <v>150000</v>
      </c>
      <c r="G1015" s="2971">
        <v>39.1</v>
      </c>
      <c r="H1015" s="2963" t="s">
        <v>3185</v>
      </c>
      <c r="I1015" s="2963" t="s">
        <v>3086</v>
      </c>
    </row>
    <row r="1016" spans="1:9">
      <c r="A1016" s="2963" t="s">
        <v>3328</v>
      </c>
      <c r="B1016" s="2963" t="s">
        <v>3355</v>
      </c>
      <c r="D1016" s="2963">
        <v>-4034</v>
      </c>
      <c r="E1016" s="2963" t="s">
        <v>4166</v>
      </c>
      <c r="F1016" s="2966">
        <v>150000</v>
      </c>
      <c r="G1016" s="2971">
        <v>39.1</v>
      </c>
      <c r="H1016" s="2963" t="s">
        <v>3185</v>
      </c>
      <c r="I1016" s="2963" t="s">
        <v>3086</v>
      </c>
    </row>
    <row r="1017" spans="1:9">
      <c r="A1017" s="2963" t="s">
        <v>3328</v>
      </c>
      <c r="B1017" s="2963" t="s">
        <v>3355</v>
      </c>
      <c r="D1017" s="2963">
        <v>-4035</v>
      </c>
      <c r="E1017" s="2963" t="s">
        <v>4167</v>
      </c>
      <c r="F1017" s="2966">
        <v>150000</v>
      </c>
      <c r="G1017" s="2971">
        <v>39.1</v>
      </c>
      <c r="H1017" s="2963" t="s">
        <v>3185</v>
      </c>
      <c r="I1017" s="2963" t="s">
        <v>3086</v>
      </c>
    </row>
    <row r="1018" spans="1:9">
      <c r="A1018" s="2963" t="s">
        <v>3328</v>
      </c>
      <c r="B1018" s="2963" t="s">
        <v>3355</v>
      </c>
      <c r="D1018" s="2963">
        <v>-4036</v>
      </c>
      <c r="E1018" s="2963" t="s">
        <v>4168</v>
      </c>
      <c r="F1018" s="2966">
        <v>150000</v>
      </c>
      <c r="G1018" s="2971">
        <v>39.1</v>
      </c>
      <c r="H1018" s="2963" t="s">
        <v>3185</v>
      </c>
      <c r="I1018" s="2963" t="s">
        <v>3086</v>
      </c>
    </row>
    <row r="1019" spans="1:9">
      <c r="A1019" s="2963" t="s">
        <v>3328</v>
      </c>
      <c r="B1019" s="2963" t="s">
        <v>3355</v>
      </c>
      <c r="D1019" s="2963">
        <v>-4037</v>
      </c>
      <c r="E1019" s="2963" t="s">
        <v>4169</v>
      </c>
      <c r="F1019" s="2966">
        <v>150000</v>
      </c>
      <c r="G1019" s="2971">
        <v>39.1</v>
      </c>
      <c r="H1019" s="2963" t="s">
        <v>3185</v>
      </c>
      <c r="I1019" s="2963" t="s">
        <v>3086</v>
      </c>
    </row>
    <row r="1020" spans="1:9">
      <c r="A1020" s="2963" t="s">
        <v>3328</v>
      </c>
      <c r="B1020" s="2963" t="s">
        <v>3355</v>
      </c>
      <c r="D1020" s="2963">
        <v>-4038</v>
      </c>
      <c r="E1020" s="2963" t="s">
        <v>4170</v>
      </c>
      <c r="F1020" s="2966">
        <v>150000</v>
      </c>
      <c r="G1020" s="2971">
        <v>39.1</v>
      </c>
      <c r="H1020" s="2963" t="s">
        <v>3185</v>
      </c>
      <c r="I1020" s="2963" t="s">
        <v>3086</v>
      </c>
    </row>
    <row r="1021" spans="1:9">
      <c r="A1021" s="2963" t="s">
        <v>3328</v>
      </c>
      <c r="B1021" s="2963" t="s">
        <v>3355</v>
      </c>
      <c r="D1021" s="2963">
        <v>-4039</v>
      </c>
      <c r="E1021" s="2963" t="s">
        <v>4171</v>
      </c>
      <c r="F1021" s="2966">
        <v>150000</v>
      </c>
      <c r="G1021" s="2971">
        <v>39.1</v>
      </c>
      <c r="H1021" s="2963" t="s">
        <v>3185</v>
      </c>
      <c r="I1021" s="2963" t="s">
        <v>3086</v>
      </c>
    </row>
    <row r="1022" spans="1:9">
      <c r="A1022" s="2963" t="s">
        <v>3328</v>
      </c>
      <c r="B1022" s="2963" t="s">
        <v>3355</v>
      </c>
      <c r="D1022" s="2963">
        <v>-4040</v>
      </c>
      <c r="E1022" s="2963" t="s">
        <v>4172</v>
      </c>
      <c r="F1022" s="2966">
        <v>150000</v>
      </c>
      <c r="G1022" s="2971">
        <v>39.1</v>
      </c>
      <c r="H1022" s="2963" t="s">
        <v>3185</v>
      </c>
      <c r="I1022" s="2963" t="s">
        <v>3086</v>
      </c>
    </row>
    <row r="1023" spans="1:9">
      <c r="A1023" s="2963" t="s">
        <v>3328</v>
      </c>
      <c r="B1023" s="2963" t="s">
        <v>3355</v>
      </c>
      <c r="D1023" s="2963">
        <v>-4041</v>
      </c>
      <c r="E1023" s="2963" t="s">
        <v>4173</v>
      </c>
      <c r="F1023" s="2966">
        <v>150000</v>
      </c>
      <c r="G1023" s="2971">
        <v>39.1</v>
      </c>
      <c r="H1023" s="2963" t="s">
        <v>3185</v>
      </c>
      <c r="I1023" s="2963" t="s">
        <v>3086</v>
      </c>
    </row>
    <row r="1024" spans="1:9">
      <c r="A1024" s="2963" t="s">
        <v>3328</v>
      </c>
      <c r="B1024" s="2963" t="s">
        <v>3355</v>
      </c>
      <c r="D1024" s="2963">
        <v>-4042</v>
      </c>
      <c r="E1024" s="2963" t="s">
        <v>4174</v>
      </c>
      <c r="F1024" s="2966">
        <v>150000</v>
      </c>
      <c r="G1024" s="2971">
        <v>39.1</v>
      </c>
      <c r="H1024" s="2963" t="s">
        <v>3185</v>
      </c>
      <c r="I1024" s="2963" t="s">
        <v>3086</v>
      </c>
    </row>
    <row r="1025" spans="1:9">
      <c r="A1025" s="2963" t="s">
        <v>3328</v>
      </c>
      <c r="B1025" s="2963" t="s">
        <v>3355</v>
      </c>
      <c r="D1025" s="2963">
        <v>-4043</v>
      </c>
      <c r="E1025" s="2963" t="s">
        <v>4175</v>
      </c>
      <c r="F1025" s="2966">
        <v>150000</v>
      </c>
      <c r="G1025" s="2971">
        <v>39.1</v>
      </c>
      <c r="H1025" s="2963" t="s">
        <v>3185</v>
      </c>
      <c r="I1025" s="2963" t="s">
        <v>3086</v>
      </c>
    </row>
    <row r="1026" spans="1:9">
      <c r="A1026" s="2963" t="s">
        <v>3328</v>
      </c>
      <c r="B1026" s="2963" t="s">
        <v>3355</v>
      </c>
      <c r="D1026" s="2963">
        <v>-4044</v>
      </c>
      <c r="E1026" s="2963" t="s">
        <v>4176</v>
      </c>
      <c r="F1026" s="2966">
        <v>150000</v>
      </c>
      <c r="G1026" s="2971">
        <v>39.1</v>
      </c>
      <c r="H1026" s="2963" t="s">
        <v>3185</v>
      </c>
      <c r="I1026" s="2963" t="s">
        <v>3086</v>
      </c>
    </row>
    <row r="1027" spans="1:9">
      <c r="A1027" s="2963" t="s">
        <v>3328</v>
      </c>
      <c r="B1027" s="2963" t="s">
        <v>3355</v>
      </c>
      <c r="D1027" s="2963">
        <v>-4045</v>
      </c>
      <c r="E1027" s="2963" t="s">
        <v>4177</v>
      </c>
      <c r="F1027" s="2966">
        <v>150000</v>
      </c>
      <c r="G1027" s="2971">
        <v>39.1</v>
      </c>
      <c r="H1027" s="2963" t="s">
        <v>3185</v>
      </c>
      <c r="I1027" s="2963" t="s">
        <v>3086</v>
      </c>
    </row>
    <row r="1028" spans="1:9">
      <c r="A1028" s="2963" t="s">
        <v>3328</v>
      </c>
      <c r="B1028" s="2963" t="s">
        <v>3355</v>
      </c>
      <c r="D1028" s="2963">
        <v>-4046</v>
      </c>
      <c r="E1028" s="2963" t="s">
        <v>4178</v>
      </c>
      <c r="F1028" s="2966">
        <v>150000</v>
      </c>
      <c r="G1028" s="2971">
        <v>39.1</v>
      </c>
      <c r="H1028" s="2963" t="s">
        <v>3185</v>
      </c>
      <c r="I1028" s="2963" t="s">
        <v>3086</v>
      </c>
    </row>
    <row r="1029" spans="1:9">
      <c r="A1029" s="2963" t="s">
        <v>3328</v>
      </c>
      <c r="B1029" s="2963" t="s">
        <v>3355</v>
      </c>
      <c r="D1029" s="2963">
        <v>-4047</v>
      </c>
      <c r="E1029" s="2963" t="s">
        <v>4179</v>
      </c>
      <c r="F1029" s="2966">
        <v>150000</v>
      </c>
      <c r="G1029" s="2971">
        <v>39.1</v>
      </c>
      <c r="H1029" s="2963" t="s">
        <v>3185</v>
      </c>
      <c r="I1029" s="2963" t="s">
        <v>3086</v>
      </c>
    </row>
    <row r="1030" spans="1:9">
      <c r="A1030" s="2963" t="s">
        <v>3328</v>
      </c>
      <c r="B1030" s="2963" t="s">
        <v>3355</v>
      </c>
      <c r="D1030" s="2963">
        <v>-4048</v>
      </c>
      <c r="E1030" s="2963" t="s">
        <v>4180</v>
      </c>
      <c r="F1030" s="2966">
        <v>150000</v>
      </c>
      <c r="G1030" s="2971">
        <v>39.1</v>
      </c>
      <c r="H1030" s="2963" t="s">
        <v>3185</v>
      </c>
      <c r="I1030" s="2963" t="s">
        <v>3086</v>
      </c>
    </row>
    <row r="1031" spans="1:9">
      <c r="A1031" s="2963" t="s">
        <v>3328</v>
      </c>
      <c r="B1031" s="2963" t="s">
        <v>3355</v>
      </c>
      <c r="D1031" s="2963">
        <v>-4049</v>
      </c>
      <c r="E1031" s="2963" t="s">
        <v>4181</v>
      </c>
      <c r="F1031" s="2966">
        <v>150000</v>
      </c>
      <c r="G1031" s="2971">
        <v>39.1</v>
      </c>
      <c r="H1031" s="2963" t="s">
        <v>3185</v>
      </c>
      <c r="I1031" s="2963" t="s">
        <v>3086</v>
      </c>
    </row>
    <row r="1032" spans="1:9">
      <c r="A1032" s="2963" t="s">
        <v>3328</v>
      </c>
      <c r="B1032" s="2963" t="s">
        <v>3355</v>
      </c>
      <c r="D1032" s="2963">
        <v>-4050</v>
      </c>
      <c r="E1032" s="2963" t="s">
        <v>4182</v>
      </c>
      <c r="F1032" s="2966">
        <v>150000</v>
      </c>
      <c r="G1032" s="2971">
        <v>39.1</v>
      </c>
      <c r="H1032" s="2963" t="s">
        <v>3185</v>
      </c>
      <c r="I1032" s="2963" t="s">
        <v>3086</v>
      </c>
    </row>
    <row r="1033" spans="1:9">
      <c r="A1033" s="2963" t="s">
        <v>3328</v>
      </c>
      <c r="B1033" s="2963" t="s">
        <v>3355</v>
      </c>
      <c r="D1033" s="2963">
        <v>-4051</v>
      </c>
      <c r="E1033" s="2963" t="s">
        <v>4183</v>
      </c>
      <c r="F1033" s="2966">
        <v>150000</v>
      </c>
      <c r="G1033" s="2971">
        <v>39.1</v>
      </c>
      <c r="H1033" s="2963" t="s">
        <v>3185</v>
      </c>
      <c r="I1033" s="2963" t="s">
        <v>3086</v>
      </c>
    </row>
    <row r="1034" spans="1:9">
      <c r="A1034" s="2963" t="s">
        <v>3328</v>
      </c>
      <c r="B1034" s="2963" t="s">
        <v>3355</v>
      </c>
      <c r="D1034" s="2963">
        <v>-4052</v>
      </c>
      <c r="E1034" s="2963" t="s">
        <v>4184</v>
      </c>
      <c r="F1034" s="2966">
        <v>150000</v>
      </c>
      <c r="G1034" s="2971">
        <v>39.1</v>
      </c>
      <c r="H1034" s="2963" t="s">
        <v>3185</v>
      </c>
      <c r="I1034" s="2963" t="s">
        <v>3086</v>
      </c>
    </row>
    <row r="1035" spans="1:9">
      <c r="A1035" s="2963" t="s">
        <v>3328</v>
      </c>
      <c r="B1035" s="2963" t="s">
        <v>3355</v>
      </c>
      <c r="D1035" s="2963">
        <v>-4053</v>
      </c>
      <c r="E1035" s="2963" t="s">
        <v>4185</v>
      </c>
      <c r="F1035" s="2966">
        <v>150000</v>
      </c>
      <c r="G1035" s="2971">
        <v>39.1</v>
      </c>
      <c r="H1035" s="2963" t="s">
        <v>3185</v>
      </c>
      <c r="I1035" s="2963" t="s">
        <v>3086</v>
      </c>
    </row>
    <row r="1036" spans="1:9">
      <c r="A1036" s="2963" t="s">
        <v>3328</v>
      </c>
      <c r="B1036" s="2963" t="s">
        <v>3355</v>
      </c>
      <c r="D1036" s="2963">
        <v>-4054</v>
      </c>
      <c r="E1036" s="2963" t="s">
        <v>4186</v>
      </c>
      <c r="F1036" s="2966">
        <v>150000</v>
      </c>
      <c r="G1036" s="2971">
        <v>39.1</v>
      </c>
      <c r="H1036" s="2963" t="s">
        <v>3185</v>
      </c>
      <c r="I1036" s="2963" t="s">
        <v>3086</v>
      </c>
    </row>
    <row r="1037" spans="1:9">
      <c r="A1037" s="2963" t="s">
        <v>3328</v>
      </c>
      <c r="B1037" s="2963" t="s">
        <v>3355</v>
      </c>
      <c r="D1037" s="2963">
        <v>-4055</v>
      </c>
      <c r="E1037" s="2963" t="s">
        <v>4187</v>
      </c>
      <c r="F1037" s="2966">
        <v>150000</v>
      </c>
      <c r="G1037" s="2971">
        <v>39.1</v>
      </c>
      <c r="H1037" s="2963" t="s">
        <v>3185</v>
      </c>
      <c r="I1037" s="2963" t="s">
        <v>3086</v>
      </c>
    </row>
    <row r="1038" spans="1:9">
      <c r="A1038" s="2963" t="s">
        <v>3328</v>
      </c>
      <c r="B1038" s="2963" t="s">
        <v>3355</v>
      </c>
      <c r="D1038" s="2963">
        <v>-4057</v>
      </c>
      <c r="E1038" s="2963" t="s">
        <v>4188</v>
      </c>
      <c r="F1038" s="2966">
        <v>150000</v>
      </c>
      <c r="G1038" s="2971">
        <v>39.1</v>
      </c>
      <c r="H1038" s="2963" t="s">
        <v>3185</v>
      </c>
      <c r="I1038" s="2963" t="s">
        <v>3086</v>
      </c>
    </row>
    <row r="1039" spans="1:9">
      <c r="A1039" s="2963" t="s">
        <v>3328</v>
      </c>
      <c r="B1039" s="2963" t="s">
        <v>3355</v>
      </c>
      <c r="D1039" s="2963">
        <v>-4058</v>
      </c>
      <c r="E1039" s="2963" t="s">
        <v>4189</v>
      </c>
      <c r="F1039" s="2966">
        <v>150000</v>
      </c>
      <c r="G1039" s="2971">
        <v>39.1</v>
      </c>
      <c r="H1039" s="2963" t="s">
        <v>3185</v>
      </c>
      <c r="I1039" s="2963" t="s">
        <v>3086</v>
      </c>
    </row>
    <row r="1040" spans="1:9">
      <c r="A1040" s="2963" t="s">
        <v>3328</v>
      </c>
      <c r="B1040" s="2963" t="s">
        <v>3355</v>
      </c>
      <c r="D1040" s="2963">
        <v>-4059</v>
      </c>
      <c r="E1040" s="2963" t="s">
        <v>4190</v>
      </c>
      <c r="F1040" s="2966">
        <v>150000</v>
      </c>
      <c r="G1040" s="2971">
        <v>39.1</v>
      </c>
      <c r="H1040" s="2963" t="s">
        <v>3185</v>
      </c>
      <c r="I1040" s="2963" t="s">
        <v>3086</v>
      </c>
    </row>
    <row r="1041" spans="1:9">
      <c r="A1041" s="2963" t="s">
        <v>3328</v>
      </c>
      <c r="B1041" s="2963" t="s">
        <v>3355</v>
      </c>
      <c r="D1041" s="2963">
        <v>-4060</v>
      </c>
      <c r="E1041" s="2963" t="s">
        <v>4191</v>
      </c>
      <c r="F1041" s="2966">
        <v>150000</v>
      </c>
      <c r="G1041" s="2971">
        <v>39.1</v>
      </c>
      <c r="H1041" s="2963" t="s">
        <v>3185</v>
      </c>
      <c r="I1041" s="2963" t="s">
        <v>3086</v>
      </c>
    </row>
    <row r="1042" spans="1:9">
      <c r="A1042" s="2963" t="s">
        <v>3328</v>
      </c>
      <c r="B1042" s="2963" t="s">
        <v>3355</v>
      </c>
      <c r="D1042" s="2963">
        <v>-4061</v>
      </c>
      <c r="E1042" s="2963" t="s">
        <v>4192</v>
      </c>
      <c r="F1042" s="2966">
        <v>150000</v>
      </c>
      <c r="G1042" s="2971">
        <v>39.1</v>
      </c>
      <c r="H1042" s="2963" t="s">
        <v>3185</v>
      </c>
      <c r="I1042" s="2963" t="s">
        <v>3086</v>
      </c>
    </row>
    <row r="1043" spans="1:9">
      <c r="A1043" s="2963" t="s">
        <v>3328</v>
      </c>
      <c r="B1043" s="2963" t="s">
        <v>3355</v>
      </c>
      <c r="D1043" s="2963">
        <v>-4062</v>
      </c>
      <c r="E1043" s="2963" t="s">
        <v>4193</v>
      </c>
      <c r="F1043" s="2966">
        <v>150000</v>
      </c>
      <c r="G1043" s="2971">
        <v>39.1</v>
      </c>
      <c r="H1043" s="2963" t="s">
        <v>3185</v>
      </c>
      <c r="I1043" s="2963" t="s">
        <v>3086</v>
      </c>
    </row>
    <row r="1044" spans="1:9">
      <c r="A1044" s="2963" t="s">
        <v>3328</v>
      </c>
      <c r="B1044" s="2963" t="s">
        <v>3355</v>
      </c>
      <c r="D1044" s="2963">
        <v>-4063</v>
      </c>
      <c r="E1044" s="2963" t="s">
        <v>4194</v>
      </c>
      <c r="F1044" s="2966">
        <v>150000</v>
      </c>
      <c r="G1044" s="2971">
        <v>39.1</v>
      </c>
      <c r="H1044" s="2963" t="s">
        <v>3185</v>
      </c>
      <c r="I1044" s="2963" t="s">
        <v>3086</v>
      </c>
    </row>
    <row r="1045" spans="1:9">
      <c r="A1045" s="2963" t="s">
        <v>3328</v>
      </c>
      <c r="B1045" s="2963" t="s">
        <v>3355</v>
      </c>
      <c r="D1045" s="2963">
        <v>-4064</v>
      </c>
      <c r="E1045" s="2963" t="s">
        <v>4195</v>
      </c>
      <c r="F1045" s="2966">
        <v>150000</v>
      </c>
      <c r="G1045" s="2971">
        <v>39.1</v>
      </c>
      <c r="H1045" s="2963" t="s">
        <v>3185</v>
      </c>
      <c r="I1045" s="2963" t="s">
        <v>3086</v>
      </c>
    </row>
    <row r="1046" spans="1:9">
      <c r="A1046" s="2963" t="s">
        <v>3328</v>
      </c>
      <c r="B1046" s="2963" t="s">
        <v>3355</v>
      </c>
      <c r="D1046" s="2963">
        <v>-4065</v>
      </c>
      <c r="E1046" s="2963" t="s">
        <v>4196</v>
      </c>
      <c r="F1046" s="2966">
        <v>150000</v>
      </c>
      <c r="G1046" s="2971">
        <v>39.1</v>
      </c>
      <c r="H1046" s="2963" t="s">
        <v>3185</v>
      </c>
      <c r="I1046" s="2963" t="s">
        <v>3086</v>
      </c>
    </row>
    <row r="1047" spans="1:9">
      <c r="A1047" s="2963" t="s">
        <v>3328</v>
      </c>
      <c r="B1047" s="2963" t="s">
        <v>3355</v>
      </c>
      <c r="D1047" s="2963">
        <v>-4066</v>
      </c>
      <c r="E1047" s="2963" t="s">
        <v>4197</v>
      </c>
      <c r="F1047" s="2966">
        <v>150000</v>
      </c>
      <c r="G1047" s="2971">
        <v>39.1</v>
      </c>
      <c r="H1047" s="2963" t="s">
        <v>3185</v>
      </c>
      <c r="I1047" s="2963" t="s">
        <v>3086</v>
      </c>
    </row>
    <row r="1048" spans="1:9">
      <c r="A1048" s="2963" t="s">
        <v>3328</v>
      </c>
      <c r="B1048" s="2963" t="s">
        <v>3355</v>
      </c>
      <c r="D1048" s="2963">
        <v>-4067</v>
      </c>
      <c r="E1048" s="2963" t="s">
        <v>4198</v>
      </c>
      <c r="F1048" s="2966">
        <v>150000</v>
      </c>
      <c r="G1048" s="2971">
        <v>39.1</v>
      </c>
      <c r="H1048" s="2963" t="s">
        <v>3185</v>
      </c>
      <c r="I1048" s="2963" t="s">
        <v>3086</v>
      </c>
    </row>
    <row r="1049" spans="1:9">
      <c r="A1049" s="2963" t="s">
        <v>3328</v>
      </c>
      <c r="B1049" s="2963" t="s">
        <v>3355</v>
      </c>
      <c r="D1049" s="2963">
        <v>-4068</v>
      </c>
      <c r="E1049" s="2963" t="s">
        <v>4199</v>
      </c>
      <c r="F1049" s="2966">
        <v>150000</v>
      </c>
      <c r="G1049" s="2971">
        <v>39.1</v>
      </c>
      <c r="H1049" s="2963" t="s">
        <v>3185</v>
      </c>
      <c r="I1049" s="2963" t="s">
        <v>3086</v>
      </c>
    </row>
    <row r="1050" spans="1:9">
      <c r="A1050" s="2963" t="s">
        <v>3328</v>
      </c>
      <c r="B1050" s="2963" t="s">
        <v>4200</v>
      </c>
      <c r="D1050" s="2963">
        <v>-3501</v>
      </c>
      <c r="E1050" s="2963" t="s">
        <v>4201</v>
      </c>
      <c r="F1050" s="2966">
        <v>160000</v>
      </c>
      <c r="G1050" s="2971">
        <v>39.19</v>
      </c>
      <c r="H1050" s="2963" t="s">
        <v>3185</v>
      </c>
      <c r="I1050" s="2963" t="s">
        <v>3086</v>
      </c>
    </row>
    <row r="1051" spans="1:9">
      <c r="A1051" s="2963" t="s">
        <v>3328</v>
      </c>
      <c r="B1051" s="2963" t="s">
        <v>4200</v>
      </c>
      <c r="D1051" s="2963">
        <v>-3502</v>
      </c>
      <c r="E1051" s="2963" t="s">
        <v>4202</v>
      </c>
      <c r="F1051" s="2966">
        <v>160000</v>
      </c>
      <c r="G1051" s="2971">
        <v>39.19</v>
      </c>
      <c r="H1051" s="2963" t="s">
        <v>3185</v>
      </c>
      <c r="I1051" s="2963" t="s">
        <v>3086</v>
      </c>
    </row>
    <row r="1052" spans="1:9">
      <c r="A1052" s="2963" t="s">
        <v>3328</v>
      </c>
      <c r="B1052" s="2963" t="s">
        <v>4200</v>
      </c>
      <c r="D1052" s="2963">
        <v>-3503</v>
      </c>
      <c r="E1052" s="2963" t="s">
        <v>4203</v>
      </c>
      <c r="F1052" s="2966">
        <v>160000</v>
      </c>
      <c r="G1052" s="2971">
        <v>39.19</v>
      </c>
      <c r="H1052" s="2963" t="s">
        <v>3185</v>
      </c>
      <c r="I1052" s="2963" t="s">
        <v>3086</v>
      </c>
    </row>
    <row r="1053" spans="1:9">
      <c r="A1053" s="2963" t="s">
        <v>3328</v>
      </c>
      <c r="B1053" s="2963" t="s">
        <v>4200</v>
      </c>
      <c r="D1053" s="2963">
        <v>-3504</v>
      </c>
      <c r="E1053" s="2963" t="s">
        <v>4204</v>
      </c>
      <c r="F1053" s="2966">
        <v>160000</v>
      </c>
      <c r="G1053" s="2971">
        <v>39.19</v>
      </c>
      <c r="H1053" s="2963" t="s">
        <v>3185</v>
      </c>
      <c r="I1053" s="2963" t="s">
        <v>3086</v>
      </c>
    </row>
    <row r="1054" spans="1:9">
      <c r="A1054" s="2963" t="s">
        <v>3328</v>
      </c>
      <c r="B1054" s="2963" t="s">
        <v>4200</v>
      </c>
      <c r="D1054" s="2963">
        <v>-3505</v>
      </c>
      <c r="E1054" s="2963" t="s">
        <v>4205</v>
      </c>
      <c r="F1054" s="2966">
        <v>160000</v>
      </c>
      <c r="G1054" s="2971">
        <v>39.19</v>
      </c>
      <c r="H1054" s="2963" t="s">
        <v>3185</v>
      </c>
      <c r="I1054" s="2963" t="s">
        <v>3086</v>
      </c>
    </row>
    <row r="1055" spans="1:9">
      <c r="A1055" s="2963" t="s">
        <v>3328</v>
      </c>
      <c r="B1055" s="2963" t="s">
        <v>4200</v>
      </c>
      <c r="D1055" s="2963">
        <v>-3506</v>
      </c>
      <c r="E1055" s="2963" t="s">
        <v>4206</v>
      </c>
      <c r="F1055" s="2966">
        <v>160000</v>
      </c>
      <c r="G1055" s="2971">
        <v>39.19</v>
      </c>
      <c r="H1055" s="2963" t="s">
        <v>3185</v>
      </c>
      <c r="I1055" s="2963" t="s">
        <v>3086</v>
      </c>
    </row>
    <row r="1056" spans="1:9">
      <c r="A1056" s="2963" t="s">
        <v>3328</v>
      </c>
      <c r="B1056" s="2963" t="s">
        <v>4200</v>
      </c>
      <c r="D1056" s="2963">
        <v>-3507</v>
      </c>
      <c r="E1056" s="2963" t="s">
        <v>4207</v>
      </c>
      <c r="F1056" s="2966">
        <v>160000</v>
      </c>
      <c r="G1056" s="2971">
        <v>39.19</v>
      </c>
      <c r="H1056" s="2963" t="s">
        <v>3185</v>
      </c>
      <c r="I1056" s="2963" t="s">
        <v>3086</v>
      </c>
    </row>
    <row r="1057" spans="1:9">
      <c r="A1057" s="2963" t="s">
        <v>3328</v>
      </c>
      <c r="B1057" s="2963" t="s">
        <v>4200</v>
      </c>
      <c r="D1057" s="2963">
        <v>-3508</v>
      </c>
      <c r="E1057" s="2963" t="s">
        <v>4208</v>
      </c>
      <c r="F1057" s="2966">
        <v>160000</v>
      </c>
      <c r="G1057" s="2971">
        <v>39.19</v>
      </c>
      <c r="H1057" s="2963" t="s">
        <v>3185</v>
      </c>
      <c r="I1057" s="2963" t="s">
        <v>3086</v>
      </c>
    </row>
    <row r="1058" spans="1:9">
      <c r="A1058" s="2963" t="s">
        <v>3328</v>
      </c>
      <c r="B1058" s="2963" t="s">
        <v>4200</v>
      </c>
      <c r="D1058" s="2963">
        <v>-3509</v>
      </c>
      <c r="E1058" s="2963" t="s">
        <v>4209</v>
      </c>
      <c r="F1058" s="2966">
        <v>160000</v>
      </c>
      <c r="G1058" s="2971">
        <v>39.19</v>
      </c>
      <c r="H1058" s="2963" t="s">
        <v>3185</v>
      </c>
      <c r="I1058" s="2963" t="s">
        <v>3086</v>
      </c>
    </row>
    <row r="1059" spans="1:9">
      <c r="A1059" s="2963" t="s">
        <v>3328</v>
      </c>
      <c r="B1059" s="2963" t="s">
        <v>4200</v>
      </c>
      <c r="D1059" s="2963">
        <v>-3510</v>
      </c>
      <c r="E1059" s="2963" t="s">
        <v>4210</v>
      </c>
      <c r="F1059" s="2966">
        <v>160000</v>
      </c>
      <c r="G1059" s="2971">
        <v>39.19</v>
      </c>
      <c r="H1059" s="2963" t="s">
        <v>3185</v>
      </c>
      <c r="I1059" s="2963" t="s">
        <v>3086</v>
      </c>
    </row>
    <row r="1060" spans="1:9">
      <c r="A1060" s="2963" t="s">
        <v>3328</v>
      </c>
      <c r="B1060" s="2963" t="s">
        <v>4200</v>
      </c>
      <c r="D1060" s="2963">
        <v>-3512</v>
      </c>
      <c r="E1060" s="2963" t="s">
        <v>4211</v>
      </c>
      <c r="F1060" s="2966">
        <v>160000</v>
      </c>
      <c r="G1060" s="2971">
        <v>39.19</v>
      </c>
      <c r="H1060" s="2963" t="s">
        <v>3185</v>
      </c>
      <c r="I1060" s="2963" t="s">
        <v>3086</v>
      </c>
    </row>
    <row r="1061" spans="1:9">
      <c r="A1061" s="2963" t="s">
        <v>3328</v>
      </c>
      <c r="B1061" s="2963" t="s">
        <v>4200</v>
      </c>
      <c r="D1061" s="2963">
        <v>-3513</v>
      </c>
      <c r="E1061" s="2963" t="s">
        <v>4212</v>
      </c>
      <c r="F1061" s="2966">
        <v>160000</v>
      </c>
      <c r="G1061" s="2971">
        <v>39.19</v>
      </c>
      <c r="H1061" s="2963" t="s">
        <v>3185</v>
      </c>
      <c r="I1061" s="2963" t="s">
        <v>3086</v>
      </c>
    </row>
    <row r="1062" spans="1:9">
      <c r="A1062" s="2963" t="s">
        <v>3328</v>
      </c>
      <c r="B1062" s="2963" t="s">
        <v>4200</v>
      </c>
      <c r="D1062" s="2963">
        <v>-3514</v>
      </c>
      <c r="E1062" s="2963" t="s">
        <v>4213</v>
      </c>
      <c r="F1062" s="2966">
        <v>160000</v>
      </c>
      <c r="G1062" s="2971">
        <v>39.19</v>
      </c>
      <c r="H1062" s="2963" t="s">
        <v>3185</v>
      </c>
      <c r="I1062" s="2963" t="s">
        <v>3086</v>
      </c>
    </row>
    <row r="1063" spans="1:9">
      <c r="A1063" s="2963" t="s">
        <v>3328</v>
      </c>
      <c r="B1063" s="2963" t="s">
        <v>4200</v>
      </c>
      <c r="D1063" s="2963">
        <v>-3515</v>
      </c>
      <c r="E1063" s="2963" t="s">
        <v>4214</v>
      </c>
      <c r="F1063" s="2966">
        <v>160000</v>
      </c>
      <c r="G1063" s="2971">
        <v>39.19</v>
      </c>
      <c r="H1063" s="2963" t="s">
        <v>3185</v>
      </c>
      <c r="I1063" s="2963" t="s">
        <v>3086</v>
      </c>
    </row>
    <row r="1064" spans="1:9">
      <c r="A1064" s="2963" t="s">
        <v>3328</v>
      </c>
      <c r="B1064" s="2963" t="s">
        <v>4200</v>
      </c>
      <c r="D1064" s="2963">
        <v>-3516</v>
      </c>
      <c r="E1064" s="2963" t="s">
        <v>4215</v>
      </c>
      <c r="F1064" s="2966">
        <v>160000</v>
      </c>
      <c r="G1064" s="2971">
        <v>39.19</v>
      </c>
      <c r="H1064" s="2963" t="s">
        <v>3185</v>
      </c>
      <c r="I1064" s="2963" t="s">
        <v>3086</v>
      </c>
    </row>
    <row r="1065" spans="1:9">
      <c r="A1065" s="2963" t="s">
        <v>3328</v>
      </c>
      <c r="B1065" s="2963" t="s">
        <v>4200</v>
      </c>
      <c r="D1065" s="2963">
        <v>-3517</v>
      </c>
      <c r="E1065" s="2963" t="s">
        <v>4216</v>
      </c>
      <c r="F1065" s="2966">
        <v>160000</v>
      </c>
      <c r="G1065" s="2971">
        <v>39.19</v>
      </c>
      <c r="H1065" s="2963" t="s">
        <v>3185</v>
      </c>
      <c r="I1065" s="2963" t="s">
        <v>3086</v>
      </c>
    </row>
    <row r="1066" spans="1:9">
      <c r="A1066" s="2963" t="s">
        <v>3328</v>
      </c>
      <c r="B1066" s="2963" t="s">
        <v>4200</v>
      </c>
      <c r="D1066" s="2963">
        <v>-3518</v>
      </c>
      <c r="E1066" s="2963" t="s">
        <v>4217</v>
      </c>
      <c r="F1066" s="2966">
        <v>160000</v>
      </c>
      <c r="G1066" s="2971">
        <v>39.19</v>
      </c>
      <c r="H1066" s="2963" t="s">
        <v>3185</v>
      </c>
      <c r="I1066" s="2963" t="s">
        <v>3086</v>
      </c>
    </row>
    <row r="1067" spans="1:9">
      <c r="A1067" s="2963" t="s">
        <v>3328</v>
      </c>
      <c r="B1067" s="2963" t="s">
        <v>4200</v>
      </c>
      <c r="D1067" s="2963">
        <v>-3519</v>
      </c>
      <c r="E1067" s="2963" t="s">
        <v>4218</v>
      </c>
      <c r="F1067" s="2966">
        <v>160000</v>
      </c>
      <c r="G1067" s="2971">
        <v>39.19</v>
      </c>
      <c r="H1067" s="2963" t="s">
        <v>3185</v>
      </c>
      <c r="I1067" s="2963" t="s">
        <v>3086</v>
      </c>
    </row>
    <row r="1068" spans="1:9">
      <c r="A1068" s="2963" t="s">
        <v>3328</v>
      </c>
      <c r="B1068" s="2963" t="s">
        <v>4200</v>
      </c>
      <c r="D1068" s="2963">
        <v>-3520</v>
      </c>
      <c r="E1068" s="2963" t="s">
        <v>4219</v>
      </c>
      <c r="F1068" s="2966">
        <v>160000</v>
      </c>
      <c r="G1068" s="2971">
        <v>39.19</v>
      </c>
      <c r="H1068" s="2963" t="s">
        <v>3185</v>
      </c>
      <c r="I1068" s="2963" t="s">
        <v>3086</v>
      </c>
    </row>
    <row r="1069" spans="1:9">
      <c r="A1069" s="2963" t="s">
        <v>3328</v>
      </c>
      <c r="B1069" s="2963" t="s">
        <v>4200</v>
      </c>
      <c r="D1069" s="2963">
        <v>-3521</v>
      </c>
      <c r="E1069" s="2963" t="s">
        <v>4220</v>
      </c>
      <c r="F1069" s="2966">
        <v>160000</v>
      </c>
      <c r="G1069" s="2971">
        <v>39.19</v>
      </c>
      <c r="H1069" s="2963" t="s">
        <v>3185</v>
      </c>
      <c r="I1069" s="2963" t="s">
        <v>3086</v>
      </c>
    </row>
    <row r="1070" spans="1:9">
      <c r="A1070" s="2963" t="s">
        <v>3328</v>
      </c>
      <c r="B1070" s="2963" t="s">
        <v>4200</v>
      </c>
      <c r="D1070" s="2963">
        <v>-3522</v>
      </c>
      <c r="E1070" s="2963" t="s">
        <v>4221</v>
      </c>
      <c r="F1070" s="2966">
        <v>160000</v>
      </c>
      <c r="G1070" s="2971">
        <v>39.19</v>
      </c>
      <c r="H1070" s="2963" t="s">
        <v>3185</v>
      </c>
      <c r="I1070" s="2963" t="s">
        <v>3086</v>
      </c>
    </row>
    <row r="1071" spans="1:9">
      <c r="A1071" s="2963" t="s">
        <v>3328</v>
      </c>
      <c r="B1071" s="2963" t="s">
        <v>4200</v>
      </c>
      <c r="D1071" s="2963">
        <v>-3523</v>
      </c>
      <c r="E1071" s="2963" t="s">
        <v>4222</v>
      </c>
      <c r="F1071" s="2966">
        <v>160000</v>
      </c>
      <c r="G1071" s="2971">
        <v>39.19</v>
      </c>
      <c r="H1071" s="2963" t="s">
        <v>3185</v>
      </c>
      <c r="I1071" s="2963" t="s">
        <v>3086</v>
      </c>
    </row>
    <row r="1072" spans="1:9">
      <c r="A1072" s="2963" t="s">
        <v>3328</v>
      </c>
      <c r="B1072" s="2963" t="s">
        <v>4200</v>
      </c>
      <c r="D1072" s="2963">
        <v>-3524</v>
      </c>
      <c r="E1072" s="2963" t="s">
        <v>4223</v>
      </c>
      <c r="F1072" s="2966">
        <v>160000</v>
      </c>
      <c r="G1072" s="2971">
        <v>39.19</v>
      </c>
      <c r="H1072" s="2963" t="s">
        <v>3185</v>
      </c>
      <c r="I1072" s="2963" t="s">
        <v>3086</v>
      </c>
    </row>
    <row r="1073" spans="1:9">
      <c r="A1073" s="2963" t="s">
        <v>3328</v>
      </c>
      <c r="B1073" s="2963" t="s">
        <v>4200</v>
      </c>
      <c r="D1073" s="2963">
        <v>-3525</v>
      </c>
      <c r="E1073" s="2963" t="s">
        <v>4224</v>
      </c>
      <c r="F1073" s="2966">
        <v>160000</v>
      </c>
      <c r="G1073" s="2971">
        <v>39.19</v>
      </c>
      <c r="H1073" s="2963" t="s">
        <v>3185</v>
      </c>
      <c r="I1073" s="2963" t="s">
        <v>3086</v>
      </c>
    </row>
    <row r="1074" spans="1:9">
      <c r="A1074" s="2963" t="s">
        <v>3328</v>
      </c>
      <c r="B1074" s="2963" t="s">
        <v>4200</v>
      </c>
      <c r="D1074" s="2963">
        <v>-3526</v>
      </c>
      <c r="E1074" s="2963" t="s">
        <v>4225</v>
      </c>
      <c r="F1074" s="2966">
        <v>160000</v>
      </c>
      <c r="G1074" s="2971">
        <v>39.19</v>
      </c>
      <c r="H1074" s="2963" t="s">
        <v>3185</v>
      </c>
      <c r="I1074" s="2963" t="s">
        <v>3086</v>
      </c>
    </row>
    <row r="1075" spans="1:9">
      <c r="A1075" s="2963" t="s">
        <v>3328</v>
      </c>
      <c r="B1075" s="2963" t="s">
        <v>4200</v>
      </c>
      <c r="D1075" s="2963">
        <v>-3527</v>
      </c>
      <c r="E1075" s="2963" t="s">
        <v>4226</v>
      </c>
      <c r="F1075" s="2966">
        <v>160000</v>
      </c>
      <c r="G1075" s="2971">
        <v>39.19</v>
      </c>
      <c r="H1075" s="2963" t="s">
        <v>3185</v>
      </c>
      <c r="I1075" s="2963" t="s">
        <v>3086</v>
      </c>
    </row>
    <row r="1076" spans="1:9">
      <c r="A1076" s="2963" t="s">
        <v>3328</v>
      </c>
      <c r="B1076" s="2963" t="s">
        <v>4200</v>
      </c>
      <c r="D1076" s="2963">
        <v>-3528</v>
      </c>
      <c r="E1076" s="2963" t="s">
        <v>4227</v>
      </c>
      <c r="F1076" s="2966">
        <v>160000</v>
      </c>
      <c r="G1076" s="2971">
        <v>39.19</v>
      </c>
      <c r="H1076" s="2963" t="s">
        <v>3185</v>
      </c>
      <c r="I1076" s="2963" t="s">
        <v>3086</v>
      </c>
    </row>
    <row r="1077" spans="1:9">
      <c r="A1077" s="2963" t="s">
        <v>3328</v>
      </c>
      <c r="B1077" s="2963" t="s">
        <v>4200</v>
      </c>
      <c r="D1077" s="2963">
        <v>-3529</v>
      </c>
      <c r="E1077" s="2963" t="s">
        <v>4228</v>
      </c>
      <c r="F1077" s="2966">
        <v>160000</v>
      </c>
      <c r="G1077" s="2971">
        <v>39.19</v>
      </c>
      <c r="H1077" s="2963" t="s">
        <v>3185</v>
      </c>
      <c r="I1077" s="2963" t="s">
        <v>3086</v>
      </c>
    </row>
    <row r="1078" spans="1:9">
      <c r="A1078" s="2963" t="s">
        <v>3328</v>
      </c>
      <c r="B1078" s="2963" t="s">
        <v>4200</v>
      </c>
      <c r="D1078" s="2963">
        <v>-3530</v>
      </c>
      <c r="E1078" s="2963" t="s">
        <v>4229</v>
      </c>
      <c r="F1078" s="2966">
        <v>160000</v>
      </c>
      <c r="G1078" s="2971">
        <v>39.19</v>
      </c>
      <c r="H1078" s="2963" t="s">
        <v>3185</v>
      </c>
      <c r="I1078" s="2963" t="s">
        <v>3086</v>
      </c>
    </row>
    <row r="1079" spans="1:9">
      <c r="A1079" s="2963" t="s">
        <v>3328</v>
      </c>
      <c r="B1079" s="2963" t="s">
        <v>4200</v>
      </c>
      <c r="D1079" s="2963">
        <v>-3531</v>
      </c>
      <c r="E1079" s="2963" t="s">
        <v>4230</v>
      </c>
      <c r="F1079" s="2966">
        <v>160000</v>
      </c>
      <c r="G1079" s="2971">
        <v>39.19</v>
      </c>
      <c r="H1079" s="2963" t="s">
        <v>3185</v>
      </c>
      <c r="I1079" s="2963" t="s">
        <v>3086</v>
      </c>
    </row>
    <row r="1080" spans="1:9">
      <c r="A1080" s="2963" t="s">
        <v>3328</v>
      </c>
      <c r="B1080" s="2963" t="s">
        <v>4200</v>
      </c>
      <c r="D1080" s="2963">
        <v>-3532</v>
      </c>
      <c r="E1080" s="2963" t="s">
        <v>4231</v>
      </c>
      <c r="F1080" s="2966">
        <v>160000</v>
      </c>
      <c r="G1080" s="2971">
        <v>39.19</v>
      </c>
      <c r="H1080" s="2963" t="s">
        <v>3185</v>
      </c>
      <c r="I1080" s="2963" t="s">
        <v>3086</v>
      </c>
    </row>
    <row r="1081" spans="1:9">
      <c r="A1081" s="2963" t="s">
        <v>3328</v>
      </c>
      <c r="B1081" s="2963" t="s">
        <v>4200</v>
      </c>
      <c r="D1081" s="2963">
        <v>-3533</v>
      </c>
      <c r="E1081" s="2963" t="s">
        <v>4232</v>
      </c>
      <c r="F1081" s="2966">
        <v>160000</v>
      </c>
      <c r="G1081" s="2971">
        <v>39.19</v>
      </c>
      <c r="H1081" s="2963" t="s">
        <v>3185</v>
      </c>
      <c r="I1081" s="2963" t="s">
        <v>3086</v>
      </c>
    </row>
    <row r="1082" spans="1:9">
      <c r="A1082" s="2963" t="s">
        <v>3328</v>
      </c>
      <c r="B1082" s="2963" t="s">
        <v>4200</v>
      </c>
      <c r="D1082" s="2963">
        <v>-3534</v>
      </c>
      <c r="E1082" s="2963" t="s">
        <v>4233</v>
      </c>
      <c r="F1082" s="2966">
        <v>160000</v>
      </c>
      <c r="G1082" s="2971">
        <v>39.19</v>
      </c>
      <c r="H1082" s="2963" t="s">
        <v>3185</v>
      </c>
      <c r="I1082" s="2963" t="s">
        <v>3086</v>
      </c>
    </row>
    <row r="1083" spans="1:9">
      <c r="A1083" s="2963" t="s">
        <v>3328</v>
      </c>
      <c r="B1083" s="2963" t="s">
        <v>4200</v>
      </c>
      <c r="D1083" s="2963">
        <v>-3535</v>
      </c>
      <c r="E1083" s="2963" t="s">
        <v>4234</v>
      </c>
      <c r="F1083" s="2966">
        <v>160000</v>
      </c>
      <c r="G1083" s="2971">
        <v>39.19</v>
      </c>
      <c r="H1083" s="2963" t="s">
        <v>3185</v>
      </c>
      <c r="I1083" s="2963" t="s">
        <v>3086</v>
      </c>
    </row>
    <row r="1084" spans="1:9">
      <c r="A1084" s="2963" t="s">
        <v>3328</v>
      </c>
      <c r="B1084" s="2963" t="s">
        <v>4200</v>
      </c>
      <c r="D1084" s="2963">
        <v>-3536</v>
      </c>
      <c r="E1084" s="2963" t="s">
        <v>4235</v>
      </c>
      <c r="F1084" s="2966">
        <v>160000</v>
      </c>
      <c r="G1084" s="2971">
        <v>39.19</v>
      </c>
      <c r="H1084" s="2963" t="s">
        <v>3185</v>
      </c>
      <c r="I1084" s="2963" t="s">
        <v>3086</v>
      </c>
    </row>
    <row r="1085" spans="1:9">
      <c r="A1085" s="2963" t="s">
        <v>3328</v>
      </c>
      <c r="B1085" s="2963" t="s">
        <v>4200</v>
      </c>
      <c r="D1085" s="2963">
        <v>-3537</v>
      </c>
      <c r="E1085" s="2963" t="s">
        <v>4236</v>
      </c>
      <c r="F1085" s="2966">
        <v>160000</v>
      </c>
      <c r="G1085" s="2971">
        <v>39.19</v>
      </c>
      <c r="H1085" s="2963" t="s">
        <v>3185</v>
      </c>
      <c r="I1085" s="2963" t="s">
        <v>3086</v>
      </c>
    </row>
    <row r="1086" spans="1:9">
      <c r="A1086" s="2963" t="s">
        <v>3328</v>
      </c>
      <c r="B1086" s="2963" t="s">
        <v>4200</v>
      </c>
      <c r="D1086" s="2963">
        <v>-3538</v>
      </c>
      <c r="E1086" s="2963" t="s">
        <v>4237</v>
      </c>
      <c r="F1086" s="2966">
        <v>160000</v>
      </c>
      <c r="G1086" s="2971">
        <v>39.19</v>
      </c>
      <c r="H1086" s="2963" t="s">
        <v>3185</v>
      </c>
      <c r="I1086" s="2963" t="s">
        <v>3086</v>
      </c>
    </row>
    <row r="1087" spans="1:9">
      <c r="A1087" s="2963" t="s">
        <v>3328</v>
      </c>
      <c r="B1087" s="2963" t="s">
        <v>4200</v>
      </c>
      <c r="D1087" s="2963">
        <v>-3539</v>
      </c>
      <c r="E1087" s="2963" t="s">
        <v>4238</v>
      </c>
      <c r="F1087" s="2966">
        <v>160000</v>
      </c>
      <c r="G1087" s="2971">
        <v>39.19</v>
      </c>
      <c r="H1087" s="2963" t="s">
        <v>3185</v>
      </c>
      <c r="I1087" s="2963" t="s">
        <v>3086</v>
      </c>
    </row>
    <row r="1088" spans="1:9">
      <c r="A1088" s="2963" t="s">
        <v>3328</v>
      </c>
      <c r="B1088" s="2963" t="s">
        <v>4200</v>
      </c>
      <c r="D1088" s="2963">
        <v>-3540</v>
      </c>
      <c r="E1088" s="2963" t="s">
        <v>4239</v>
      </c>
      <c r="F1088" s="2966">
        <v>160000</v>
      </c>
      <c r="G1088" s="2971">
        <v>39.19</v>
      </c>
      <c r="H1088" s="2963" t="s">
        <v>3185</v>
      </c>
      <c r="I1088" s="2963" t="s">
        <v>3086</v>
      </c>
    </row>
    <row r="1089" spans="1:9">
      <c r="A1089" s="2963" t="s">
        <v>3328</v>
      </c>
      <c r="B1089" s="2963" t="s">
        <v>4200</v>
      </c>
      <c r="D1089" s="2963">
        <v>-3541</v>
      </c>
      <c r="E1089" s="2963" t="s">
        <v>4240</v>
      </c>
      <c r="F1089" s="2966">
        <v>160000</v>
      </c>
      <c r="G1089" s="2971">
        <v>39.19</v>
      </c>
      <c r="H1089" s="2963" t="s">
        <v>3185</v>
      </c>
      <c r="I1089" s="2963" t="s">
        <v>3086</v>
      </c>
    </row>
    <row r="1090" spans="1:9">
      <c r="A1090" s="2963" t="s">
        <v>3328</v>
      </c>
      <c r="B1090" s="2963" t="s">
        <v>4200</v>
      </c>
      <c r="D1090" s="2963">
        <v>-3543</v>
      </c>
      <c r="E1090" s="2963" t="s">
        <v>4241</v>
      </c>
      <c r="F1090" s="2966">
        <v>160000</v>
      </c>
      <c r="G1090" s="2971">
        <v>39.19</v>
      </c>
      <c r="H1090" s="2963" t="s">
        <v>3185</v>
      </c>
      <c r="I1090" s="2963" t="s">
        <v>3086</v>
      </c>
    </row>
    <row r="1091" spans="1:9">
      <c r="A1091" s="2963" t="s">
        <v>3328</v>
      </c>
      <c r="B1091" s="2963" t="s">
        <v>4200</v>
      </c>
      <c r="D1091" s="2963">
        <v>-3544</v>
      </c>
      <c r="E1091" s="2963" t="s">
        <v>4242</v>
      </c>
      <c r="F1091" s="2966">
        <v>160000</v>
      </c>
      <c r="G1091" s="2971">
        <v>39.19</v>
      </c>
      <c r="H1091" s="2963" t="s">
        <v>3185</v>
      </c>
      <c r="I1091" s="2963" t="s">
        <v>3086</v>
      </c>
    </row>
    <row r="1092" spans="1:9">
      <c r="A1092" s="2963" t="s">
        <v>3328</v>
      </c>
      <c r="B1092" s="2963" t="s">
        <v>4200</v>
      </c>
      <c r="D1092" s="2963">
        <v>-3545</v>
      </c>
      <c r="E1092" s="2963" t="s">
        <v>4243</v>
      </c>
      <c r="F1092" s="2966">
        <v>160000</v>
      </c>
      <c r="G1092" s="2971">
        <v>39.19</v>
      </c>
      <c r="H1092" s="2963" t="s">
        <v>3185</v>
      </c>
      <c r="I1092" s="2963" t="s">
        <v>3086</v>
      </c>
    </row>
    <row r="1093" spans="1:9">
      <c r="A1093" s="2963" t="s">
        <v>3328</v>
      </c>
      <c r="B1093" s="2963" t="s">
        <v>4200</v>
      </c>
      <c r="D1093" s="2963">
        <v>-3546</v>
      </c>
      <c r="E1093" s="2963" t="s">
        <v>4244</v>
      </c>
      <c r="F1093" s="2966">
        <v>160000</v>
      </c>
      <c r="G1093" s="2971">
        <v>39.19</v>
      </c>
      <c r="H1093" s="2963" t="s">
        <v>3185</v>
      </c>
      <c r="I1093" s="2963" t="s">
        <v>3086</v>
      </c>
    </row>
    <row r="1094" spans="1:9">
      <c r="A1094" s="2963" t="s">
        <v>3328</v>
      </c>
      <c r="B1094" s="2963" t="s">
        <v>4200</v>
      </c>
      <c r="D1094" s="2963">
        <v>-3547</v>
      </c>
      <c r="E1094" s="2963" t="s">
        <v>4245</v>
      </c>
      <c r="F1094" s="2966">
        <v>160000</v>
      </c>
      <c r="G1094" s="2971">
        <v>39.19</v>
      </c>
      <c r="H1094" s="2963" t="s">
        <v>3185</v>
      </c>
      <c r="I1094" s="2963" t="s">
        <v>3086</v>
      </c>
    </row>
    <row r="1095" spans="1:9">
      <c r="A1095" s="2963" t="s">
        <v>3328</v>
      </c>
      <c r="B1095" s="2963" t="s">
        <v>4200</v>
      </c>
      <c r="D1095" s="2963">
        <v>-3548</v>
      </c>
      <c r="E1095" s="2963" t="s">
        <v>4246</v>
      </c>
      <c r="F1095" s="2966">
        <v>160000</v>
      </c>
      <c r="G1095" s="2971">
        <v>39.19</v>
      </c>
      <c r="H1095" s="2963" t="s">
        <v>3185</v>
      </c>
      <c r="I1095" s="2963" t="s">
        <v>3086</v>
      </c>
    </row>
    <row r="1096" spans="1:9">
      <c r="A1096" s="2963" t="s">
        <v>3328</v>
      </c>
      <c r="B1096" s="2963" t="s">
        <v>4200</v>
      </c>
      <c r="D1096" s="2963">
        <v>-3549</v>
      </c>
      <c r="E1096" s="2963" t="s">
        <v>4247</v>
      </c>
      <c r="F1096" s="2966">
        <v>160000</v>
      </c>
      <c r="G1096" s="2971">
        <v>39.19</v>
      </c>
      <c r="H1096" s="2963" t="s">
        <v>3185</v>
      </c>
      <c r="I1096" s="2963" t="s">
        <v>3086</v>
      </c>
    </row>
    <row r="1097" spans="1:9">
      <c r="A1097" s="2963" t="s">
        <v>3328</v>
      </c>
      <c r="B1097" s="2963" t="s">
        <v>4200</v>
      </c>
      <c r="D1097" s="2963">
        <v>-3550</v>
      </c>
      <c r="E1097" s="2963" t="s">
        <v>4248</v>
      </c>
      <c r="F1097" s="2966">
        <v>160000</v>
      </c>
      <c r="G1097" s="2971">
        <v>39.19</v>
      </c>
      <c r="H1097" s="2963" t="s">
        <v>3185</v>
      </c>
      <c r="I1097" s="2963" t="s">
        <v>3086</v>
      </c>
    </row>
    <row r="1098" spans="1:9">
      <c r="A1098" s="2963" t="s">
        <v>3328</v>
      </c>
      <c r="B1098" s="2963" t="s">
        <v>4200</v>
      </c>
      <c r="D1098" s="2963">
        <v>-3551</v>
      </c>
      <c r="E1098" s="2963" t="s">
        <v>4249</v>
      </c>
      <c r="F1098" s="2966">
        <v>160000</v>
      </c>
      <c r="G1098" s="2971">
        <v>39.19</v>
      </c>
      <c r="H1098" s="2963" t="s">
        <v>3185</v>
      </c>
      <c r="I1098" s="2963" t="s">
        <v>3086</v>
      </c>
    </row>
    <row r="1099" spans="1:9">
      <c r="A1099" s="2963" t="s">
        <v>3328</v>
      </c>
      <c r="B1099" s="2963" t="s">
        <v>4200</v>
      </c>
      <c r="D1099" s="2963">
        <v>-3552</v>
      </c>
      <c r="E1099" s="2963" t="s">
        <v>4250</v>
      </c>
      <c r="F1099" s="2966">
        <v>160000</v>
      </c>
      <c r="G1099" s="2971">
        <v>39.19</v>
      </c>
      <c r="H1099" s="2963" t="s">
        <v>3185</v>
      </c>
      <c r="I1099" s="2963" t="s">
        <v>3086</v>
      </c>
    </row>
    <row r="1100" spans="1:9">
      <c r="A1100" s="2963" t="s">
        <v>3328</v>
      </c>
      <c r="B1100" s="2963" t="s">
        <v>4200</v>
      </c>
      <c r="D1100" s="2963">
        <v>-3553</v>
      </c>
      <c r="E1100" s="2963" t="s">
        <v>4251</v>
      </c>
      <c r="F1100" s="2966">
        <v>160000</v>
      </c>
      <c r="G1100" s="2971">
        <v>39.19</v>
      </c>
      <c r="H1100" s="2963" t="s">
        <v>3185</v>
      </c>
      <c r="I1100" s="2963" t="s">
        <v>3086</v>
      </c>
    </row>
    <row r="1101" spans="1:9">
      <c r="A1101" s="2963" t="s">
        <v>3328</v>
      </c>
      <c r="B1101" s="2963" t="s">
        <v>4200</v>
      </c>
      <c r="D1101" s="2963">
        <v>-3554</v>
      </c>
      <c r="E1101" s="2963" t="s">
        <v>4252</v>
      </c>
      <c r="F1101" s="2966">
        <v>160000</v>
      </c>
      <c r="G1101" s="2971">
        <v>39.19</v>
      </c>
      <c r="H1101" s="2963" t="s">
        <v>3185</v>
      </c>
      <c r="I1101" s="2963" t="s">
        <v>3086</v>
      </c>
    </row>
    <row r="1102" spans="1:9">
      <c r="A1102" s="2963" t="s">
        <v>3328</v>
      </c>
      <c r="B1102" s="2963" t="s">
        <v>4200</v>
      </c>
      <c r="D1102" s="2963">
        <v>-3555</v>
      </c>
      <c r="E1102" s="2963" t="s">
        <v>4253</v>
      </c>
      <c r="F1102" s="2966">
        <v>160000</v>
      </c>
      <c r="G1102" s="2971">
        <v>39.19</v>
      </c>
      <c r="H1102" s="2963" t="s">
        <v>3185</v>
      </c>
      <c r="I1102" s="2963" t="s">
        <v>3086</v>
      </c>
    </row>
    <row r="1103" spans="1:9">
      <c r="A1103" s="2963" t="s">
        <v>3328</v>
      </c>
      <c r="B1103" s="2963" t="s">
        <v>4200</v>
      </c>
      <c r="D1103" s="2963">
        <v>-3556</v>
      </c>
      <c r="E1103" s="2963" t="s">
        <v>4254</v>
      </c>
      <c r="F1103" s="2966">
        <v>160000</v>
      </c>
      <c r="G1103" s="2971">
        <v>39.19</v>
      </c>
      <c r="H1103" s="2963" t="s">
        <v>3185</v>
      </c>
      <c r="I1103" s="2963" t="s">
        <v>3086</v>
      </c>
    </row>
    <row r="1104" spans="1:9">
      <c r="A1104" s="2963" t="s">
        <v>3328</v>
      </c>
      <c r="B1104" s="2963" t="s">
        <v>4200</v>
      </c>
      <c r="D1104" s="2963">
        <v>-3557</v>
      </c>
      <c r="E1104" s="2963" t="s">
        <v>4255</v>
      </c>
      <c r="F1104" s="2966">
        <v>160000</v>
      </c>
      <c r="G1104" s="2971">
        <v>39.19</v>
      </c>
      <c r="H1104" s="2963" t="s">
        <v>3185</v>
      </c>
      <c r="I1104" s="2963" t="s">
        <v>3086</v>
      </c>
    </row>
    <row r="1105" spans="1:9">
      <c r="A1105" s="2963" t="s">
        <v>3328</v>
      </c>
      <c r="B1105" s="2963" t="s">
        <v>4200</v>
      </c>
      <c r="D1105" s="2963">
        <v>-3558</v>
      </c>
      <c r="E1105" s="2963" t="s">
        <v>4256</v>
      </c>
      <c r="F1105" s="2966">
        <v>160000</v>
      </c>
      <c r="G1105" s="2971">
        <v>39.19</v>
      </c>
      <c r="H1105" s="2963" t="s">
        <v>3185</v>
      </c>
      <c r="I1105" s="2963" t="s">
        <v>3086</v>
      </c>
    </row>
    <row r="1106" spans="1:9">
      <c r="A1106" s="2963" t="s">
        <v>3328</v>
      </c>
      <c r="B1106" s="2963" t="s">
        <v>4200</v>
      </c>
      <c r="D1106" s="2963">
        <v>-3559</v>
      </c>
      <c r="E1106" s="2963" t="s">
        <v>4257</v>
      </c>
      <c r="F1106" s="2966">
        <v>160000</v>
      </c>
      <c r="G1106" s="2971">
        <v>39.19</v>
      </c>
      <c r="H1106" s="2963" t="s">
        <v>3185</v>
      </c>
      <c r="I1106" s="2963" t="s">
        <v>3086</v>
      </c>
    </row>
    <row r="1107" spans="1:9">
      <c r="A1107" s="2963" t="s">
        <v>3328</v>
      </c>
      <c r="B1107" s="2963" t="s">
        <v>4200</v>
      </c>
      <c r="D1107" s="2963">
        <v>-3560</v>
      </c>
      <c r="E1107" s="2963" t="s">
        <v>4258</v>
      </c>
      <c r="F1107" s="2966">
        <v>160000</v>
      </c>
      <c r="G1107" s="2971">
        <v>39.19</v>
      </c>
      <c r="H1107" s="2963" t="s">
        <v>3185</v>
      </c>
      <c r="I1107" s="2963" t="s">
        <v>3086</v>
      </c>
    </row>
    <row r="1108" spans="1:9">
      <c r="A1108" s="2963" t="s">
        <v>3328</v>
      </c>
      <c r="B1108" s="2963" t="s">
        <v>4200</v>
      </c>
      <c r="D1108" s="2963">
        <v>-3561</v>
      </c>
      <c r="E1108" s="2963" t="s">
        <v>4259</v>
      </c>
      <c r="F1108" s="2966">
        <v>160000</v>
      </c>
      <c r="G1108" s="2971">
        <v>39.19</v>
      </c>
      <c r="H1108" s="2963" t="s">
        <v>3185</v>
      </c>
      <c r="I1108" s="2963" t="s">
        <v>3086</v>
      </c>
    </row>
    <row r="1109" spans="1:9">
      <c r="A1109" s="2963" t="s">
        <v>3328</v>
      </c>
      <c r="B1109" s="2963" t="s">
        <v>4200</v>
      </c>
      <c r="D1109" s="2963">
        <v>-3562</v>
      </c>
      <c r="E1109" s="2963" t="s">
        <v>4260</v>
      </c>
      <c r="F1109" s="2966">
        <v>160000</v>
      </c>
      <c r="G1109" s="2971">
        <v>39.19</v>
      </c>
      <c r="H1109" s="2963" t="s">
        <v>3185</v>
      </c>
      <c r="I1109" s="2963" t="s">
        <v>3086</v>
      </c>
    </row>
    <row r="1110" spans="1:9">
      <c r="A1110" s="2963" t="s">
        <v>3328</v>
      </c>
      <c r="B1110" s="2963" t="s">
        <v>4200</v>
      </c>
      <c r="D1110" s="2963">
        <v>-3563</v>
      </c>
      <c r="E1110" s="2963" t="s">
        <v>4261</v>
      </c>
      <c r="F1110" s="2966">
        <v>160000</v>
      </c>
      <c r="G1110" s="2971">
        <v>39.19</v>
      </c>
      <c r="H1110" s="2963" t="s">
        <v>3185</v>
      </c>
      <c r="I1110" s="2963" t="s">
        <v>3086</v>
      </c>
    </row>
    <row r="1111" spans="1:9">
      <c r="A1111" s="2963" t="s">
        <v>3328</v>
      </c>
      <c r="B1111" s="2963" t="s">
        <v>4200</v>
      </c>
      <c r="D1111" s="2963">
        <v>-3564</v>
      </c>
      <c r="E1111" s="2963" t="s">
        <v>4262</v>
      </c>
      <c r="F1111" s="2966">
        <v>160000</v>
      </c>
      <c r="G1111" s="2971">
        <v>39.19</v>
      </c>
      <c r="H1111" s="2963" t="s">
        <v>3185</v>
      </c>
      <c r="I1111" s="2963" t="s">
        <v>3086</v>
      </c>
    </row>
    <row r="1112" spans="1:9">
      <c r="A1112" s="2963" t="s">
        <v>3328</v>
      </c>
      <c r="B1112" s="2963" t="s">
        <v>4200</v>
      </c>
      <c r="D1112" s="2963">
        <v>-3565</v>
      </c>
      <c r="E1112" s="2963" t="s">
        <v>4263</v>
      </c>
      <c r="F1112" s="2966">
        <v>160000</v>
      </c>
      <c r="G1112" s="2971">
        <v>39.19</v>
      </c>
      <c r="H1112" s="2963" t="s">
        <v>3185</v>
      </c>
      <c r="I1112" s="2963" t="s">
        <v>3086</v>
      </c>
    </row>
    <row r="1113" spans="1:9">
      <c r="A1113" s="2963" t="s">
        <v>3328</v>
      </c>
      <c r="B1113" s="2963" t="s">
        <v>4200</v>
      </c>
      <c r="D1113" s="2963">
        <v>-3566</v>
      </c>
      <c r="E1113" s="2963" t="s">
        <v>4264</v>
      </c>
      <c r="F1113" s="2966">
        <v>160000</v>
      </c>
      <c r="G1113" s="2971">
        <v>39.19</v>
      </c>
      <c r="H1113" s="2963" t="s">
        <v>3185</v>
      </c>
      <c r="I1113" s="2963" t="s">
        <v>3086</v>
      </c>
    </row>
    <row r="1114" spans="1:9">
      <c r="A1114" s="2963" t="s">
        <v>3328</v>
      </c>
      <c r="B1114" s="2963" t="s">
        <v>4200</v>
      </c>
      <c r="D1114" s="2963">
        <v>-3567</v>
      </c>
      <c r="E1114" s="2963" t="s">
        <v>4265</v>
      </c>
      <c r="F1114" s="2966">
        <v>160000</v>
      </c>
      <c r="G1114" s="2971">
        <v>39.19</v>
      </c>
      <c r="H1114" s="2963" t="s">
        <v>3185</v>
      </c>
      <c r="I1114" s="2963" t="s">
        <v>3086</v>
      </c>
    </row>
    <row r="1115" spans="1:9">
      <c r="A1115" s="2963" t="s">
        <v>3328</v>
      </c>
      <c r="B1115" s="2963" t="s">
        <v>4200</v>
      </c>
      <c r="D1115" s="2963">
        <v>-3568</v>
      </c>
      <c r="E1115" s="2963" t="s">
        <v>4266</v>
      </c>
      <c r="F1115" s="2966">
        <v>160000</v>
      </c>
      <c r="G1115" s="2971">
        <v>39.19</v>
      </c>
      <c r="H1115" s="2963" t="s">
        <v>3185</v>
      </c>
      <c r="I1115" s="2963" t="s">
        <v>3086</v>
      </c>
    </row>
    <row r="1116" spans="1:9">
      <c r="A1116" s="2963" t="s">
        <v>3328</v>
      </c>
      <c r="B1116" s="2963" t="s">
        <v>4200</v>
      </c>
      <c r="D1116" s="2963">
        <v>-3569</v>
      </c>
      <c r="E1116" s="2963" t="s">
        <v>4267</v>
      </c>
      <c r="F1116" s="2966">
        <v>160000</v>
      </c>
      <c r="G1116" s="2971">
        <v>39.19</v>
      </c>
      <c r="H1116" s="2963" t="s">
        <v>3185</v>
      </c>
      <c r="I1116" s="2963" t="s">
        <v>3086</v>
      </c>
    </row>
    <row r="1117" spans="1:9">
      <c r="A1117" s="2963" t="s">
        <v>3328</v>
      </c>
      <c r="B1117" s="2963" t="s">
        <v>4200</v>
      </c>
      <c r="D1117" s="2963">
        <v>-3570</v>
      </c>
      <c r="E1117" s="2963" t="s">
        <v>4268</v>
      </c>
      <c r="F1117" s="2966">
        <v>160000</v>
      </c>
      <c r="G1117" s="2971">
        <v>39.19</v>
      </c>
      <c r="H1117" s="2963" t="s">
        <v>3185</v>
      </c>
      <c r="I1117" s="2963" t="s">
        <v>3086</v>
      </c>
    </row>
    <row r="1118" spans="1:9">
      <c r="A1118" s="2963" t="s">
        <v>3328</v>
      </c>
      <c r="B1118" s="2963" t="s">
        <v>4200</v>
      </c>
      <c r="D1118" s="2963">
        <v>-3571</v>
      </c>
      <c r="E1118" s="2963" t="s">
        <v>4269</v>
      </c>
      <c r="F1118" s="2966">
        <v>160000</v>
      </c>
      <c r="G1118" s="2971">
        <v>39.19</v>
      </c>
      <c r="H1118" s="2963" t="s">
        <v>3185</v>
      </c>
      <c r="I1118" s="2963" t="s">
        <v>3086</v>
      </c>
    </row>
    <row r="1119" spans="1:9">
      <c r="A1119" s="2963" t="s">
        <v>3328</v>
      </c>
      <c r="B1119" s="2963" t="s">
        <v>4200</v>
      </c>
      <c r="D1119" s="2963">
        <v>-3572</v>
      </c>
      <c r="E1119" s="2963" t="s">
        <v>4270</v>
      </c>
      <c r="F1119" s="2966">
        <v>160000</v>
      </c>
      <c r="G1119" s="2971">
        <v>39.19</v>
      </c>
      <c r="H1119" s="2963" t="s">
        <v>3185</v>
      </c>
      <c r="I1119" s="2963" t="s">
        <v>3086</v>
      </c>
    </row>
    <row r="1120" spans="1:9">
      <c r="A1120" s="2963" t="s">
        <v>3328</v>
      </c>
      <c r="B1120" s="2963" t="s">
        <v>4200</v>
      </c>
      <c r="D1120" s="2963">
        <v>-3573</v>
      </c>
      <c r="E1120" s="2963" t="s">
        <v>4271</v>
      </c>
      <c r="F1120" s="2966">
        <v>160000</v>
      </c>
      <c r="G1120" s="2971">
        <v>39.19</v>
      </c>
      <c r="H1120" s="2963" t="s">
        <v>3185</v>
      </c>
      <c r="I1120" s="2963" t="s">
        <v>3086</v>
      </c>
    </row>
    <row r="1121" spans="1:9">
      <c r="A1121" s="2963" t="s">
        <v>3328</v>
      </c>
      <c r="B1121" s="2963" t="s">
        <v>4200</v>
      </c>
      <c r="D1121" s="2963">
        <v>-3574</v>
      </c>
      <c r="E1121" s="2963" t="s">
        <v>4272</v>
      </c>
      <c r="F1121" s="2966">
        <v>160000</v>
      </c>
      <c r="G1121" s="2971">
        <v>39.19</v>
      </c>
      <c r="H1121" s="2963" t="s">
        <v>3185</v>
      </c>
      <c r="I1121" s="2963" t="s">
        <v>3086</v>
      </c>
    </row>
    <row r="1122" spans="1:9">
      <c r="A1122" s="2963" t="s">
        <v>3328</v>
      </c>
      <c r="B1122" s="2963" t="s">
        <v>4273</v>
      </c>
      <c r="D1122" s="2963">
        <v>1001</v>
      </c>
      <c r="E1122" s="2963" t="s">
        <v>4274</v>
      </c>
      <c r="F1122" s="2966">
        <v>180000</v>
      </c>
      <c r="G1122" s="2971">
        <v>43.77</v>
      </c>
      <c r="H1122" s="2963" t="s">
        <v>3185</v>
      </c>
      <c r="I1122" s="2963" t="s">
        <v>3086</v>
      </c>
    </row>
    <row r="1123" spans="1:9">
      <c r="A1123" s="2963" t="s">
        <v>3328</v>
      </c>
      <c r="B1123" s="2963" t="s">
        <v>4273</v>
      </c>
      <c r="D1123" s="2963">
        <v>1002</v>
      </c>
      <c r="E1123" s="2963" t="s">
        <v>4275</v>
      </c>
      <c r="F1123" s="2966">
        <v>180000</v>
      </c>
      <c r="G1123" s="2971">
        <v>43.77</v>
      </c>
      <c r="H1123" s="2963" t="s">
        <v>3185</v>
      </c>
      <c r="I1123" s="2963" t="s">
        <v>3086</v>
      </c>
    </row>
    <row r="1124" spans="1:9">
      <c r="A1124" s="2963" t="s">
        <v>3328</v>
      </c>
      <c r="B1124" s="2963" t="s">
        <v>4273</v>
      </c>
      <c r="D1124" s="2963">
        <v>1003</v>
      </c>
      <c r="E1124" s="2963" t="s">
        <v>4276</v>
      </c>
      <c r="F1124" s="2966">
        <v>180000</v>
      </c>
      <c r="G1124" s="2971">
        <v>43.77</v>
      </c>
      <c r="H1124" s="2963" t="s">
        <v>3185</v>
      </c>
      <c r="I1124" s="2963" t="s">
        <v>3086</v>
      </c>
    </row>
    <row r="1125" spans="1:9">
      <c r="A1125" s="2963" t="s">
        <v>3328</v>
      </c>
      <c r="B1125" s="2963" t="s">
        <v>4273</v>
      </c>
      <c r="D1125" s="2963">
        <v>1004</v>
      </c>
      <c r="E1125" s="2963" t="s">
        <v>4277</v>
      </c>
      <c r="F1125" s="2966">
        <v>180000</v>
      </c>
      <c r="G1125" s="2971">
        <v>43.77</v>
      </c>
      <c r="H1125" s="2963" t="s">
        <v>3185</v>
      </c>
      <c r="I1125" s="2963" t="s">
        <v>3086</v>
      </c>
    </row>
    <row r="1126" spans="1:9">
      <c r="A1126" s="2963" t="s">
        <v>3328</v>
      </c>
      <c r="B1126" s="2963" t="s">
        <v>4273</v>
      </c>
      <c r="D1126" s="2963">
        <v>1005</v>
      </c>
      <c r="E1126" s="2963" t="s">
        <v>4278</v>
      </c>
      <c r="F1126" s="2966">
        <v>180000</v>
      </c>
      <c r="G1126" s="2971">
        <v>43.77</v>
      </c>
      <c r="H1126" s="2963" t="s">
        <v>3185</v>
      </c>
      <c r="I1126" s="2963" t="s">
        <v>3086</v>
      </c>
    </row>
    <row r="1127" spans="1:9">
      <c r="A1127" s="2963" t="s">
        <v>3328</v>
      </c>
      <c r="B1127" s="2963" t="s">
        <v>4273</v>
      </c>
      <c r="D1127" s="2963">
        <v>1006</v>
      </c>
      <c r="E1127" s="2963" t="s">
        <v>4279</v>
      </c>
      <c r="F1127" s="2966">
        <v>180000</v>
      </c>
      <c r="G1127" s="2971">
        <v>43.77</v>
      </c>
      <c r="H1127" s="2963" t="s">
        <v>3185</v>
      </c>
      <c r="I1127" s="2963" t="s">
        <v>3086</v>
      </c>
    </row>
    <row r="1128" spans="1:9">
      <c r="A1128" s="2963" t="s">
        <v>3328</v>
      </c>
      <c r="B1128" s="2963" t="s">
        <v>4273</v>
      </c>
      <c r="D1128" s="2963">
        <v>1007</v>
      </c>
      <c r="E1128" s="2963" t="s">
        <v>4280</v>
      </c>
      <c r="F1128" s="2966">
        <v>180000</v>
      </c>
      <c r="G1128" s="2971">
        <v>43.77</v>
      </c>
      <c r="H1128" s="2963" t="s">
        <v>3185</v>
      </c>
      <c r="I1128" s="2963" t="s">
        <v>3086</v>
      </c>
    </row>
    <row r="1129" spans="1:9">
      <c r="A1129" s="2963" t="s">
        <v>3328</v>
      </c>
      <c r="B1129" s="2963" t="s">
        <v>4273</v>
      </c>
      <c r="D1129" s="2963">
        <v>1008</v>
      </c>
      <c r="E1129" s="2963" t="s">
        <v>4281</v>
      </c>
      <c r="F1129" s="2966">
        <v>180000</v>
      </c>
      <c r="G1129" s="2971">
        <v>43.77</v>
      </c>
      <c r="H1129" s="2963" t="s">
        <v>3185</v>
      </c>
      <c r="I1129" s="2963" t="s">
        <v>3086</v>
      </c>
    </row>
    <row r="1130" spans="1:9">
      <c r="A1130" s="2963" t="s">
        <v>3328</v>
      </c>
      <c r="B1130" s="2963" t="s">
        <v>4273</v>
      </c>
      <c r="D1130" s="2963">
        <v>1009</v>
      </c>
      <c r="E1130" s="2963" t="s">
        <v>4282</v>
      </c>
      <c r="F1130" s="2966">
        <v>180000</v>
      </c>
      <c r="G1130" s="2971">
        <v>43.77</v>
      </c>
      <c r="H1130" s="2963" t="s">
        <v>3185</v>
      </c>
      <c r="I1130" s="2963" t="s">
        <v>3086</v>
      </c>
    </row>
    <row r="1131" spans="1:9">
      <c r="A1131" s="2963" t="s">
        <v>3328</v>
      </c>
      <c r="B1131" s="2963" t="s">
        <v>4273</v>
      </c>
      <c r="D1131" s="2963">
        <v>1010</v>
      </c>
      <c r="E1131" s="2963" t="s">
        <v>4283</v>
      </c>
      <c r="F1131" s="2966">
        <v>180000</v>
      </c>
      <c r="G1131" s="2971">
        <v>43.77</v>
      </c>
      <c r="H1131" s="2963" t="s">
        <v>3185</v>
      </c>
      <c r="I1131" s="2963" t="s">
        <v>3086</v>
      </c>
    </row>
    <row r="1132" spans="1:9">
      <c r="A1132" s="2963" t="s">
        <v>3328</v>
      </c>
      <c r="B1132" s="2963" t="s">
        <v>4273</v>
      </c>
      <c r="D1132" s="2963">
        <v>1011</v>
      </c>
      <c r="E1132" s="2963" t="s">
        <v>4284</v>
      </c>
      <c r="F1132" s="2966">
        <v>180000</v>
      </c>
      <c r="G1132" s="2971">
        <v>43.77</v>
      </c>
      <c r="H1132" s="2963" t="s">
        <v>3185</v>
      </c>
      <c r="I1132" s="2963" t="s">
        <v>3086</v>
      </c>
    </row>
    <row r="1133" spans="1:9">
      <c r="A1133" s="2963" t="s">
        <v>3328</v>
      </c>
      <c r="B1133" s="2963" t="s">
        <v>4273</v>
      </c>
      <c r="D1133" s="2963">
        <v>1012</v>
      </c>
      <c r="E1133" s="2963" t="s">
        <v>4285</v>
      </c>
      <c r="F1133" s="2966">
        <v>180000</v>
      </c>
      <c r="G1133" s="2971">
        <v>43.77</v>
      </c>
      <c r="H1133" s="2963" t="s">
        <v>3185</v>
      </c>
      <c r="I1133" s="2963" t="s">
        <v>3086</v>
      </c>
    </row>
    <row r="1134" spans="1:9">
      <c r="A1134" s="2963" t="s">
        <v>3328</v>
      </c>
      <c r="B1134" s="2963" t="s">
        <v>4273</v>
      </c>
      <c r="D1134" s="2963">
        <v>1013</v>
      </c>
      <c r="E1134" s="2963" t="s">
        <v>4286</v>
      </c>
      <c r="F1134" s="2966">
        <v>180000</v>
      </c>
      <c r="G1134" s="2971">
        <v>43.77</v>
      </c>
      <c r="H1134" s="2963" t="s">
        <v>3185</v>
      </c>
      <c r="I1134" s="2963" t="s">
        <v>3086</v>
      </c>
    </row>
    <row r="1135" spans="1:9">
      <c r="A1135" s="2963" t="s">
        <v>3328</v>
      </c>
      <c r="B1135" s="2963" t="s">
        <v>4273</v>
      </c>
      <c r="D1135" s="2963">
        <v>1014</v>
      </c>
      <c r="E1135" s="2963" t="s">
        <v>4287</v>
      </c>
      <c r="F1135" s="2966">
        <v>180000</v>
      </c>
      <c r="G1135" s="2971">
        <v>43.77</v>
      </c>
      <c r="H1135" s="2963" t="s">
        <v>3185</v>
      </c>
      <c r="I1135" s="2963" t="s">
        <v>3086</v>
      </c>
    </row>
    <row r="1136" spans="1:9">
      <c r="A1136" s="2963" t="s">
        <v>3328</v>
      </c>
      <c r="B1136" s="2963" t="s">
        <v>4273</v>
      </c>
      <c r="D1136" s="2963">
        <v>1016</v>
      </c>
      <c r="E1136" s="2963" t="s">
        <v>4288</v>
      </c>
      <c r="F1136" s="2966">
        <v>180000</v>
      </c>
      <c r="G1136" s="2971">
        <v>43.77</v>
      </c>
      <c r="H1136" s="2963" t="s">
        <v>3185</v>
      </c>
      <c r="I1136" s="2963" t="s">
        <v>3086</v>
      </c>
    </row>
    <row r="1137" spans="1:9">
      <c r="A1137" s="2963" t="s">
        <v>3328</v>
      </c>
      <c r="B1137" s="2963" t="s">
        <v>4273</v>
      </c>
      <c r="D1137" s="2963">
        <v>1018</v>
      </c>
      <c r="E1137" s="2963" t="s">
        <v>4289</v>
      </c>
      <c r="F1137" s="2966">
        <v>180000</v>
      </c>
      <c r="G1137" s="2971">
        <v>43.77</v>
      </c>
      <c r="H1137" s="2963" t="s">
        <v>3185</v>
      </c>
      <c r="I1137" s="2963" t="s">
        <v>3086</v>
      </c>
    </row>
    <row r="1138" spans="1:9">
      <c r="A1138" s="2963" t="s">
        <v>3328</v>
      </c>
      <c r="B1138" s="2963" t="s">
        <v>4273</v>
      </c>
      <c r="D1138" s="2963">
        <v>1019</v>
      </c>
      <c r="E1138" s="2963" t="s">
        <v>4290</v>
      </c>
      <c r="F1138" s="2966">
        <v>180000</v>
      </c>
      <c r="G1138" s="2971">
        <v>43.77</v>
      </c>
      <c r="H1138" s="2963" t="s">
        <v>3185</v>
      </c>
      <c r="I1138" s="2963" t="s">
        <v>3086</v>
      </c>
    </row>
    <row r="1139" spans="1:9">
      <c r="A1139" s="2963" t="s">
        <v>3328</v>
      </c>
      <c r="B1139" s="2963" t="s">
        <v>4273</v>
      </c>
      <c r="D1139" s="2963">
        <v>1020</v>
      </c>
      <c r="E1139" s="2963" t="s">
        <v>4291</v>
      </c>
      <c r="F1139" s="2966">
        <v>180000</v>
      </c>
      <c r="G1139" s="2971">
        <v>43.77</v>
      </c>
      <c r="H1139" s="2963" t="s">
        <v>3185</v>
      </c>
      <c r="I1139" s="2963" t="s">
        <v>3086</v>
      </c>
    </row>
    <row r="1140" spans="1:9">
      <c r="A1140" s="2963" t="s">
        <v>3328</v>
      </c>
      <c r="B1140" s="2963" t="s">
        <v>4273</v>
      </c>
      <c r="D1140" s="2963">
        <v>1021</v>
      </c>
      <c r="E1140" s="2963" t="s">
        <v>4292</v>
      </c>
      <c r="F1140" s="2966">
        <v>180000</v>
      </c>
      <c r="G1140" s="2971">
        <v>43.77</v>
      </c>
      <c r="H1140" s="2963" t="s">
        <v>3185</v>
      </c>
      <c r="I1140" s="2963" t="s">
        <v>3086</v>
      </c>
    </row>
    <row r="1141" spans="1:9">
      <c r="A1141" s="2963" t="s">
        <v>3328</v>
      </c>
      <c r="B1141" s="2963" t="s">
        <v>4273</v>
      </c>
      <c r="D1141" s="2963">
        <v>1022</v>
      </c>
      <c r="E1141" s="2963" t="s">
        <v>4293</v>
      </c>
      <c r="F1141" s="2966">
        <v>180000</v>
      </c>
      <c r="G1141" s="2971">
        <v>43.77</v>
      </c>
      <c r="H1141" s="2963" t="s">
        <v>3185</v>
      </c>
      <c r="I1141" s="2963" t="s">
        <v>3086</v>
      </c>
    </row>
    <row r="1142" spans="1:9">
      <c r="A1142" s="2963" t="s">
        <v>3328</v>
      </c>
      <c r="B1142" s="2963" t="s">
        <v>4273</v>
      </c>
      <c r="D1142" s="2963">
        <v>1025</v>
      </c>
      <c r="E1142" s="2963" t="s">
        <v>4294</v>
      </c>
      <c r="F1142" s="2966">
        <v>180000</v>
      </c>
      <c r="G1142" s="2971">
        <v>43.77</v>
      </c>
      <c r="H1142" s="2963" t="s">
        <v>3185</v>
      </c>
      <c r="I1142" s="2963" t="s">
        <v>3086</v>
      </c>
    </row>
    <row r="1143" spans="1:9">
      <c r="A1143" s="2963" t="s">
        <v>3328</v>
      </c>
      <c r="B1143" s="2963" t="s">
        <v>4273</v>
      </c>
      <c r="D1143" s="2963">
        <v>1026</v>
      </c>
      <c r="E1143" s="2963" t="s">
        <v>4295</v>
      </c>
      <c r="F1143" s="2966">
        <v>180000</v>
      </c>
      <c r="G1143" s="2971">
        <v>43.77</v>
      </c>
      <c r="H1143" s="2963" t="s">
        <v>3185</v>
      </c>
      <c r="I1143" s="2963" t="s">
        <v>3086</v>
      </c>
    </row>
    <row r="1144" spans="1:9">
      <c r="A1144" s="2963" t="s">
        <v>3328</v>
      </c>
      <c r="B1144" s="2963" t="s">
        <v>4273</v>
      </c>
      <c r="D1144" s="2963">
        <v>1028</v>
      </c>
      <c r="E1144" s="2963" t="s">
        <v>4296</v>
      </c>
      <c r="F1144" s="2966">
        <v>180000</v>
      </c>
      <c r="G1144" s="2971">
        <v>43.77</v>
      </c>
      <c r="H1144" s="2963" t="s">
        <v>3185</v>
      </c>
      <c r="I1144" s="2963" t="s">
        <v>3086</v>
      </c>
    </row>
    <row r="1145" spans="1:9">
      <c r="A1145" s="2963" t="s">
        <v>3328</v>
      </c>
      <c r="B1145" s="2963" t="s">
        <v>4273</v>
      </c>
      <c r="D1145" s="2963">
        <v>1031</v>
      </c>
      <c r="E1145" s="2963" t="s">
        <v>4297</v>
      </c>
      <c r="F1145" s="2966">
        <v>180000</v>
      </c>
      <c r="G1145" s="2971">
        <v>43.77</v>
      </c>
      <c r="H1145" s="2963" t="s">
        <v>3185</v>
      </c>
      <c r="I1145" s="2963" t="s">
        <v>3086</v>
      </c>
    </row>
    <row r="1146" spans="1:9">
      <c r="A1146" s="2963" t="s">
        <v>3328</v>
      </c>
      <c r="B1146" s="2963" t="s">
        <v>4273</v>
      </c>
      <c r="D1146" s="2963">
        <v>1032</v>
      </c>
      <c r="E1146" s="2963" t="s">
        <v>4298</v>
      </c>
      <c r="F1146" s="2966">
        <v>180000</v>
      </c>
      <c r="G1146" s="2971">
        <v>43.77</v>
      </c>
      <c r="H1146" s="2963" t="s">
        <v>3185</v>
      </c>
      <c r="I1146" s="2963" t="s">
        <v>3086</v>
      </c>
    </row>
    <row r="1147" spans="1:9">
      <c r="A1147" s="2963" t="s">
        <v>3328</v>
      </c>
      <c r="B1147" s="2963" t="s">
        <v>4273</v>
      </c>
      <c r="D1147" s="2963">
        <v>1033</v>
      </c>
      <c r="E1147" s="2963" t="s">
        <v>4299</v>
      </c>
      <c r="F1147" s="2966">
        <v>180000</v>
      </c>
      <c r="G1147" s="2971">
        <v>43.77</v>
      </c>
      <c r="H1147" s="2963" t="s">
        <v>3185</v>
      </c>
      <c r="I1147" s="2963" t="s">
        <v>3086</v>
      </c>
    </row>
    <row r="1148" spans="1:9">
      <c r="A1148" s="2963" t="s">
        <v>3328</v>
      </c>
      <c r="B1148" s="2963" t="s">
        <v>4273</v>
      </c>
      <c r="D1148" s="2963">
        <v>1034</v>
      </c>
      <c r="E1148" s="2963" t="s">
        <v>4300</v>
      </c>
      <c r="F1148" s="2966">
        <v>180000</v>
      </c>
      <c r="G1148" s="2971">
        <v>43.77</v>
      </c>
      <c r="H1148" s="2963" t="s">
        <v>3185</v>
      </c>
      <c r="I1148" s="2963" t="s">
        <v>3086</v>
      </c>
    </row>
    <row r="1149" spans="1:9">
      <c r="A1149" s="2963" t="s">
        <v>3328</v>
      </c>
      <c r="B1149" s="2963" t="s">
        <v>4273</v>
      </c>
      <c r="D1149" s="2963">
        <v>1035</v>
      </c>
      <c r="E1149" s="2963" t="s">
        <v>4301</v>
      </c>
      <c r="F1149" s="2966">
        <v>180000</v>
      </c>
      <c r="G1149" s="2971">
        <v>43.77</v>
      </c>
      <c r="H1149" s="2963" t="s">
        <v>3185</v>
      </c>
      <c r="I1149" s="2963" t="s">
        <v>3086</v>
      </c>
    </row>
    <row r="1150" spans="1:9">
      <c r="A1150" s="2963" t="s">
        <v>3328</v>
      </c>
      <c r="B1150" s="2963" t="s">
        <v>4273</v>
      </c>
      <c r="D1150" s="2963">
        <v>1036</v>
      </c>
      <c r="E1150" s="2963" t="s">
        <v>4302</v>
      </c>
      <c r="F1150" s="2966">
        <v>180000</v>
      </c>
      <c r="G1150" s="2971">
        <v>43.77</v>
      </c>
      <c r="H1150" s="2963" t="s">
        <v>3185</v>
      </c>
      <c r="I1150" s="2963" t="s">
        <v>3086</v>
      </c>
    </row>
    <row r="1151" spans="1:9">
      <c r="A1151" s="2963" t="s">
        <v>3328</v>
      </c>
      <c r="B1151" s="2963" t="s">
        <v>4273</v>
      </c>
      <c r="D1151" s="2963">
        <v>1037</v>
      </c>
      <c r="E1151" s="2963" t="s">
        <v>4303</v>
      </c>
      <c r="F1151" s="2966">
        <v>180000</v>
      </c>
      <c r="G1151" s="2971">
        <v>43.77</v>
      </c>
      <c r="H1151" s="2963" t="s">
        <v>3185</v>
      </c>
      <c r="I1151" s="2963" t="s">
        <v>3086</v>
      </c>
    </row>
    <row r="1152" spans="1:9">
      <c r="A1152" s="2963" t="s">
        <v>3328</v>
      </c>
      <c r="B1152" s="2963" t="s">
        <v>4273</v>
      </c>
      <c r="D1152" s="2963">
        <v>1038</v>
      </c>
      <c r="E1152" s="2963" t="s">
        <v>4304</v>
      </c>
      <c r="F1152" s="2966">
        <v>180000</v>
      </c>
      <c r="G1152" s="2971">
        <v>43.77</v>
      </c>
      <c r="H1152" s="2963" t="s">
        <v>3185</v>
      </c>
      <c r="I1152" s="2963" t="s">
        <v>3086</v>
      </c>
    </row>
    <row r="1153" spans="1:9">
      <c r="A1153" s="2963" t="s">
        <v>3328</v>
      </c>
      <c r="B1153" s="2963" t="s">
        <v>4273</v>
      </c>
      <c r="D1153" s="2963">
        <v>1039</v>
      </c>
      <c r="E1153" s="2963" t="s">
        <v>4305</v>
      </c>
      <c r="F1153" s="2966">
        <v>180000</v>
      </c>
      <c r="G1153" s="2971">
        <v>43.77</v>
      </c>
      <c r="H1153" s="2963" t="s">
        <v>3185</v>
      </c>
      <c r="I1153" s="2963" t="s">
        <v>3086</v>
      </c>
    </row>
    <row r="1154" spans="1:9">
      <c r="A1154" s="2963" t="s">
        <v>3328</v>
      </c>
      <c r="B1154" s="2963" t="s">
        <v>4273</v>
      </c>
      <c r="D1154" s="2963">
        <v>1040</v>
      </c>
      <c r="E1154" s="2963" t="s">
        <v>4306</v>
      </c>
      <c r="F1154" s="2966">
        <v>180000</v>
      </c>
      <c r="G1154" s="2971">
        <v>43.77</v>
      </c>
      <c r="H1154" s="2963" t="s">
        <v>3185</v>
      </c>
      <c r="I1154" s="2963" t="s">
        <v>3086</v>
      </c>
    </row>
    <row r="1155" spans="1:9">
      <c r="A1155" s="2963" t="s">
        <v>3328</v>
      </c>
      <c r="B1155" s="2963" t="s">
        <v>4273</v>
      </c>
      <c r="D1155" s="2963">
        <v>1041</v>
      </c>
      <c r="E1155" s="2963" t="s">
        <v>4307</v>
      </c>
      <c r="F1155" s="2966">
        <v>180000</v>
      </c>
      <c r="G1155" s="2971">
        <v>43.77</v>
      </c>
      <c r="H1155" s="2963" t="s">
        <v>3185</v>
      </c>
      <c r="I1155" s="2963" t="s">
        <v>3086</v>
      </c>
    </row>
    <row r="1156" spans="1:9">
      <c r="A1156" s="2963" t="s">
        <v>3328</v>
      </c>
      <c r="B1156" s="2963" t="s">
        <v>4273</v>
      </c>
      <c r="D1156" s="2963">
        <v>1042</v>
      </c>
      <c r="E1156" s="2963" t="s">
        <v>4308</v>
      </c>
      <c r="F1156" s="2966">
        <v>180000</v>
      </c>
      <c r="G1156" s="2971">
        <v>43.77</v>
      </c>
      <c r="H1156" s="2963" t="s">
        <v>3185</v>
      </c>
      <c r="I1156" s="2963" t="s">
        <v>3086</v>
      </c>
    </row>
    <row r="1157" spans="1:9">
      <c r="A1157" s="2963" t="s">
        <v>3328</v>
      </c>
      <c r="B1157" s="2963" t="s">
        <v>4273</v>
      </c>
      <c r="D1157" s="2963">
        <v>1043</v>
      </c>
      <c r="E1157" s="2963" t="s">
        <v>4309</v>
      </c>
      <c r="F1157" s="2966">
        <v>180000</v>
      </c>
      <c r="G1157" s="2971">
        <v>43.77</v>
      </c>
      <c r="H1157" s="2963" t="s">
        <v>3185</v>
      </c>
      <c r="I1157" s="2963" t="s">
        <v>3086</v>
      </c>
    </row>
    <row r="1158" spans="1:9">
      <c r="A1158" s="2963" t="s">
        <v>3328</v>
      </c>
      <c r="B1158" s="2963" t="s">
        <v>4273</v>
      </c>
      <c r="D1158" s="2963">
        <v>1044</v>
      </c>
      <c r="E1158" s="2963" t="s">
        <v>4310</v>
      </c>
      <c r="F1158" s="2966">
        <v>180000</v>
      </c>
      <c r="G1158" s="2971">
        <v>43.77</v>
      </c>
      <c r="H1158" s="2963" t="s">
        <v>3185</v>
      </c>
      <c r="I1158" s="2963" t="s">
        <v>3086</v>
      </c>
    </row>
    <row r="1159" spans="1:9">
      <c r="A1159" s="2963" t="s">
        <v>3328</v>
      </c>
      <c r="B1159" s="2963" t="s">
        <v>4273</v>
      </c>
      <c r="D1159" s="2963">
        <v>1045</v>
      </c>
      <c r="E1159" s="2963" t="s">
        <v>4311</v>
      </c>
      <c r="F1159" s="2966">
        <v>180000</v>
      </c>
      <c r="G1159" s="2971">
        <v>43.77</v>
      </c>
      <c r="H1159" s="2963" t="s">
        <v>3185</v>
      </c>
      <c r="I1159" s="2963" t="s">
        <v>3086</v>
      </c>
    </row>
    <row r="1160" spans="1:9">
      <c r="A1160" s="2963" t="s">
        <v>3328</v>
      </c>
      <c r="B1160" s="2963" t="s">
        <v>4273</v>
      </c>
      <c r="D1160" s="2963">
        <v>1046</v>
      </c>
      <c r="E1160" s="2963" t="s">
        <v>4312</v>
      </c>
      <c r="F1160" s="2966">
        <v>180000</v>
      </c>
      <c r="G1160" s="2971">
        <v>43.77</v>
      </c>
      <c r="H1160" s="2963" t="s">
        <v>3185</v>
      </c>
      <c r="I1160" s="2963" t="s">
        <v>3086</v>
      </c>
    </row>
    <row r="1161" spans="1:9">
      <c r="A1161" s="2963" t="s">
        <v>3328</v>
      </c>
      <c r="B1161" s="2963" t="s">
        <v>4273</v>
      </c>
      <c r="D1161" s="2963">
        <v>1047</v>
      </c>
      <c r="E1161" s="2963" t="s">
        <v>4313</v>
      </c>
      <c r="F1161" s="2966">
        <v>180000</v>
      </c>
      <c r="G1161" s="2971">
        <v>43.77</v>
      </c>
      <c r="H1161" s="2963" t="s">
        <v>3185</v>
      </c>
      <c r="I1161" s="2963" t="s">
        <v>3086</v>
      </c>
    </row>
    <row r="1162" spans="1:9">
      <c r="A1162" s="2963" t="s">
        <v>3328</v>
      </c>
      <c r="B1162" s="2963" t="s">
        <v>4273</v>
      </c>
      <c r="D1162" s="2963">
        <v>1048</v>
      </c>
      <c r="E1162" s="2963" t="s">
        <v>4314</v>
      </c>
      <c r="F1162" s="2966">
        <v>180000</v>
      </c>
      <c r="G1162" s="2971">
        <v>43.77</v>
      </c>
      <c r="H1162" s="2963" t="s">
        <v>3185</v>
      </c>
      <c r="I1162" s="2963" t="s">
        <v>3086</v>
      </c>
    </row>
    <row r="1163" spans="1:9">
      <c r="A1163" s="2963" t="s">
        <v>3328</v>
      </c>
      <c r="B1163" s="2963" t="s">
        <v>4273</v>
      </c>
      <c r="D1163" s="2963">
        <v>1049</v>
      </c>
      <c r="E1163" s="2963" t="s">
        <v>4315</v>
      </c>
      <c r="F1163" s="2966">
        <v>180000</v>
      </c>
      <c r="G1163" s="2971">
        <v>43.77</v>
      </c>
      <c r="H1163" s="2963" t="s">
        <v>3185</v>
      </c>
      <c r="I1163" s="2963" t="s">
        <v>3086</v>
      </c>
    </row>
    <row r="1164" spans="1:9">
      <c r="A1164" s="2963" t="s">
        <v>3328</v>
      </c>
      <c r="B1164" s="2963" t="s">
        <v>4273</v>
      </c>
      <c r="D1164" s="2963">
        <v>1050</v>
      </c>
      <c r="E1164" s="2963" t="s">
        <v>4316</v>
      </c>
      <c r="F1164" s="2966">
        <v>180000</v>
      </c>
      <c r="G1164" s="2971">
        <v>43.77</v>
      </c>
      <c r="H1164" s="2963" t="s">
        <v>3185</v>
      </c>
      <c r="I1164" s="2963" t="s">
        <v>3086</v>
      </c>
    </row>
    <row r="1165" spans="1:9">
      <c r="A1165" s="2963" t="s">
        <v>3328</v>
      </c>
      <c r="B1165" s="2963" t="s">
        <v>4273</v>
      </c>
      <c r="D1165" s="2963">
        <v>1052</v>
      </c>
      <c r="E1165" s="2963" t="s">
        <v>4317</v>
      </c>
      <c r="F1165" s="2966">
        <v>180000</v>
      </c>
      <c r="G1165" s="2971">
        <v>43.77</v>
      </c>
      <c r="H1165" s="2963" t="s">
        <v>3185</v>
      </c>
      <c r="I1165" s="2963" t="s">
        <v>3086</v>
      </c>
    </row>
    <row r="1166" spans="1:9">
      <c r="A1166" s="2963" t="s">
        <v>3328</v>
      </c>
      <c r="B1166" s="2963" t="s">
        <v>4273</v>
      </c>
      <c r="D1166" s="2963">
        <v>1053</v>
      </c>
      <c r="E1166" s="2963" t="s">
        <v>4318</v>
      </c>
      <c r="F1166" s="2966">
        <v>180000</v>
      </c>
      <c r="G1166" s="2971">
        <v>43.77</v>
      </c>
      <c r="H1166" s="2963" t="s">
        <v>3185</v>
      </c>
      <c r="I1166" s="2963" t="s">
        <v>3086</v>
      </c>
    </row>
    <row r="1167" spans="1:9">
      <c r="A1167" s="2963" t="s">
        <v>3328</v>
      </c>
      <c r="B1167" s="2963" t="s">
        <v>4273</v>
      </c>
      <c r="D1167" s="2963">
        <v>1054</v>
      </c>
      <c r="E1167" s="2963" t="s">
        <v>4319</v>
      </c>
      <c r="F1167" s="2966">
        <v>180000</v>
      </c>
      <c r="G1167" s="2971">
        <v>43.77</v>
      </c>
      <c r="H1167" s="2963" t="s">
        <v>3185</v>
      </c>
      <c r="I1167" s="2963" t="s">
        <v>3086</v>
      </c>
    </row>
    <row r="1168" spans="1:9">
      <c r="A1168" s="2963" t="s">
        <v>3328</v>
      </c>
      <c r="B1168" s="2963" t="s">
        <v>4273</v>
      </c>
      <c r="D1168" s="2963">
        <v>1055</v>
      </c>
      <c r="E1168" s="2963" t="s">
        <v>4320</v>
      </c>
      <c r="F1168" s="2966">
        <v>180000</v>
      </c>
      <c r="G1168" s="2971">
        <v>43.77</v>
      </c>
      <c r="H1168" s="2963" t="s">
        <v>3185</v>
      </c>
      <c r="I1168" s="2963" t="s">
        <v>3086</v>
      </c>
    </row>
    <row r="1169" spans="1:9">
      <c r="A1169" s="2963" t="s">
        <v>3328</v>
      </c>
      <c r="B1169" s="2963" t="s">
        <v>4273</v>
      </c>
      <c r="D1169" s="2963">
        <v>1056</v>
      </c>
      <c r="E1169" s="2963" t="s">
        <v>4321</v>
      </c>
      <c r="F1169" s="2966">
        <v>180000</v>
      </c>
      <c r="G1169" s="2971">
        <v>43.77</v>
      </c>
      <c r="H1169" s="2963" t="s">
        <v>3185</v>
      </c>
      <c r="I1169" s="2963" t="s">
        <v>3086</v>
      </c>
    </row>
    <row r="1170" spans="1:9">
      <c r="A1170" s="2963" t="s">
        <v>3328</v>
      </c>
      <c r="B1170" s="2963" t="s">
        <v>4273</v>
      </c>
      <c r="D1170" s="2963">
        <v>1057</v>
      </c>
      <c r="E1170" s="2963" t="s">
        <v>4322</v>
      </c>
      <c r="F1170" s="2966">
        <v>180000</v>
      </c>
      <c r="G1170" s="2971">
        <v>43.77</v>
      </c>
      <c r="H1170" s="2963" t="s">
        <v>3185</v>
      </c>
      <c r="I1170" s="2963" t="s">
        <v>3086</v>
      </c>
    </row>
    <row r="1171" spans="1:9">
      <c r="A1171" s="2963" t="s">
        <v>3328</v>
      </c>
      <c r="B1171" s="2963" t="s">
        <v>4273</v>
      </c>
      <c r="D1171" s="2963">
        <v>1058</v>
      </c>
      <c r="E1171" s="2963" t="s">
        <v>4323</v>
      </c>
      <c r="F1171" s="2966">
        <v>180000</v>
      </c>
      <c r="G1171" s="2971">
        <v>43.77</v>
      </c>
      <c r="H1171" s="2963" t="s">
        <v>3185</v>
      </c>
      <c r="I1171" s="2963" t="s">
        <v>3086</v>
      </c>
    </row>
    <row r="1172" spans="1:9">
      <c r="A1172" s="2963" t="s">
        <v>3328</v>
      </c>
      <c r="B1172" s="2963" t="s">
        <v>4273</v>
      </c>
      <c r="D1172" s="2963">
        <v>1059</v>
      </c>
      <c r="E1172" s="2963" t="s">
        <v>4324</v>
      </c>
      <c r="F1172" s="2966">
        <v>180000</v>
      </c>
      <c r="G1172" s="2971">
        <v>43.77</v>
      </c>
      <c r="H1172" s="2963" t="s">
        <v>3185</v>
      </c>
      <c r="I1172" s="2963" t="s">
        <v>3086</v>
      </c>
    </row>
    <row r="1173" spans="1:9">
      <c r="A1173" s="2963" t="s">
        <v>3328</v>
      </c>
      <c r="B1173" s="2963" t="s">
        <v>4273</v>
      </c>
      <c r="D1173" s="2963">
        <v>1060</v>
      </c>
      <c r="E1173" s="2963" t="s">
        <v>4325</v>
      </c>
      <c r="F1173" s="2966">
        <v>180000</v>
      </c>
      <c r="G1173" s="2971">
        <v>43.77</v>
      </c>
      <c r="H1173" s="2963" t="s">
        <v>3185</v>
      </c>
      <c r="I1173" s="2963" t="s">
        <v>3086</v>
      </c>
    </row>
    <row r="1174" spans="1:9">
      <c r="A1174" s="2963" t="s">
        <v>3328</v>
      </c>
      <c r="B1174" s="2963" t="s">
        <v>4273</v>
      </c>
      <c r="D1174" s="2963">
        <v>1061</v>
      </c>
      <c r="E1174" s="2963" t="s">
        <v>4326</v>
      </c>
      <c r="F1174" s="2966">
        <v>180000</v>
      </c>
      <c r="G1174" s="2971">
        <v>43.77</v>
      </c>
      <c r="H1174" s="2963" t="s">
        <v>3185</v>
      </c>
      <c r="I1174" s="2963" t="s">
        <v>3086</v>
      </c>
    </row>
    <row r="1175" spans="1:9">
      <c r="A1175" s="2963" t="s">
        <v>3328</v>
      </c>
      <c r="B1175" s="2963" t="s">
        <v>4273</v>
      </c>
      <c r="D1175" s="2963">
        <v>1062</v>
      </c>
      <c r="E1175" s="2963" t="s">
        <v>4327</v>
      </c>
      <c r="F1175" s="2966">
        <v>180000</v>
      </c>
      <c r="G1175" s="2971">
        <v>43.77</v>
      </c>
      <c r="H1175" s="2963" t="s">
        <v>3185</v>
      </c>
      <c r="I1175" s="2963" t="s">
        <v>3086</v>
      </c>
    </row>
    <row r="1176" spans="1:9">
      <c r="A1176" s="2963" t="s">
        <v>3328</v>
      </c>
      <c r="B1176" s="2963" t="s">
        <v>4273</v>
      </c>
      <c r="D1176" s="2963">
        <v>1063</v>
      </c>
      <c r="E1176" s="2963" t="s">
        <v>4328</v>
      </c>
      <c r="F1176" s="2966">
        <v>180000</v>
      </c>
      <c r="G1176" s="2971">
        <v>43.77</v>
      </c>
      <c r="H1176" s="2963" t="s">
        <v>3185</v>
      </c>
      <c r="I1176" s="2963" t="s">
        <v>3086</v>
      </c>
    </row>
    <row r="1177" spans="1:9">
      <c r="A1177" s="2963" t="s">
        <v>3328</v>
      </c>
      <c r="B1177" s="2963" t="s">
        <v>4273</v>
      </c>
      <c r="D1177" s="2963">
        <v>1064</v>
      </c>
      <c r="E1177" s="2963" t="s">
        <v>4329</v>
      </c>
      <c r="F1177" s="2966">
        <v>180000</v>
      </c>
      <c r="G1177" s="2971">
        <v>43.77</v>
      </c>
      <c r="H1177" s="2963" t="s">
        <v>3185</v>
      </c>
      <c r="I1177" s="2963" t="s">
        <v>3086</v>
      </c>
    </row>
    <row r="1178" spans="1:9">
      <c r="A1178" s="2963" t="s">
        <v>3328</v>
      </c>
      <c r="B1178" s="2963" t="s">
        <v>4273</v>
      </c>
      <c r="D1178" s="2963">
        <v>1065</v>
      </c>
      <c r="E1178" s="2963" t="s">
        <v>4330</v>
      </c>
      <c r="F1178" s="2966">
        <v>180000</v>
      </c>
      <c r="G1178" s="2971">
        <v>43.77</v>
      </c>
      <c r="H1178" s="2963" t="s">
        <v>3185</v>
      </c>
      <c r="I1178" s="2963" t="s">
        <v>3086</v>
      </c>
    </row>
    <row r="1179" spans="1:9">
      <c r="A1179" s="2963" t="s">
        <v>3328</v>
      </c>
      <c r="B1179" s="2963" t="s">
        <v>4273</v>
      </c>
      <c r="D1179" s="2963">
        <v>1066</v>
      </c>
      <c r="E1179" s="2963" t="s">
        <v>4331</v>
      </c>
      <c r="F1179" s="2966">
        <v>180000</v>
      </c>
      <c r="G1179" s="2971">
        <v>43.77</v>
      </c>
      <c r="H1179" s="2963" t="s">
        <v>3185</v>
      </c>
      <c r="I1179" s="2963" t="s">
        <v>3086</v>
      </c>
    </row>
    <row r="1180" spans="1:9">
      <c r="A1180" s="2963" t="s">
        <v>3328</v>
      </c>
      <c r="B1180" s="2963" t="s">
        <v>4273</v>
      </c>
      <c r="D1180" s="2963">
        <v>1068</v>
      </c>
      <c r="E1180" s="2963" t="s">
        <v>4332</v>
      </c>
      <c r="F1180" s="2966">
        <v>180000</v>
      </c>
      <c r="G1180" s="2971">
        <v>43.77</v>
      </c>
      <c r="H1180" s="2963" t="s">
        <v>3185</v>
      </c>
      <c r="I1180" s="2963" t="s">
        <v>3086</v>
      </c>
    </row>
    <row r="1181" spans="1:9">
      <c r="A1181" s="2963" t="s">
        <v>3328</v>
      </c>
      <c r="B1181" s="2963" t="s">
        <v>4273</v>
      </c>
      <c r="D1181" s="2963">
        <v>1069</v>
      </c>
      <c r="E1181" s="2963" t="s">
        <v>4333</v>
      </c>
      <c r="F1181" s="2966">
        <v>180000</v>
      </c>
      <c r="G1181" s="2971">
        <v>43.77</v>
      </c>
      <c r="H1181" s="2963" t="s">
        <v>3185</v>
      </c>
      <c r="I1181" s="2963" t="s">
        <v>3086</v>
      </c>
    </row>
    <row r="1182" spans="1:9">
      <c r="A1182" s="2963" t="s">
        <v>3328</v>
      </c>
      <c r="B1182" s="2963" t="s">
        <v>4273</v>
      </c>
      <c r="D1182" s="2963">
        <v>1070</v>
      </c>
      <c r="E1182" s="2963" t="s">
        <v>4334</v>
      </c>
      <c r="F1182" s="2966">
        <v>180000</v>
      </c>
      <c r="G1182" s="2971">
        <v>43.77</v>
      </c>
      <c r="H1182" s="2963" t="s">
        <v>3185</v>
      </c>
      <c r="I1182" s="2963" t="s">
        <v>3086</v>
      </c>
    </row>
    <row r="1183" spans="1:9">
      <c r="A1183" s="2963" t="s">
        <v>3328</v>
      </c>
      <c r="B1183" s="2963" t="s">
        <v>4273</v>
      </c>
      <c r="D1183" s="2963">
        <v>1071</v>
      </c>
      <c r="E1183" s="2963" t="s">
        <v>4335</v>
      </c>
      <c r="F1183" s="2966">
        <v>180000</v>
      </c>
      <c r="G1183" s="2971">
        <v>43.77</v>
      </c>
      <c r="H1183" s="2963" t="s">
        <v>3185</v>
      </c>
      <c r="I1183" s="2963" t="s">
        <v>3086</v>
      </c>
    </row>
    <row r="1184" spans="1:9">
      <c r="A1184" s="2963" t="s">
        <v>3328</v>
      </c>
      <c r="B1184" s="2963" t="s">
        <v>4273</v>
      </c>
      <c r="D1184" s="2963">
        <v>1072</v>
      </c>
      <c r="E1184" s="2963" t="s">
        <v>4336</v>
      </c>
      <c r="F1184" s="2966">
        <v>180000</v>
      </c>
      <c r="G1184" s="2971">
        <v>43.77</v>
      </c>
      <c r="H1184" s="2963" t="s">
        <v>3185</v>
      </c>
      <c r="I1184" s="2963" t="s">
        <v>3086</v>
      </c>
    </row>
    <row r="1185" spans="1:9">
      <c r="A1185" s="2963" t="s">
        <v>3328</v>
      </c>
      <c r="B1185" s="2963" t="s">
        <v>4273</v>
      </c>
      <c r="D1185" s="2963">
        <v>1073</v>
      </c>
      <c r="E1185" s="2963" t="s">
        <v>4337</v>
      </c>
      <c r="F1185" s="2966">
        <v>180000</v>
      </c>
      <c r="G1185" s="2971">
        <v>43.77</v>
      </c>
      <c r="H1185" s="2963" t="s">
        <v>3185</v>
      </c>
      <c r="I1185" s="2963" t="s">
        <v>3086</v>
      </c>
    </row>
    <row r="1186" spans="1:9">
      <c r="A1186" s="2963" t="s">
        <v>3328</v>
      </c>
      <c r="B1186" s="2963" t="s">
        <v>4273</v>
      </c>
      <c r="D1186" s="2963">
        <v>1074</v>
      </c>
      <c r="E1186" s="2963" t="s">
        <v>4338</v>
      </c>
      <c r="F1186" s="2966">
        <v>180000</v>
      </c>
      <c r="G1186" s="2971">
        <v>43.77</v>
      </c>
      <c r="H1186" s="2963" t="s">
        <v>3185</v>
      </c>
      <c r="I1186" s="2963" t="s">
        <v>3086</v>
      </c>
    </row>
    <row r="1187" spans="1:9">
      <c r="A1187" s="2963" t="s">
        <v>3328</v>
      </c>
      <c r="B1187" s="2963" t="s">
        <v>4273</v>
      </c>
      <c r="D1187" s="2963">
        <v>1075</v>
      </c>
      <c r="E1187" s="2963" t="s">
        <v>4339</v>
      </c>
      <c r="F1187" s="2966">
        <v>180000</v>
      </c>
      <c r="G1187" s="2971">
        <v>43.77</v>
      </c>
      <c r="H1187" s="2963" t="s">
        <v>3185</v>
      </c>
      <c r="I1187" s="2963" t="s">
        <v>3086</v>
      </c>
    </row>
    <row r="1188" spans="1:9">
      <c r="A1188" s="2963" t="s">
        <v>3328</v>
      </c>
      <c r="B1188" s="2963" t="s">
        <v>4273</v>
      </c>
      <c r="D1188" s="2963">
        <v>1076</v>
      </c>
      <c r="E1188" s="2963" t="s">
        <v>4340</v>
      </c>
      <c r="F1188" s="2966">
        <v>180000</v>
      </c>
      <c r="G1188" s="2971">
        <v>43.77</v>
      </c>
      <c r="H1188" s="2963" t="s">
        <v>3185</v>
      </c>
      <c r="I1188" s="2963" t="s">
        <v>3086</v>
      </c>
    </row>
    <row r="1189" spans="1:9">
      <c r="A1189" s="2963" t="s">
        <v>3328</v>
      </c>
      <c r="B1189" s="2963" t="s">
        <v>4273</v>
      </c>
      <c r="D1189" s="2963">
        <v>1077</v>
      </c>
      <c r="E1189" s="2963" t="s">
        <v>4341</v>
      </c>
      <c r="F1189" s="2966">
        <v>180000</v>
      </c>
      <c r="G1189" s="2971">
        <v>43.77</v>
      </c>
      <c r="H1189" s="2963" t="s">
        <v>3185</v>
      </c>
      <c r="I1189" s="2963" t="s">
        <v>3086</v>
      </c>
    </row>
    <row r="1190" spans="1:9">
      <c r="A1190" s="2963" t="s">
        <v>3328</v>
      </c>
      <c r="B1190" s="2963" t="s">
        <v>4273</v>
      </c>
      <c r="D1190" s="2963">
        <v>1078</v>
      </c>
      <c r="E1190" s="2963" t="s">
        <v>4342</v>
      </c>
      <c r="F1190" s="2966">
        <v>180000</v>
      </c>
      <c r="G1190" s="2971">
        <v>43.77</v>
      </c>
      <c r="H1190" s="2963" t="s">
        <v>3185</v>
      </c>
      <c r="I1190" s="2963" t="s">
        <v>3086</v>
      </c>
    </row>
    <row r="1191" spans="1:9">
      <c r="A1191" s="2963" t="s">
        <v>3328</v>
      </c>
      <c r="B1191" s="2963" t="s">
        <v>4273</v>
      </c>
      <c r="D1191" s="2963">
        <v>1079</v>
      </c>
      <c r="E1191" s="2963" t="s">
        <v>4343</v>
      </c>
      <c r="F1191" s="2966">
        <v>180000</v>
      </c>
      <c r="G1191" s="2971">
        <v>43.77</v>
      </c>
      <c r="H1191" s="2963" t="s">
        <v>3185</v>
      </c>
      <c r="I1191" s="2963" t="s">
        <v>3086</v>
      </c>
    </row>
    <row r="1192" spans="1:9">
      <c r="A1192" s="2963" t="s">
        <v>3328</v>
      </c>
      <c r="B1192" s="2963" t="s">
        <v>4273</v>
      </c>
      <c r="D1192" s="2963">
        <v>1080</v>
      </c>
      <c r="E1192" s="2963" t="s">
        <v>4344</v>
      </c>
      <c r="F1192" s="2966">
        <v>180000</v>
      </c>
      <c r="G1192" s="2971">
        <v>43.77</v>
      </c>
      <c r="H1192" s="2963" t="s">
        <v>3185</v>
      </c>
      <c r="I1192" s="2963" t="s">
        <v>3086</v>
      </c>
    </row>
    <row r="1193" spans="1:9">
      <c r="A1193" s="2963" t="s">
        <v>3328</v>
      </c>
      <c r="B1193" s="2963" t="s">
        <v>4273</v>
      </c>
      <c r="D1193" s="2963">
        <v>1082</v>
      </c>
      <c r="E1193" s="2963" t="s">
        <v>4345</v>
      </c>
      <c r="F1193" s="2966">
        <v>180000</v>
      </c>
      <c r="G1193" s="2971">
        <v>43.77</v>
      </c>
      <c r="H1193" s="2963" t="s">
        <v>3185</v>
      </c>
      <c r="I1193" s="2963" t="s">
        <v>3086</v>
      </c>
    </row>
    <row r="1194" spans="1:9">
      <c r="A1194" s="2963" t="s">
        <v>3328</v>
      </c>
      <c r="B1194" s="2963" t="s">
        <v>4273</v>
      </c>
      <c r="D1194" s="2963">
        <v>1083</v>
      </c>
      <c r="E1194" s="2963" t="s">
        <v>4346</v>
      </c>
      <c r="F1194" s="2966">
        <v>180000</v>
      </c>
      <c r="G1194" s="2971">
        <v>43.77</v>
      </c>
      <c r="H1194" s="2963" t="s">
        <v>3185</v>
      </c>
      <c r="I1194" s="2963" t="s">
        <v>3086</v>
      </c>
    </row>
    <row r="1195" spans="1:9">
      <c r="A1195" s="2963" t="s">
        <v>3328</v>
      </c>
      <c r="B1195" s="2963" t="s">
        <v>4273</v>
      </c>
      <c r="D1195" s="2963">
        <v>1084</v>
      </c>
      <c r="E1195" s="2963" t="s">
        <v>4347</v>
      </c>
      <c r="F1195" s="2966">
        <v>180000</v>
      </c>
      <c r="G1195" s="2971">
        <v>43.77</v>
      </c>
      <c r="H1195" s="2963" t="s">
        <v>3185</v>
      </c>
      <c r="I1195" s="2963" t="s">
        <v>3086</v>
      </c>
    </row>
    <row r="1196" spans="1:9">
      <c r="A1196" s="2963" t="s">
        <v>3328</v>
      </c>
      <c r="B1196" s="2963" t="s">
        <v>4273</v>
      </c>
      <c r="D1196" s="2963">
        <v>1085</v>
      </c>
      <c r="E1196" s="2963" t="s">
        <v>4348</v>
      </c>
      <c r="F1196" s="2966">
        <v>300000</v>
      </c>
      <c r="G1196" s="2971">
        <v>87.54</v>
      </c>
      <c r="H1196" s="2963" t="s">
        <v>3185</v>
      </c>
      <c r="I1196" s="2963" t="s">
        <v>3086</v>
      </c>
    </row>
    <row r="1197" spans="1:9">
      <c r="A1197" s="2963" t="s">
        <v>3328</v>
      </c>
      <c r="B1197" s="2963" t="s">
        <v>4273</v>
      </c>
      <c r="D1197" s="2963">
        <v>1088</v>
      </c>
      <c r="E1197" s="2963" t="s">
        <v>4349</v>
      </c>
      <c r="F1197" s="2966">
        <v>180000</v>
      </c>
      <c r="G1197" s="2971">
        <v>43.77</v>
      </c>
      <c r="H1197" s="2963" t="s">
        <v>3185</v>
      </c>
      <c r="I1197" s="2963" t="s">
        <v>3086</v>
      </c>
    </row>
    <row r="1198" spans="1:9">
      <c r="A1198" s="2963" t="s">
        <v>3328</v>
      </c>
      <c r="B1198" s="2963" t="s">
        <v>4273</v>
      </c>
      <c r="D1198" s="2963">
        <v>1089</v>
      </c>
      <c r="E1198" s="2963" t="s">
        <v>4350</v>
      </c>
      <c r="F1198" s="2966">
        <v>180000</v>
      </c>
      <c r="G1198" s="2971">
        <v>43.77</v>
      </c>
      <c r="H1198" s="2963" t="s">
        <v>3185</v>
      </c>
      <c r="I1198" s="2963" t="s">
        <v>3086</v>
      </c>
    </row>
    <row r="1199" spans="1:9">
      <c r="A1199" s="2963" t="s">
        <v>3328</v>
      </c>
      <c r="B1199" s="2963" t="s">
        <v>4273</v>
      </c>
      <c r="D1199" s="2963">
        <v>1090</v>
      </c>
      <c r="E1199" s="2963" t="s">
        <v>4351</v>
      </c>
      <c r="F1199" s="2966">
        <v>180000</v>
      </c>
      <c r="G1199" s="2971">
        <v>43.77</v>
      </c>
      <c r="H1199" s="2963" t="s">
        <v>3185</v>
      </c>
      <c r="I1199" s="2963" t="s">
        <v>3086</v>
      </c>
    </row>
    <row r="1200" spans="1:9">
      <c r="A1200" s="2963" t="s">
        <v>3328</v>
      </c>
      <c r="B1200" s="2963" t="s">
        <v>4273</v>
      </c>
      <c r="D1200" s="2963">
        <v>1091</v>
      </c>
      <c r="E1200" s="2963" t="s">
        <v>4352</v>
      </c>
      <c r="F1200" s="2966">
        <v>180000</v>
      </c>
      <c r="G1200" s="2971">
        <v>43.77</v>
      </c>
      <c r="H1200" s="2963" t="s">
        <v>3185</v>
      </c>
      <c r="I1200" s="2963" t="s">
        <v>3086</v>
      </c>
    </row>
    <row r="1201" spans="1:9">
      <c r="A1201" s="2963" t="s">
        <v>3328</v>
      </c>
      <c r="B1201" s="2963" t="s">
        <v>4273</v>
      </c>
      <c r="D1201" s="2963">
        <v>1092</v>
      </c>
      <c r="E1201" s="2963" t="s">
        <v>4353</v>
      </c>
      <c r="F1201" s="2966">
        <v>180000</v>
      </c>
      <c r="G1201" s="2971">
        <v>43.77</v>
      </c>
      <c r="H1201" s="2963" t="s">
        <v>3185</v>
      </c>
      <c r="I1201" s="2963" t="s">
        <v>3086</v>
      </c>
    </row>
    <row r="1202" spans="1:9">
      <c r="A1202" s="2963" t="s">
        <v>3328</v>
      </c>
      <c r="B1202" s="2963" t="s">
        <v>4273</v>
      </c>
      <c r="D1202" s="2963">
        <v>1093</v>
      </c>
      <c r="E1202" s="2963" t="s">
        <v>4354</v>
      </c>
      <c r="F1202" s="2966">
        <v>180000</v>
      </c>
      <c r="G1202" s="2971">
        <v>43.77</v>
      </c>
      <c r="H1202" s="2963" t="s">
        <v>3185</v>
      </c>
      <c r="I1202" s="2963" t="s">
        <v>3086</v>
      </c>
    </row>
    <row r="1203" spans="1:9">
      <c r="A1203" s="2963" t="s">
        <v>3328</v>
      </c>
      <c r="B1203" s="2963" t="s">
        <v>4273</v>
      </c>
      <c r="D1203" s="2963">
        <v>2001</v>
      </c>
      <c r="E1203" s="2963" t="s">
        <v>4355</v>
      </c>
      <c r="F1203" s="2966">
        <v>170000</v>
      </c>
      <c r="G1203" s="2971">
        <v>43.77</v>
      </c>
      <c r="H1203" s="2963" t="s">
        <v>3185</v>
      </c>
      <c r="I1203" s="2963" t="s">
        <v>3086</v>
      </c>
    </row>
    <row r="1204" spans="1:9">
      <c r="A1204" s="2963" t="s">
        <v>3328</v>
      </c>
      <c r="B1204" s="2963" t="s">
        <v>4273</v>
      </c>
      <c r="D1204" s="2963">
        <v>2002</v>
      </c>
      <c r="E1204" s="2963" t="s">
        <v>4356</v>
      </c>
      <c r="F1204" s="2966">
        <v>170000</v>
      </c>
      <c r="G1204" s="2971">
        <v>43.77</v>
      </c>
      <c r="H1204" s="2963" t="s">
        <v>3185</v>
      </c>
      <c r="I1204" s="2963" t="s">
        <v>3086</v>
      </c>
    </row>
    <row r="1205" spans="1:9">
      <c r="A1205" s="2963" t="s">
        <v>3328</v>
      </c>
      <c r="B1205" s="2963" t="s">
        <v>4273</v>
      </c>
      <c r="D1205" s="2963">
        <v>2003</v>
      </c>
      <c r="E1205" s="2963" t="s">
        <v>4357</v>
      </c>
      <c r="F1205" s="2966">
        <v>170000</v>
      </c>
      <c r="G1205" s="2971">
        <v>43.77</v>
      </c>
      <c r="H1205" s="2963" t="s">
        <v>3185</v>
      </c>
      <c r="I1205" s="2963" t="s">
        <v>3086</v>
      </c>
    </row>
    <row r="1206" spans="1:9">
      <c r="A1206" s="2963" t="s">
        <v>3328</v>
      </c>
      <c r="B1206" s="2963" t="s">
        <v>4273</v>
      </c>
      <c r="D1206" s="2963">
        <v>2004</v>
      </c>
      <c r="E1206" s="2963" t="s">
        <v>4358</v>
      </c>
      <c r="F1206" s="2966">
        <v>170000</v>
      </c>
      <c r="G1206" s="2971">
        <v>43.77</v>
      </c>
      <c r="H1206" s="2963" t="s">
        <v>3185</v>
      </c>
      <c r="I1206" s="2963" t="s">
        <v>3086</v>
      </c>
    </row>
    <row r="1207" spans="1:9">
      <c r="A1207" s="2963" t="s">
        <v>3328</v>
      </c>
      <c r="B1207" s="2963" t="s">
        <v>4273</v>
      </c>
      <c r="D1207" s="2963">
        <v>2005</v>
      </c>
      <c r="E1207" s="2963" t="s">
        <v>4359</v>
      </c>
      <c r="F1207" s="2966">
        <v>170000</v>
      </c>
      <c r="G1207" s="2971">
        <v>43.77</v>
      </c>
      <c r="H1207" s="2963" t="s">
        <v>3185</v>
      </c>
      <c r="I1207" s="2963" t="s">
        <v>3086</v>
      </c>
    </row>
    <row r="1208" spans="1:9">
      <c r="A1208" s="2963" t="s">
        <v>3328</v>
      </c>
      <c r="B1208" s="2963" t="s">
        <v>4273</v>
      </c>
      <c r="D1208" s="2963">
        <v>2006</v>
      </c>
      <c r="E1208" s="2963" t="s">
        <v>4360</v>
      </c>
      <c r="F1208" s="2966">
        <v>170000</v>
      </c>
      <c r="G1208" s="2971">
        <v>43.77</v>
      </c>
      <c r="H1208" s="2963" t="s">
        <v>3185</v>
      </c>
      <c r="I1208" s="2963" t="s">
        <v>3086</v>
      </c>
    </row>
    <row r="1209" spans="1:9">
      <c r="A1209" s="2963" t="s">
        <v>3328</v>
      </c>
      <c r="B1209" s="2963" t="s">
        <v>4273</v>
      </c>
      <c r="D1209" s="2963">
        <v>2007</v>
      </c>
      <c r="E1209" s="2963" t="s">
        <v>4361</v>
      </c>
      <c r="F1209" s="2966">
        <v>170000</v>
      </c>
      <c r="G1209" s="2971">
        <v>43.77</v>
      </c>
      <c r="H1209" s="2963" t="s">
        <v>3185</v>
      </c>
      <c r="I1209" s="2963" t="s">
        <v>3086</v>
      </c>
    </row>
    <row r="1210" spans="1:9">
      <c r="A1210" s="2963" t="s">
        <v>3328</v>
      </c>
      <c r="B1210" s="2963" t="s">
        <v>4273</v>
      </c>
      <c r="D1210" s="2963">
        <v>2009</v>
      </c>
      <c r="E1210" s="2963" t="s">
        <v>4362</v>
      </c>
      <c r="F1210" s="2966">
        <v>170000</v>
      </c>
      <c r="G1210" s="2971">
        <v>43.77</v>
      </c>
      <c r="H1210" s="2963" t="s">
        <v>3185</v>
      </c>
      <c r="I1210" s="2963" t="s">
        <v>3086</v>
      </c>
    </row>
    <row r="1211" spans="1:9">
      <c r="A1211" s="2963" t="s">
        <v>3328</v>
      </c>
      <c r="B1211" s="2963" t="s">
        <v>4273</v>
      </c>
      <c r="D1211" s="2963">
        <v>2010</v>
      </c>
      <c r="E1211" s="2963" t="s">
        <v>4363</v>
      </c>
      <c r="F1211" s="2966">
        <v>170000</v>
      </c>
      <c r="G1211" s="2971">
        <v>43.77</v>
      </c>
      <c r="H1211" s="2963" t="s">
        <v>3185</v>
      </c>
      <c r="I1211" s="2963" t="s">
        <v>3086</v>
      </c>
    </row>
    <row r="1212" spans="1:9">
      <c r="A1212" s="2963" t="s">
        <v>3328</v>
      </c>
      <c r="B1212" s="2963" t="s">
        <v>4273</v>
      </c>
      <c r="D1212" s="2963">
        <v>2011</v>
      </c>
      <c r="E1212" s="2963" t="s">
        <v>4364</v>
      </c>
      <c r="F1212" s="2966">
        <v>170000</v>
      </c>
      <c r="G1212" s="2971">
        <v>43.77</v>
      </c>
      <c r="H1212" s="2963" t="s">
        <v>3185</v>
      </c>
      <c r="I1212" s="2963" t="s">
        <v>3086</v>
      </c>
    </row>
    <row r="1213" spans="1:9">
      <c r="A1213" s="2963" t="s">
        <v>3328</v>
      </c>
      <c r="B1213" s="2963" t="s">
        <v>4273</v>
      </c>
      <c r="D1213" s="2963">
        <v>2012</v>
      </c>
      <c r="E1213" s="2963" t="s">
        <v>4365</v>
      </c>
      <c r="F1213" s="2966">
        <v>170000</v>
      </c>
      <c r="G1213" s="2971">
        <v>43.77</v>
      </c>
      <c r="H1213" s="2963" t="s">
        <v>3185</v>
      </c>
      <c r="I1213" s="2963" t="s">
        <v>3086</v>
      </c>
    </row>
    <row r="1214" spans="1:9">
      <c r="A1214" s="2963" t="s">
        <v>3328</v>
      </c>
      <c r="B1214" s="2963" t="s">
        <v>4273</v>
      </c>
      <c r="D1214" s="2963">
        <v>2013</v>
      </c>
      <c r="E1214" s="2963" t="s">
        <v>4366</v>
      </c>
      <c r="F1214" s="2966">
        <v>170000</v>
      </c>
      <c r="G1214" s="2971">
        <v>43.77</v>
      </c>
      <c r="H1214" s="2963" t="s">
        <v>3185</v>
      </c>
      <c r="I1214" s="2963" t="s">
        <v>3086</v>
      </c>
    </row>
    <row r="1215" spans="1:9">
      <c r="A1215" s="2963" t="s">
        <v>3328</v>
      </c>
      <c r="B1215" s="2963" t="s">
        <v>4273</v>
      </c>
      <c r="D1215" s="2963">
        <v>2014</v>
      </c>
      <c r="E1215" s="2963" t="s">
        <v>4367</v>
      </c>
      <c r="F1215" s="2966">
        <v>170000</v>
      </c>
      <c r="G1215" s="2971">
        <v>43.77</v>
      </c>
      <c r="H1215" s="2963" t="s">
        <v>3185</v>
      </c>
      <c r="I1215" s="2963" t="s">
        <v>3086</v>
      </c>
    </row>
    <row r="1216" spans="1:9">
      <c r="A1216" s="2963" t="s">
        <v>3328</v>
      </c>
      <c r="B1216" s="2963" t="s">
        <v>4273</v>
      </c>
      <c r="D1216" s="2963">
        <v>2015</v>
      </c>
      <c r="E1216" s="2963" t="s">
        <v>4368</v>
      </c>
      <c r="F1216" s="2966">
        <v>170000</v>
      </c>
      <c r="G1216" s="2971">
        <v>43.77</v>
      </c>
      <c r="H1216" s="2963" t="s">
        <v>3185</v>
      </c>
      <c r="I1216" s="2963" t="s">
        <v>3086</v>
      </c>
    </row>
    <row r="1217" spans="1:9">
      <c r="A1217" s="2963" t="s">
        <v>3328</v>
      </c>
      <c r="B1217" s="2963" t="s">
        <v>4273</v>
      </c>
      <c r="D1217" s="2963">
        <v>2016</v>
      </c>
      <c r="E1217" s="2963" t="s">
        <v>4369</v>
      </c>
      <c r="F1217" s="2966">
        <v>170000</v>
      </c>
      <c r="G1217" s="2971">
        <v>43.77</v>
      </c>
      <c r="H1217" s="2963" t="s">
        <v>3185</v>
      </c>
      <c r="I1217" s="2963" t="s">
        <v>3086</v>
      </c>
    </row>
    <row r="1218" spans="1:9">
      <c r="A1218" s="2963" t="s">
        <v>3328</v>
      </c>
      <c r="B1218" s="2963" t="s">
        <v>4273</v>
      </c>
      <c r="D1218" s="2963">
        <v>2017</v>
      </c>
      <c r="E1218" s="2963" t="s">
        <v>4370</v>
      </c>
      <c r="F1218" s="2966">
        <v>170000</v>
      </c>
      <c r="G1218" s="2971">
        <v>43.77</v>
      </c>
      <c r="H1218" s="2963" t="s">
        <v>3185</v>
      </c>
      <c r="I1218" s="2963" t="s">
        <v>3086</v>
      </c>
    </row>
    <row r="1219" spans="1:9">
      <c r="A1219" s="2963" t="s">
        <v>3328</v>
      </c>
      <c r="B1219" s="2963" t="s">
        <v>4273</v>
      </c>
      <c r="D1219" s="2963">
        <v>2018</v>
      </c>
      <c r="E1219" s="2963" t="s">
        <v>4371</v>
      </c>
      <c r="F1219" s="2966">
        <v>170000</v>
      </c>
      <c r="G1219" s="2971">
        <v>43.77</v>
      </c>
      <c r="H1219" s="2963" t="s">
        <v>3185</v>
      </c>
      <c r="I1219" s="2963" t="s">
        <v>3086</v>
      </c>
    </row>
    <row r="1220" spans="1:9">
      <c r="A1220" s="2963" t="s">
        <v>3328</v>
      </c>
      <c r="B1220" s="2963" t="s">
        <v>4273</v>
      </c>
      <c r="D1220" s="2963">
        <v>2019</v>
      </c>
      <c r="E1220" s="2963" t="s">
        <v>4372</v>
      </c>
      <c r="F1220" s="2966">
        <v>170000</v>
      </c>
      <c r="G1220" s="2971">
        <v>43.77</v>
      </c>
      <c r="H1220" s="2963" t="s">
        <v>3185</v>
      </c>
      <c r="I1220" s="2963" t="s">
        <v>3086</v>
      </c>
    </row>
    <row r="1221" spans="1:9">
      <c r="A1221" s="2963" t="s">
        <v>3328</v>
      </c>
      <c r="B1221" s="2963" t="s">
        <v>4273</v>
      </c>
      <c r="D1221" s="2963">
        <v>2020</v>
      </c>
      <c r="E1221" s="2963" t="s">
        <v>4373</v>
      </c>
      <c r="F1221" s="2966">
        <v>170000</v>
      </c>
      <c r="G1221" s="2971">
        <v>43.77</v>
      </c>
      <c r="H1221" s="2963" t="s">
        <v>3185</v>
      </c>
      <c r="I1221" s="2963" t="s">
        <v>3086</v>
      </c>
    </row>
    <row r="1222" spans="1:9">
      <c r="A1222" s="2963" t="s">
        <v>3328</v>
      </c>
      <c r="B1222" s="2963" t="s">
        <v>4273</v>
      </c>
      <c r="D1222" s="2963">
        <v>2021</v>
      </c>
      <c r="E1222" s="2963" t="s">
        <v>4374</v>
      </c>
      <c r="F1222" s="2966">
        <v>170000</v>
      </c>
      <c r="G1222" s="2971">
        <v>43.77</v>
      </c>
      <c r="H1222" s="2963" t="s">
        <v>3185</v>
      </c>
      <c r="I1222" s="2963" t="s">
        <v>3086</v>
      </c>
    </row>
    <row r="1223" spans="1:9">
      <c r="A1223" s="2963" t="s">
        <v>3328</v>
      </c>
      <c r="B1223" s="2963" t="s">
        <v>4273</v>
      </c>
      <c r="D1223" s="2963">
        <v>2022</v>
      </c>
      <c r="E1223" s="2963" t="s">
        <v>4375</v>
      </c>
      <c r="F1223" s="2966">
        <v>170000</v>
      </c>
      <c r="G1223" s="2971">
        <v>43.77</v>
      </c>
      <c r="H1223" s="2963" t="s">
        <v>3185</v>
      </c>
      <c r="I1223" s="2963" t="s">
        <v>3086</v>
      </c>
    </row>
    <row r="1224" spans="1:9">
      <c r="A1224" s="2963" t="s">
        <v>3328</v>
      </c>
      <c r="B1224" s="2963" t="s">
        <v>4273</v>
      </c>
      <c r="D1224" s="2963">
        <v>2023</v>
      </c>
      <c r="E1224" s="2963" t="s">
        <v>4376</v>
      </c>
      <c r="F1224" s="2966">
        <v>170000</v>
      </c>
      <c r="G1224" s="2971">
        <v>43.77</v>
      </c>
      <c r="H1224" s="2963" t="s">
        <v>3185</v>
      </c>
      <c r="I1224" s="2963" t="s">
        <v>3086</v>
      </c>
    </row>
    <row r="1225" spans="1:9">
      <c r="A1225" s="2963" t="s">
        <v>3328</v>
      </c>
      <c r="B1225" s="2963" t="s">
        <v>4273</v>
      </c>
      <c r="D1225" s="2963">
        <v>2024</v>
      </c>
      <c r="E1225" s="2963" t="s">
        <v>4377</v>
      </c>
      <c r="F1225" s="2966">
        <v>170000</v>
      </c>
      <c r="G1225" s="2971">
        <v>43.77</v>
      </c>
      <c r="H1225" s="2963" t="s">
        <v>3185</v>
      </c>
      <c r="I1225" s="2963" t="s">
        <v>3086</v>
      </c>
    </row>
    <row r="1226" spans="1:9">
      <c r="A1226" s="2963" t="s">
        <v>3328</v>
      </c>
      <c r="B1226" s="2963" t="s">
        <v>4273</v>
      </c>
      <c r="D1226" s="2963">
        <v>2025</v>
      </c>
      <c r="E1226" s="2963" t="s">
        <v>4378</v>
      </c>
      <c r="F1226" s="2966">
        <v>170000</v>
      </c>
      <c r="G1226" s="2971">
        <v>43.77</v>
      </c>
      <c r="H1226" s="2963" t="s">
        <v>3185</v>
      </c>
      <c r="I1226" s="2963" t="s">
        <v>3086</v>
      </c>
    </row>
    <row r="1227" spans="1:9">
      <c r="A1227" s="2963" t="s">
        <v>3328</v>
      </c>
      <c r="B1227" s="2963" t="s">
        <v>4273</v>
      </c>
      <c r="D1227" s="2963">
        <v>2026</v>
      </c>
      <c r="E1227" s="2963" t="s">
        <v>4379</v>
      </c>
      <c r="F1227" s="2966">
        <v>170000</v>
      </c>
      <c r="G1227" s="2971">
        <v>43.77</v>
      </c>
      <c r="H1227" s="2963" t="s">
        <v>3185</v>
      </c>
      <c r="I1227" s="2963" t="s">
        <v>3086</v>
      </c>
    </row>
    <row r="1228" spans="1:9">
      <c r="A1228" s="2963" t="s">
        <v>3328</v>
      </c>
      <c r="B1228" s="2963" t="s">
        <v>4273</v>
      </c>
      <c r="D1228" s="2963">
        <v>2027</v>
      </c>
      <c r="E1228" s="2963" t="s">
        <v>4380</v>
      </c>
      <c r="F1228" s="2966">
        <v>170000</v>
      </c>
      <c r="G1228" s="2971">
        <v>43.77</v>
      </c>
      <c r="H1228" s="2963" t="s">
        <v>3185</v>
      </c>
      <c r="I1228" s="2963" t="s">
        <v>3086</v>
      </c>
    </row>
    <row r="1229" spans="1:9">
      <c r="A1229" s="2963" t="s">
        <v>3328</v>
      </c>
      <c r="B1229" s="2963" t="s">
        <v>4273</v>
      </c>
      <c r="D1229" s="2963">
        <v>2028</v>
      </c>
      <c r="E1229" s="2963" t="s">
        <v>4381</v>
      </c>
      <c r="F1229" s="2966">
        <v>170000</v>
      </c>
      <c r="G1229" s="2971">
        <v>43.77</v>
      </c>
      <c r="H1229" s="2963" t="s">
        <v>3185</v>
      </c>
      <c r="I1229" s="2963" t="s">
        <v>3086</v>
      </c>
    </row>
    <row r="1230" spans="1:9">
      <c r="A1230" s="2963" t="s">
        <v>3328</v>
      </c>
      <c r="B1230" s="2963" t="s">
        <v>4273</v>
      </c>
      <c r="D1230" s="2963">
        <v>2029</v>
      </c>
      <c r="E1230" s="2963" t="s">
        <v>4382</v>
      </c>
      <c r="F1230" s="2966">
        <v>170000</v>
      </c>
      <c r="G1230" s="2971">
        <v>43.77</v>
      </c>
      <c r="H1230" s="2963" t="s">
        <v>3185</v>
      </c>
      <c r="I1230" s="2963" t="s">
        <v>3086</v>
      </c>
    </row>
    <row r="1231" spans="1:9">
      <c r="A1231" s="2963" t="s">
        <v>3328</v>
      </c>
      <c r="B1231" s="2963" t="s">
        <v>4273</v>
      </c>
      <c r="D1231" s="2963">
        <v>2030</v>
      </c>
      <c r="E1231" s="2963" t="s">
        <v>4383</v>
      </c>
      <c r="F1231" s="2966">
        <v>170000</v>
      </c>
      <c r="G1231" s="2971">
        <v>43.77</v>
      </c>
      <c r="H1231" s="2963" t="s">
        <v>3185</v>
      </c>
      <c r="I1231" s="2963" t="s">
        <v>3086</v>
      </c>
    </row>
    <row r="1232" spans="1:9">
      <c r="A1232" s="2963" t="s">
        <v>3328</v>
      </c>
      <c r="B1232" s="2963" t="s">
        <v>4273</v>
      </c>
      <c r="D1232" s="2963">
        <v>2031</v>
      </c>
      <c r="E1232" s="2963" t="s">
        <v>4384</v>
      </c>
      <c r="F1232" s="2966">
        <v>170000</v>
      </c>
      <c r="G1232" s="2971">
        <v>43.77</v>
      </c>
      <c r="H1232" s="2963" t="s">
        <v>3185</v>
      </c>
      <c r="I1232" s="2963" t="s">
        <v>3086</v>
      </c>
    </row>
    <row r="1233" spans="1:9">
      <c r="A1233" s="2963" t="s">
        <v>3328</v>
      </c>
      <c r="B1233" s="2963" t="s">
        <v>4273</v>
      </c>
      <c r="D1233" s="2963">
        <v>2032</v>
      </c>
      <c r="E1233" s="2963" t="s">
        <v>4385</v>
      </c>
      <c r="F1233" s="2966">
        <v>170000</v>
      </c>
      <c r="G1233" s="2971">
        <v>43.77</v>
      </c>
      <c r="H1233" s="2963" t="s">
        <v>3185</v>
      </c>
      <c r="I1233" s="2963" t="s">
        <v>3086</v>
      </c>
    </row>
    <row r="1234" spans="1:9">
      <c r="A1234" s="2963" t="s">
        <v>3328</v>
      </c>
      <c r="B1234" s="2963" t="s">
        <v>4273</v>
      </c>
      <c r="D1234" s="2963">
        <v>2033</v>
      </c>
      <c r="E1234" s="2963" t="s">
        <v>4386</v>
      </c>
      <c r="F1234" s="2966">
        <v>170000</v>
      </c>
      <c r="G1234" s="2971">
        <v>43.77</v>
      </c>
      <c r="H1234" s="2963" t="s">
        <v>3185</v>
      </c>
      <c r="I1234" s="2963" t="s">
        <v>3086</v>
      </c>
    </row>
    <row r="1235" spans="1:9">
      <c r="A1235" s="2963" t="s">
        <v>3328</v>
      </c>
      <c r="B1235" s="2963" t="s">
        <v>4273</v>
      </c>
      <c r="D1235" s="2963">
        <v>2034</v>
      </c>
      <c r="E1235" s="2963" t="s">
        <v>4387</v>
      </c>
      <c r="F1235" s="2966">
        <v>170000</v>
      </c>
      <c r="G1235" s="2971">
        <v>43.77</v>
      </c>
      <c r="H1235" s="2963" t="s">
        <v>3185</v>
      </c>
      <c r="I1235" s="2963" t="s">
        <v>3086</v>
      </c>
    </row>
    <row r="1236" spans="1:9">
      <c r="A1236" s="2963" t="s">
        <v>3328</v>
      </c>
      <c r="B1236" s="2963" t="s">
        <v>4273</v>
      </c>
      <c r="D1236" s="2963">
        <v>2035</v>
      </c>
      <c r="E1236" s="2963" t="s">
        <v>4388</v>
      </c>
      <c r="F1236" s="2966">
        <v>170000</v>
      </c>
      <c r="G1236" s="2971">
        <v>43.77</v>
      </c>
      <c r="H1236" s="2963" t="s">
        <v>3185</v>
      </c>
      <c r="I1236" s="2963" t="s">
        <v>3086</v>
      </c>
    </row>
    <row r="1237" spans="1:9">
      <c r="A1237" s="2963" t="s">
        <v>3328</v>
      </c>
      <c r="B1237" s="2963" t="s">
        <v>4273</v>
      </c>
      <c r="D1237" s="2963">
        <v>2037</v>
      </c>
      <c r="E1237" s="2963" t="s">
        <v>4389</v>
      </c>
      <c r="F1237" s="2966">
        <v>170000</v>
      </c>
      <c r="G1237" s="2971">
        <v>43.77</v>
      </c>
      <c r="H1237" s="2963" t="s">
        <v>3185</v>
      </c>
      <c r="I1237" s="2963" t="s">
        <v>3086</v>
      </c>
    </row>
    <row r="1238" spans="1:9">
      <c r="A1238" s="2963" t="s">
        <v>3328</v>
      </c>
      <c r="B1238" s="2963" t="s">
        <v>4273</v>
      </c>
      <c r="D1238" s="2963">
        <v>2038</v>
      </c>
      <c r="E1238" s="2963" t="s">
        <v>4390</v>
      </c>
      <c r="F1238" s="2966">
        <v>170000</v>
      </c>
      <c r="G1238" s="2971">
        <v>43.77</v>
      </c>
      <c r="H1238" s="2963" t="s">
        <v>3185</v>
      </c>
      <c r="I1238" s="2963" t="s">
        <v>3086</v>
      </c>
    </row>
    <row r="1239" spans="1:9">
      <c r="A1239" s="2963" t="s">
        <v>3328</v>
      </c>
      <c r="B1239" s="2963" t="s">
        <v>4273</v>
      </c>
      <c r="D1239" s="2963">
        <v>2039</v>
      </c>
      <c r="E1239" s="2963" t="s">
        <v>4391</v>
      </c>
      <c r="F1239" s="2966">
        <v>170000</v>
      </c>
      <c r="G1239" s="2971">
        <v>43.77</v>
      </c>
      <c r="H1239" s="2963" t="s">
        <v>3185</v>
      </c>
      <c r="I1239" s="2963" t="s">
        <v>3086</v>
      </c>
    </row>
    <row r="1240" spans="1:9">
      <c r="A1240" s="2963" t="s">
        <v>3328</v>
      </c>
      <c r="B1240" s="2963" t="s">
        <v>4273</v>
      </c>
      <c r="D1240" s="2963">
        <v>2040</v>
      </c>
      <c r="E1240" s="2963" t="s">
        <v>4392</v>
      </c>
      <c r="F1240" s="2966">
        <v>170000</v>
      </c>
      <c r="G1240" s="2971">
        <v>43.77</v>
      </c>
      <c r="H1240" s="2963" t="s">
        <v>3185</v>
      </c>
      <c r="I1240" s="2963" t="s">
        <v>3086</v>
      </c>
    </row>
    <row r="1241" spans="1:9">
      <c r="A1241" s="2963" t="s">
        <v>3328</v>
      </c>
      <c r="B1241" s="2963" t="s">
        <v>4273</v>
      </c>
      <c r="D1241" s="2963">
        <v>2041</v>
      </c>
      <c r="E1241" s="2963" t="s">
        <v>4393</v>
      </c>
      <c r="F1241" s="2966">
        <v>170000</v>
      </c>
      <c r="G1241" s="2971">
        <v>43.77</v>
      </c>
      <c r="H1241" s="2963" t="s">
        <v>3185</v>
      </c>
      <c r="I1241" s="2963" t="s">
        <v>3086</v>
      </c>
    </row>
    <row r="1242" spans="1:9">
      <c r="A1242" s="2963" t="s">
        <v>3328</v>
      </c>
      <c r="B1242" s="2963" t="s">
        <v>4273</v>
      </c>
      <c r="D1242" s="2963">
        <v>2042</v>
      </c>
      <c r="E1242" s="2963" t="s">
        <v>4394</v>
      </c>
      <c r="F1242" s="2966">
        <v>170000</v>
      </c>
      <c r="G1242" s="2971">
        <v>43.77</v>
      </c>
      <c r="H1242" s="2963" t="s">
        <v>3185</v>
      </c>
      <c r="I1242" s="2963" t="s">
        <v>3086</v>
      </c>
    </row>
    <row r="1243" spans="1:9">
      <c r="A1243" s="2963" t="s">
        <v>3328</v>
      </c>
      <c r="B1243" s="2963" t="s">
        <v>4273</v>
      </c>
      <c r="D1243" s="2963">
        <v>2046</v>
      </c>
      <c r="E1243" s="2963" t="s">
        <v>4395</v>
      </c>
      <c r="F1243" s="2966">
        <v>170000</v>
      </c>
      <c r="G1243" s="2971">
        <v>43.77</v>
      </c>
      <c r="H1243" s="2963" t="s">
        <v>3185</v>
      </c>
      <c r="I1243" s="2963" t="s">
        <v>3086</v>
      </c>
    </row>
    <row r="1244" spans="1:9">
      <c r="A1244" s="2963" t="s">
        <v>3328</v>
      </c>
      <c r="B1244" s="2963" t="s">
        <v>4273</v>
      </c>
      <c r="D1244" s="2963">
        <v>2047</v>
      </c>
      <c r="E1244" s="2963" t="s">
        <v>4396</v>
      </c>
      <c r="F1244" s="2966">
        <v>170000</v>
      </c>
      <c r="G1244" s="2971">
        <v>43.77</v>
      </c>
      <c r="H1244" s="2963" t="s">
        <v>3185</v>
      </c>
      <c r="I1244" s="2963" t="s">
        <v>3086</v>
      </c>
    </row>
    <row r="1245" spans="1:9">
      <c r="A1245" s="2963" t="s">
        <v>3328</v>
      </c>
      <c r="B1245" s="2963" t="s">
        <v>4273</v>
      </c>
      <c r="D1245" s="2963">
        <v>2048</v>
      </c>
      <c r="E1245" s="2963" t="s">
        <v>4397</v>
      </c>
      <c r="F1245" s="2966">
        <v>170000</v>
      </c>
      <c r="G1245" s="2971">
        <v>43.77</v>
      </c>
      <c r="H1245" s="2963" t="s">
        <v>3185</v>
      </c>
      <c r="I1245" s="2963" t="s">
        <v>3086</v>
      </c>
    </row>
    <row r="1246" spans="1:9">
      <c r="A1246" s="2963" t="s">
        <v>3328</v>
      </c>
      <c r="B1246" s="2963" t="s">
        <v>4273</v>
      </c>
      <c r="D1246" s="2963">
        <v>2049</v>
      </c>
      <c r="E1246" s="2963" t="s">
        <v>4398</v>
      </c>
      <c r="F1246" s="2966">
        <v>170000</v>
      </c>
      <c r="G1246" s="2971">
        <v>43.77</v>
      </c>
      <c r="H1246" s="2963" t="s">
        <v>3185</v>
      </c>
      <c r="I1246" s="2963" t="s">
        <v>3086</v>
      </c>
    </row>
    <row r="1247" spans="1:9">
      <c r="A1247" s="2963" t="s">
        <v>3328</v>
      </c>
      <c r="B1247" s="2963" t="s">
        <v>4273</v>
      </c>
      <c r="D1247" s="2963">
        <v>2050</v>
      </c>
      <c r="E1247" s="2963" t="s">
        <v>4399</v>
      </c>
      <c r="F1247" s="2966">
        <v>170000</v>
      </c>
      <c r="G1247" s="2971">
        <v>43.77</v>
      </c>
      <c r="H1247" s="2963" t="s">
        <v>3185</v>
      </c>
      <c r="I1247" s="2963" t="s">
        <v>3086</v>
      </c>
    </row>
    <row r="1248" spans="1:9">
      <c r="A1248" s="2963" t="s">
        <v>3328</v>
      </c>
      <c r="B1248" s="2963" t="s">
        <v>4273</v>
      </c>
      <c r="D1248" s="2963">
        <v>2052</v>
      </c>
      <c r="E1248" s="2963" t="s">
        <v>4400</v>
      </c>
      <c r="F1248" s="2966">
        <v>170000</v>
      </c>
      <c r="G1248" s="2971">
        <v>43.77</v>
      </c>
      <c r="H1248" s="2963" t="s">
        <v>3185</v>
      </c>
      <c r="I1248" s="2963" t="s">
        <v>3086</v>
      </c>
    </row>
    <row r="1249" spans="1:9">
      <c r="A1249" s="2963" t="s">
        <v>3328</v>
      </c>
      <c r="B1249" s="2963" t="s">
        <v>4273</v>
      </c>
      <c r="D1249" s="2963">
        <v>2053</v>
      </c>
      <c r="E1249" s="2963" t="s">
        <v>4401</v>
      </c>
      <c r="F1249" s="2966">
        <v>170000</v>
      </c>
      <c r="G1249" s="2971">
        <v>43.77</v>
      </c>
      <c r="H1249" s="2963" t="s">
        <v>3185</v>
      </c>
      <c r="I1249" s="2963" t="s">
        <v>3086</v>
      </c>
    </row>
    <row r="1250" spans="1:9">
      <c r="A1250" s="2963" t="s">
        <v>3328</v>
      </c>
      <c r="B1250" s="2963" t="s">
        <v>4273</v>
      </c>
      <c r="D1250" s="2963">
        <v>2057</v>
      </c>
      <c r="E1250" s="2963" t="s">
        <v>4402</v>
      </c>
      <c r="F1250" s="2966">
        <v>170000</v>
      </c>
      <c r="G1250" s="2971">
        <v>43.77</v>
      </c>
      <c r="H1250" s="2963" t="s">
        <v>3185</v>
      </c>
      <c r="I1250" s="2963" t="s">
        <v>3086</v>
      </c>
    </row>
    <row r="1251" spans="1:9">
      <c r="A1251" s="2963" t="s">
        <v>3328</v>
      </c>
      <c r="B1251" s="2963" t="s">
        <v>4273</v>
      </c>
      <c r="D1251" s="2963">
        <v>2058</v>
      </c>
      <c r="E1251" s="2963" t="s">
        <v>4403</v>
      </c>
      <c r="F1251" s="2966">
        <v>170000</v>
      </c>
      <c r="G1251" s="2971">
        <v>43.77</v>
      </c>
      <c r="H1251" s="2963" t="s">
        <v>3185</v>
      </c>
      <c r="I1251" s="2963" t="s">
        <v>3086</v>
      </c>
    </row>
    <row r="1252" spans="1:9">
      <c r="A1252" s="2963" t="s">
        <v>3328</v>
      </c>
      <c r="B1252" s="2963" t="s">
        <v>4273</v>
      </c>
      <c r="D1252" s="2963">
        <v>2059</v>
      </c>
      <c r="E1252" s="2963" t="s">
        <v>4404</v>
      </c>
      <c r="F1252" s="2966">
        <v>170000</v>
      </c>
      <c r="G1252" s="2971">
        <v>43.77</v>
      </c>
      <c r="H1252" s="2963" t="s">
        <v>3185</v>
      </c>
      <c r="I1252" s="2963" t="s">
        <v>3086</v>
      </c>
    </row>
    <row r="1253" spans="1:9">
      <c r="A1253" s="2963" t="s">
        <v>3328</v>
      </c>
      <c r="B1253" s="2963" t="s">
        <v>4273</v>
      </c>
      <c r="D1253" s="2963">
        <v>2060</v>
      </c>
      <c r="E1253" s="2963" t="s">
        <v>4405</v>
      </c>
      <c r="F1253" s="2966">
        <v>170000</v>
      </c>
      <c r="G1253" s="2971">
        <v>43.77</v>
      </c>
      <c r="H1253" s="2963" t="s">
        <v>3185</v>
      </c>
      <c r="I1253" s="2963" t="s">
        <v>3086</v>
      </c>
    </row>
    <row r="1254" spans="1:9">
      <c r="A1254" s="2963" t="s">
        <v>3328</v>
      </c>
      <c r="B1254" s="2963" t="s">
        <v>4273</v>
      </c>
      <c r="D1254" s="2963">
        <v>2061</v>
      </c>
      <c r="E1254" s="2963" t="s">
        <v>4406</v>
      </c>
      <c r="F1254" s="2966">
        <v>170000</v>
      </c>
      <c r="G1254" s="2971">
        <v>43.77</v>
      </c>
      <c r="H1254" s="2963" t="s">
        <v>3185</v>
      </c>
      <c r="I1254" s="2963" t="s">
        <v>3086</v>
      </c>
    </row>
    <row r="1255" spans="1:9">
      <c r="A1255" s="2963" t="s">
        <v>3328</v>
      </c>
      <c r="B1255" s="2963" t="s">
        <v>4273</v>
      </c>
      <c r="D1255" s="2963">
        <v>2062</v>
      </c>
      <c r="E1255" s="2963" t="s">
        <v>4407</v>
      </c>
      <c r="F1255" s="2966">
        <v>170000</v>
      </c>
      <c r="G1255" s="2971">
        <v>43.77</v>
      </c>
      <c r="H1255" s="2963" t="s">
        <v>3185</v>
      </c>
      <c r="I1255" s="2963" t="s">
        <v>3086</v>
      </c>
    </row>
    <row r="1256" spans="1:9">
      <c r="A1256" s="2963" t="s">
        <v>3328</v>
      </c>
      <c r="B1256" s="2963" t="s">
        <v>4273</v>
      </c>
      <c r="D1256" s="2963">
        <v>2065</v>
      </c>
      <c r="E1256" s="2963" t="s">
        <v>4408</v>
      </c>
      <c r="F1256" s="2966">
        <v>170000</v>
      </c>
      <c r="G1256" s="2971">
        <v>43.77</v>
      </c>
      <c r="H1256" s="2963" t="s">
        <v>3185</v>
      </c>
      <c r="I1256" s="2963" t="s">
        <v>3086</v>
      </c>
    </row>
    <row r="1257" spans="1:9">
      <c r="A1257" s="2963" t="s">
        <v>3328</v>
      </c>
      <c r="B1257" s="2963" t="s">
        <v>4273</v>
      </c>
      <c r="D1257" s="2963">
        <v>2068</v>
      </c>
      <c r="E1257" s="2963" t="s">
        <v>4409</v>
      </c>
      <c r="F1257" s="2966">
        <v>170000</v>
      </c>
      <c r="G1257" s="2971">
        <v>43.77</v>
      </c>
      <c r="H1257" s="2963" t="s">
        <v>3185</v>
      </c>
      <c r="I1257" s="2963" t="s">
        <v>3086</v>
      </c>
    </row>
    <row r="1258" spans="1:9">
      <c r="A1258" s="2963" t="s">
        <v>3328</v>
      </c>
      <c r="B1258" s="2963" t="s">
        <v>4273</v>
      </c>
      <c r="D1258" s="2963">
        <v>2071</v>
      </c>
      <c r="E1258" s="2963" t="s">
        <v>4410</v>
      </c>
      <c r="F1258" s="2966">
        <v>170000</v>
      </c>
      <c r="G1258" s="2971">
        <v>43.77</v>
      </c>
      <c r="H1258" s="2963" t="s">
        <v>3185</v>
      </c>
      <c r="I1258" s="2963" t="s">
        <v>3086</v>
      </c>
    </row>
    <row r="1259" spans="1:9">
      <c r="A1259" s="2963" t="s">
        <v>3328</v>
      </c>
      <c r="B1259" s="2963" t="s">
        <v>4273</v>
      </c>
      <c r="D1259" s="2963">
        <v>2072</v>
      </c>
      <c r="E1259" s="2963" t="s">
        <v>4411</v>
      </c>
      <c r="F1259" s="2966">
        <v>170000</v>
      </c>
      <c r="G1259" s="2971">
        <v>43.77</v>
      </c>
      <c r="H1259" s="2963" t="s">
        <v>3185</v>
      </c>
      <c r="I1259" s="2963" t="s">
        <v>3086</v>
      </c>
    </row>
    <row r="1260" spans="1:9">
      <c r="A1260" s="2963" t="s">
        <v>3328</v>
      </c>
      <c r="B1260" s="2963" t="s">
        <v>4273</v>
      </c>
      <c r="D1260" s="2963">
        <v>2074</v>
      </c>
      <c r="E1260" s="2963" t="s">
        <v>4412</v>
      </c>
      <c r="F1260" s="2966">
        <v>170000</v>
      </c>
      <c r="G1260" s="2971">
        <v>43.77</v>
      </c>
      <c r="H1260" s="2963" t="s">
        <v>3185</v>
      </c>
      <c r="I1260" s="2963" t="s">
        <v>3086</v>
      </c>
    </row>
    <row r="1261" spans="1:9">
      <c r="A1261" s="2963" t="s">
        <v>3328</v>
      </c>
      <c r="B1261" s="2963" t="s">
        <v>4273</v>
      </c>
      <c r="D1261" s="2963">
        <v>2077</v>
      </c>
      <c r="E1261" s="2963" t="s">
        <v>4413</v>
      </c>
      <c r="F1261" s="2966">
        <v>170000</v>
      </c>
      <c r="G1261" s="2971">
        <v>43.77</v>
      </c>
      <c r="H1261" s="2963" t="s">
        <v>3185</v>
      </c>
      <c r="I1261" s="2963" t="s">
        <v>3086</v>
      </c>
    </row>
    <row r="1262" spans="1:9">
      <c r="A1262" s="2963" t="s">
        <v>3328</v>
      </c>
      <c r="B1262" s="2963" t="s">
        <v>4273</v>
      </c>
      <c r="D1262" s="2963">
        <v>2078</v>
      </c>
      <c r="E1262" s="2963" t="s">
        <v>4414</v>
      </c>
      <c r="F1262" s="2966">
        <v>170000</v>
      </c>
      <c r="G1262" s="2971">
        <v>43.77</v>
      </c>
      <c r="H1262" s="2963" t="s">
        <v>3185</v>
      </c>
      <c r="I1262" s="2963" t="s">
        <v>3086</v>
      </c>
    </row>
    <row r="1263" spans="1:9">
      <c r="A1263" s="2963" t="s">
        <v>3328</v>
      </c>
      <c r="B1263" s="2963" t="s">
        <v>4273</v>
      </c>
      <c r="D1263" s="2963">
        <v>2079</v>
      </c>
      <c r="E1263" s="2963" t="s">
        <v>4415</v>
      </c>
      <c r="F1263" s="2966">
        <v>170000</v>
      </c>
      <c r="G1263" s="2971">
        <v>43.77</v>
      </c>
      <c r="H1263" s="2963" t="s">
        <v>3185</v>
      </c>
      <c r="I1263" s="2963" t="s">
        <v>3086</v>
      </c>
    </row>
    <row r="1264" spans="1:9">
      <c r="A1264" s="2963" t="s">
        <v>3328</v>
      </c>
      <c r="B1264" s="2963" t="s">
        <v>4273</v>
      </c>
      <c r="D1264" s="2963">
        <v>2080</v>
      </c>
      <c r="E1264" s="2963" t="s">
        <v>4416</v>
      </c>
      <c r="F1264" s="2966">
        <v>170000</v>
      </c>
      <c r="G1264" s="2971">
        <v>43.77</v>
      </c>
      <c r="H1264" s="2963" t="s">
        <v>3185</v>
      </c>
      <c r="I1264" s="2963" t="s">
        <v>3086</v>
      </c>
    </row>
    <row r="1265" spans="1:9">
      <c r="A1265" s="2963" t="s">
        <v>3328</v>
      </c>
      <c r="B1265" s="2963" t="s">
        <v>4273</v>
      </c>
      <c r="D1265" s="2963">
        <v>2081</v>
      </c>
      <c r="E1265" s="2963" t="s">
        <v>4417</v>
      </c>
      <c r="F1265" s="2966">
        <v>170000</v>
      </c>
      <c r="G1265" s="2971">
        <v>43.77</v>
      </c>
      <c r="H1265" s="2963" t="s">
        <v>3185</v>
      </c>
      <c r="I1265" s="2963" t="s">
        <v>3086</v>
      </c>
    </row>
    <row r="1266" spans="1:9">
      <c r="A1266" s="2963" t="s">
        <v>3328</v>
      </c>
      <c r="B1266" s="2963" t="s">
        <v>4273</v>
      </c>
      <c r="D1266" s="2963">
        <v>2082</v>
      </c>
      <c r="E1266" s="2963" t="s">
        <v>4418</v>
      </c>
      <c r="F1266" s="2966">
        <v>170000</v>
      </c>
      <c r="G1266" s="2971">
        <v>43.77</v>
      </c>
      <c r="H1266" s="2963" t="s">
        <v>3185</v>
      </c>
      <c r="I1266" s="2963" t="s">
        <v>3086</v>
      </c>
    </row>
    <row r="1267" spans="1:9">
      <c r="A1267" s="2963" t="s">
        <v>3328</v>
      </c>
      <c r="B1267" s="2963" t="s">
        <v>4273</v>
      </c>
      <c r="D1267" s="2963">
        <v>2083</v>
      </c>
      <c r="E1267" s="2963" t="s">
        <v>4419</v>
      </c>
      <c r="F1267" s="2966">
        <v>170000</v>
      </c>
      <c r="G1267" s="2971">
        <v>43.77</v>
      </c>
      <c r="H1267" s="2963" t="s">
        <v>3185</v>
      </c>
      <c r="I1267" s="2963" t="s">
        <v>3086</v>
      </c>
    </row>
    <row r="1268" spans="1:9">
      <c r="A1268" s="2963" t="s">
        <v>3328</v>
      </c>
      <c r="B1268" s="2963" t="s">
        <v>4273</v>
      </c>
      <c r="D1268" s="2963">
        <v>2084</v>
      </c>
      <c r="E1268" s="2963" t="s">
        <v>4420</v>
      </c>
      <c r="F1268" s="2966">
        <v>170000</v>
      </c>
      <c r="G1268" s="2971">
        <v>43.77</v>
      </c>
      <c r="H1268" s="2963" t="s">
        <v>3185</v>
      </c>
      <c r="I1268" s="2963" t="s">
        <v>3086</v>
      </c>
    </row>
    <row r="1269" spans="1:9">
      <c r="A1269" s="2963" t="s">
        <v>3328</v>
      </c>
      <c r="B1269" s="2963" t="s">
        <v>4273</v>
      </c>
      <c r="D1269" s="2963">
        <v>2085</v>
      </c>
      <c r="E1269" s="2963" t="s">
        <v>4421</v>
      </c>
      <c r="F1269" s="2966">
        <v>170000</v>
      </c>
      <c r="G1269" s="2971">
        <v>43.77</v>
      </c>
      <c r="H1269" s="2963" t="s">
        <v>3185</v>
      </c>
      <c r="I1269" s="2963" t="s">
        <v>3086</v>
      </c>
    </row>
    <row r="1270" spans="1:9">
      <c r="A1270" s="2963" t="s">
        <v>3328</v>
      </c>
      <c r="B1270" s="2963" t="s">
        <v>4273</v>
      </c>
      <c r="D1270" s="2963">
        <v>2086</v>
      </c>
      <c r="E1270" s="2963" t="s">
        <v>4422</v>
      </c>
      <c r="F1270" s="2966">
        <v>170000</v>
      </c>
      <c r="G1270" s="2971">
        <v>43.77</v>
      </c>
      <c r="H1270" s="2963" t="s">
        <v>3185</v>
      </c>
      <c r="I1270" s="2963" t="s">
        <v>3086</v>
      </c>
    </row>
    <row r="1271" spans="1:9">
      <c r="A1271" s="2963" t="s">
        <v>3328</v>
      </c>
      <c r="B1271" s="2963" t="s">
        <v>4273</v>
      </c>
      <c r="D1271" s="2963">
        <v>2087</v>
      </c>
      <c r="E1271" s="2963" t="s">
        <v>4423</v>
      </c>
      <c r="F1271" s="2966">
        <v>170000</v>
      </c>
      <c r="G1271" s="2971">
        <v>43.77</v>
      </c>
      <c r="H1271" s="2963" t="s">
        <v>3185</v>
      </c>
      <c r="I1271" s="2963" t="s">
        <v>3086</v>
      </c>
    </row>
    <row r="1272" spans="1:9">
      <c r="A1272" s="2963" t="s">
        <v>3328</v>
      </c>
      <c r="B1272" s="2963" t="s">
        <v>4273</v>
      </c>
      <c r="D1272" s="2963">
        <v>2089</v>
      </c>
      <c r="E1272" s="2963" t="s">
        <v>4424</v>
      </c>
      <c r="F1272" s="2966">
        <v>170000</v>
      </c>
      <c r="G1272" s="2971">
        <v>43.77</v>
      </c>
      <c r="H1272" s="2963" t="s">
        <v>3185</v>
      </c>
      <c r="I1272" s="2963" t="s">
        <v>3086</v>
      </c>
    </row>
    <row r="1273" spans="1:9">
      <c r="A1273" s="2963" t="s">
        <v>3328</v>
      </c>
      <c r="B1273" s="2963" t="s">
        <v>4273</v>
      </c>
      <c r="D1273" s="2963">
        <v>2090</v>
      </c>
      <c r="E1273" s="2963" t="s">
        <v>4425</v>
      </c>
      <c r="F1273" s="2966">
        <v>170000</v>
      </c>
      <c r="G1273" s="2971">
        <v>43.77</v>
      </c>
      <c r="H1273" s="2963" t="s">
        <v>3185</v>
      </c>
      <c r="I1273" s="2963" t="s">
        <v>3086</v>
      </c>
    </row>
    <row r="1274" spans="1:9">
      <c r="A1274" s="2963" t="s">
        <v>3328</v>
      </c>
      <c r="B1274" s="2963" t="s">
        <v>4273</v>
      </c>
      <c r="D1274" s="2963">
        <v>2092</v>
      </c>
      <c r="E1274" s="2963" t="s">
        <v>4426</v>
      </c>
      <c r="F1274" s="2966">
        <v>170000</v>
      </c>
      <c r="G1274" s="2971">
        <v>43.77</v>
      </c>
      <c r="H1274" s="2963" t="s">
        <v>3185</v>
      </c>
      <c r="I1274" s="2963" t="s">
        <v>3086</v>
      </c>
    </row>
    <row r="1275" spans="1:9">
      <c r="A1275" s="2963" t="s">
        <v>3328</v>
      </c>
      <c r="B1275" s="2963" t="s">
        <v>4273</v>
      </c>
      <c r="D1275" s="2963">
        <v>2093</v>
      </c>
      <c r="E1275" s="2963" t="s">
        <v>4427</v>
      </c>
      <c r="F1275" s="2966">
        <v>170000</v>
      </c>
      <c r="G1275" s="2971">
        <v>43.77</v>
      </c>
      <c r="H1275" s="2963" t="s">
        <v>3185</v>
      </c>
      <c r="I1275" s="2963" t="s">
        <v>3086</v>
      </c>
    </row>
    <row r="1276" spans="1:9">
      <c r="A1276" s="2963" t="s">
        <v>3328</v>
      </c>
      <c r="B1276" s="2963" t="s">
        <v>4273</v>
      </c>
      <c r="D1276" s="2963">
        <v>2094</v>
      </c>
      <c r="E1276" s="2963" t="s">
        <v>4428</v>
      </c>
      <c r="F1276" s="2966">
        <v>170000</v>
      </c>
      <c r="G1276" s="2971">
        <v>43.77</v>
      </c>
      <c r="H1276" s="2963" t="s">
        <v>3185</v>
      </c>
      <c r="I1276" s="2963" t="s">
        <v>3086</v>
      </c>
    </row>
    <row r="1277" spans="1:9">
      <c r="A1277" s="2963" t="s">
        <v>3328</v>
      </c>
      <c r="B1277" s="2963" t="s">
        <v>4273</v>
      </c>
      <c r="D1277" s="2963">
        <v>2095</v>
      </c>
      <c r="E1277" s="2963" t="s">
        <v>4429</v>
      </c>
      <c r="F1277" s="2966">
        <v>170000</v>
      </c>
      <c r="G1277" s="2971">
        <v>43.77</v>
      </c>
      <c r="H1277" s="2963" t="s">
        <v>3185</v>
      </c>
      <c r="I1277" s="2963" t="s">
        <v>3086</v>
      </c>
    </row>
    <row r="1278" spans="1:9">
      <c r="A1278" s="2963" t="s">
        <v>3328</v>
      </c>
      <c r="B1278" s="2963" t="s">
        <v>4273</v>
      </c>
      <c r="D1278" s="2963">
        <v>2096</v>
      </c>
      <c r="E1278" s="2963" t="s">
        <v>4430</v>
      </c>
      <c r="F1278" s="2966">
        <v>170000</v>
      </c>
      <c r="G1278" s="2971">
        <v>43.77</v>
      </c>
      <c r="H1278" s="2963" t="s">
        <v>3185</v>
      </c>
      <c r="I1278" s="2963" t="s">
        <v>3086</v>
      </c>
    </row>
    <row r="1279" spans="1:9">
      <c r="A1279" s="2963" t="s">
        <v>3328</v>
      </c>
      <c r="B1279" s="2963" t="s">
        <v>4273</v>
      </c>
      <c r="D1279" s="2963">
        <v>2097</v>
      </c>
      <c r="E1279" s="2963" t="s">
        <v>4431</v>
      </c>
      <c r="F1279" s="2966">
        <v>170000</v>
      </c>
      <c r="G1279" s="2971">
        <v>43.77</v>
      </c>
      <c r="H1279" s="2963" t="s">
        <v>3185</v>
      </c>
      <c r="I1279" s="2963" t="s">
        <v>3086</v>
      </c>
    </row>
    <row r="1280" spans="1:9">
      <c r="A1280" s="2963" t="s">
        <v>3328</v>
      </c>
      <c r="B1280" s="2963" t="s">
        <v>4273</v>
      </c>
      <c r="D1280" s="2963">
        <v>2098</v>
      </c>
      <c r="E1280" s="2963" t="s">
        <v>4432</v>
      </c>
      <c r="F1280" s="2966">
        <v>170000</v>
      </c>
      <c r="G1280" s="2971">
        <v>43.77</v>
      </c>
      <c r="H1280" s="2963" t="s">
        <v>3185</v>
      </c>
      <c r="I1280" s="2963" t="s">
        <v>3086</v>
      </c>
    </row>
    <row r="1281" spans="1:9">
      <c r="A1281" s="2963" t="s">
        <v>3328</v>
      </c>
      <c r="B1281" s="2963" t="s">
        <v>4273</v>
      </c>
      <c r="D1281" s="2963">
        <v>2099</v>
      </c>
      <c r="E1281" s="2963" t="s">
        <v>4433</v>
      </c>
      <c r="F1281" s="2966">
        <v>170000</v>
      </c>
      <c r="G1281" s="2971">
        <v>43.77</v>
      </c>
      <c r="H1281" s="2963" t="s">
        <v>3185</v>
      </c>
      <c r="I1281" s="2963" t="s">
        <v>3086</v>
      </c>
    </row>
    <row r="1282" spans="1:9">
      <c r="A1282" s="2963" t="s">
        <v>3328</v>
      </c>
      <c r="B1282" s="2963" t="s">
        <v>4273</v>
      </c>
      <c r="D1282" s="2963">
        <v>2100</v>
      </c>
      <c r="E1282" s="2963" t="s">
        <v>4434</v>
      </c>
      <c r="F1282" s="2966">
        <v>170000</v>
      </c>
      <c r="G1282" s="2971">
        <v>43.77</v>
      </c>
      <c r="H1282" s="2963" t="s">
        <v>3185</v>
      </c>
      <c r="I1282" s="2963" t="s">
        <v>3086</v>
      </c>
    </row>
    <row r="1283" spans="1:9">
      <c r="A1283" s="2963" t="s">
        <v>3328</v>
      </c>
      <c r="B1283" s="2963" t="s">
        <v>4273</v>
      </c>
      <c r="D1283" s="2963">
        <v>2101</v>
      </c>
      <c r="E1283" s="2963" t="s">
        <v>4435</v>
      </c>
      <c r="F1283" s="2966">
        <v>170000</v>
      </c>
      <c r="G1283" s="2971">
        <v>43.77</v>
      </c>
      <c r="H1283" s="2963" t="s">
        <v>3185</v>
      </c>
      <c r="I1283" s="2963" t="s">
        <v>3086</v>
      </c>
    </row>
    <row r="1284" spans="1:9">
      <c r="A1284" s="2963" t="s">
        <v>3328</v>
      </c>
      <c r="B1284" s="2963" t="s">
        <v>4273</v>
      </c>
      <c r="D1284" s="2963">
        <v>2106</v>
      </c>
      <c r="E1284" s="2963" t="s">
        <v>4436</v>
      </c>
      <c r="F1284" s="2966">
        <v>170000</v>
      </c>
      <c r="G1284" s="2971">
        <v>43.77</v>
      </c>
      <c r="H1284" s="2963" t="s">
        <v>3185</v>
      </c>
      <c r="I1284" s="2963" t="s">
        <v>3086</v>
      </c>
    </row>
    <row r="1285" spans="1:9">
      <c r="A1285" s="2963" t="s">
        <v>3328</v>
      </c>
      <c r="B1285" s="2963" t="s">
        <v>4273</v>
      </c>
      <c r="D1285" s="2963">
        <v>2107</v>
      </c>
      <c r="E1285" s="2963" t="s">
        <v>4437</v>
      </c>
      <c r="F1285" s="2966">
        <v>170000</v>
      </c>
      <c r="G1285" s="2971">
        <v>43.77</v>
      </c>
      <c r="H1285" s="2963" t="s">
        <v>3185</v>
      </c>
      <c r="I1285" s="2963" t="s">
        <v>3086</v>
      </c>
    </row>
    <row r="1286" spans="1:9">
      <c r="A1286" s="2963" t="s">
        <v>3328</v>
      </c>
      <c r="B1286" s="2963" t="s">
        <v>4273</v>
      </c>
      <c r="D1286" s="2963">
        <v>2111</v>
      </c>
      <c r="E1286" s="2963" t="s">
        <v>4438</v>
      </c>
      <c r="F1286" s="2966">
        <v>170000</v>
      </c>
      <c r="G1286" s="2971">
        <v>43.77</v>
      </c>
      <c r="H1286" s="2963" t="s">
        <v>3185</v>
      </c>
      <c r="I1286" s="2963" t="s">
        <v>3086</v>
      </c>
    </row>
    <row r="1287" spans="1:9">
      <c r="A1287" s="2963" t="s">
        <v>3328</v>
      </c>
      <c r="B1287" s="2963" t="s">
        <v>4273</v>
      </c>
      <c r="D1287" s="2963">
        <v>2112</v>
      </c>
      <c r="E1287" s="2963" t="s">
        <v>4439</v>
      </c>
      <c r="F1287" s="2966">
        <v>170000</v>
      </c>
      <c r="G1287" s="2971">
        <v>43.77</v>
      </c>
      <c r="H1287" s="2963" t="s">
        <v>3185</v>
      </c>
      <c r="I1287" s="2963" t="s">
        <v>3086</v>
      </c>
    </row>
    <row r="1288" spans="1:9">
      <c r="A1288" s="2963" t="s">
        <v>3328</v>
      </c>
      <c r="B1288" s="2963" t="s">
        <v>4273</v>
      </c>
      <c r="D1288" s="2963">
        <v>2116</v>
      </c>
      <c r="E1288" s="2963" t="s">
        <v>4440</v>
      </c>
      <c r="F1288" s="2966">
        <v>170000</v>
      </c>
      <c r="G1288" s="2971">
        <v>43.77</v>
      </c>
      <c r="H1288" s="2963" t="s">
        <v>3185</v>
      </c>
      <c r="I1288" s="2963" t="s">
        <v>3086</v>
      </c>
    </row>
    <row r="1289" spans="1:9">
      <c r="A1289" s="2963" t="s">
        <v>3328</v>
      </c>
      <c r="B1289" s="2963" t="s">
        <v>4273</v>
      </c>
      <c r="D1289" s="2963">
        <v>2119</v>
      </c>
      <c r="E1289" s="2963" t="s">
        <v>4441</v>
      </c>
      <c r="F1289" s="2966">
        <v>170000</v>
      </c>
      <c r="G1289" s="2971">
        <v>43.77</v>
      </c>
      <c r="H1289" s="2963" t="s">
        <v>3185</v>
      </c>
      <c r="I1289" s="2963" t="s">
        <v>3086</v>
      </c>
    </row>
    <row r="1290" spans="1:9">
      <c r="A1290" s="2963" t="s">
        <v>3328</v>
      </c>
      <c r="B1290" s="2963" t="s">
        <v>4273</v>
      </c>
      <c r="D1290" s="2963">
        <v>2121</v>
      </c>
      <c r="E1290" s="2963" t="s">
        <v>4442</v>
      </c>
      <c r="F1290" s="2966">
        <v>170000</v>
      </c>
      <c r="G1290" s="2971">
        <v>43.77</v>
      </c>
      <c r="H1290" s="2963" t="s">
        <v>3185</v>
      </c>
      <c r="I1290" s="2963" t="s">
        <v>3086</v>
      </c>
    </row>
    <row r="1291" spans="1:9">
      <c r="A1291" s="2963" t="s">
        <v>3328</v>
      </c>
      <c r="B1291" s="2963" t="s">
        <v>4273</v>
      </c>
      <c r="D1291" s="2963">
        <v>2122</v>
      </c>
      <c r="E1291" s="2963" t="s">
        <v>4443</v>
      </c>
      <c r="F1291" s="2966">
        <v>170000</v>
      </c>
      <c r="G1291" s="2971">
        <v>43.77</v>
      </c>
      <c r="H1291" s="2963" t="s">
        <v>3185</v>
      </c>
      <c r="I1291" s="2963" t="s">
        <v>3086</v>
      </c>
    </row>
    <row r="1292" spans="1:9">
      <c r="A1292" s="2963" t="s">
        <v>3328</v>
      </c>
      <c r="B1292" s="2963" t="s">
        <v>4273</v>
      </c>
      <c r="D1292" s="2963">
        <v>2123</v>
      </c>
      <c r="E1292" s="2963" t="s">
        <v>4444</v>
      </c>
      <c r="F1292" s="2966">
        <v>170000</v>
      </c>
      <c r="G1292" s="2971">
        <v>43.77</v>
      </c>
      <c r="H1292" s="2963" t="s">
        <v>3185</v>
      </c>
      <c r="I1292" s="2963" t="s">
        <v>3086</v>
      </c>
    </row>
    <row r="1293" spans="1:9">
      <c r="A1293" s="2963" t="s">
        <v>3328</v>
      </c>
      <c r="B1293" s="2963" t="s">
        <v>4273</v>
      </c>
      <c r="D1293" s="2963">
        <v>2124</v>
      </c>
      <c r="E1293" s="2963" t="s">
        <v>4445</v>
      </c>
      <c r="F1293" s="2966">
        <v>170000</v>
      </c>
      <c r="G1293" s="2971">
        <v>43.77</v>
      </c>
      <c r="H1293" s="2963" t="s">
        <v>3185</v>
      </c>
      <c r="I1293" s="2963" t="s">
        <v>3086</v>
      </c>
    </row>
    <row r="1294" spans="1:9">
      <c r="A1294" s="2963" t="s">
        <v>3328</v>
      </c>
      <c r="B1294" s="2963" t="s">
        <v>4273</v>
      </c>
      <c r="D1294" s="2963">
        <v>2125</v>
      </c>
      <c r="E1294" s="2963" t="s">
        <v>4446</v>
      </c>
      <c r="F1294" s="2966">
        <v>170000</v>
      </c>
      <c r="G1294" s="2971">
        <v>43.77</v>
      </c>
      <c r="H1294" s="2963" t="s">
        <v>3185</v>
      </c>
      <c r="I1294" s="2963" t="s">
        <v>3086</v>
      </c>
    </row>
    <row r="1295" spans="1:9">
      <c r="A1295" s="2963" t="s">
        <v>3328</v>
      </c>
      <c r="B1295" s="2963" t="s">
        <v>4273</v>
      </c>
      <c r="D1295" s="2963">
        <v>2126</v>
      </c>
      <c r="E1295" s="2963" t="s">
        <v>4447</v>
      </c>
      <c r="F1295" s="2966">
        <v>170000</v>
      </c>
      <c r="G1295" s="2971">
        <v>43.77</v>
      </c>
      <c r="H1295" s="2963" t="s">
        <v>3185</v>
      </c>
      <c r="I1295" s="2963" t="s">
        <v>3086</v>
      </c>
    </row>
    <row r="1296" spans="1:9">
      <c r="A1296" s="2963" t="s">
        <v>3328</v>
      </c>
      <c r="B1296" s="2963" t="s">
        <v>4273</v>
      </c>
      <c r="D1296" s="2963">
        <v>2127</v>
      </c>
      <c r="E1296" s="2963" t="s">
        <v>4448</v>
      </c>
      <c r="F1296" s="2966">
        <v>170000</v>
      </c>
      <c r="G1296" s="2971">
        <v>43.77</v>
      </c>
      <c r="H1296" s="2963" t="s">
        <v>3185</v>
      </c>
      <c r="I1296" s="2963" t="s">
        <v>3086</v>
      </c>
    </row>
    <row r="1297" spans="1:9">
      <c r="A1297" s="2963" t="s">
        <v>3328</v>
      </c>
      <c r="B1297" s="2963" t="s">
        <v>4273</v>
      </c>
      <c r="D1297" s="2963">
        <v>2128</v>
      </c>
      <c r="E1297" s="2963" t="s">
        <v>4449</v>
      </c>
      <c r="F1297" s="2966">
        <v>170000</v>
      </c>
      <c r="G1297" s="2971">
        <v>43.77</v>
      </c>
      <c r="H1297" s="2963" t="s">
        <v>3185</v>
      </c>
      <c r="I1297" s="2963" t="s">
        <v>3086</v>
      </c>
    </row>
    <row r="1298" spans="1:9">
      <c r="A1298" s="2963" t="s">
        <v>3328</v>
      </c>
      <c r="B1298" s="2963" t="s">
        <v>4273</v>
      </c>
      <c r="D1298" s="2963">
        <v>2129</v>
      </c>
      <c r="E1298" s="2963" t="s">
        <v>4450</v>
      </c>
      <c r="F1298" s="2966">
        <v>170000</v>
      </c>
      <c r="G1298" s="2971">
        <v>43.77</v>
      </c>
      <c r="H1298" s="2963" t="s">
        <v>3185</v>
      </c>
      <c r="I1298" s="2963" t="s">
        <v>3086</v>
      </c>
    </row>
    <row r="1299" spans="1:9">
      <c r="A1299" s="2963" t="s">
        <v>3328</v>
      </c>
      <c r="B1299" s="2963" t="s">
        <v>4273</v>
      </c>
      <c r="D1299" s="2963">
        <v>2130</v>
      </c>
      <c r="E1299" s="2963" t="s">
        <v>4451</v>
      </c>
      <c r="F1299" s="2966">
        <v>170000</v>
      </c>
      <c r="G1299" s="2971">
        <v>43.77</v>
      </c>
      <c r="H1299" s="2963" t="s">
        <v>3185</v>
      </c>
      <c r="I1299" s="2963" t="s">
        <v>3086</v>
      </c>
    </row>
    <row r="1300" spans="1:9">
      <c r="A1300" s="2963" t="s">
        <v>3328</v>
      </c>
      <c r="B1300" s="2963" t="s">
        <v>4273</v>
      </c>
      <c r="D1300" s="2963">
        <v>2131</v>
      </c>
      <c r="E1300" s="2963" t="s">
        <v>4452</v>
      </c>
      <c r="F1300" s="2966">
        <v>170000</v>
      </c>
      <c r="G1300" s="2971">
        <v>43.77</v>
      </c>
      <c r="H1300" s="2963" t="s">
        <v>3185</v>
      </c>
      <c r="I1300" s="2963" t="s">
        <v>3086</v>
      </c>
    </row>
    <row r="1301" spans="1:9">
      <c r="A1301" s="2963" t="s">
        <v>3328</v>
      </c>
      <c r="B1301" s="2963" t="s">
        <v>4273</v>
      </c>
      <c r="D1301" s="2963">
        <v>2132</v>
      </c>
      <c r="E1301" s="2963" t="s">
        <v>4453</v>
      </c>
      <c r="F1301" s="2966">
        <v>170000</v>
      </c>
      <c r="G1301" s="2971">
        <v>43.77</v>
      </c>
      <c r="H1301" s="2963" t="s">
        <v>3185</v>
      </c>
      <c r="I1301" s="2963" t="s">
        <v>3086</v>
      </c>
    </row>
    <row r="1302" spans="1:9">
      <c r="A1302" s="2963" t="s">
        <v>3328</v>
      </c>
      <c r="B1302" s="2963" t="s">
        <v>4273</v>
      </c>
      <c r="D1302" s="2963">
        <v>2133</v>
      </c>
      <c r="E1302" s="2963" t="s">
        <v>4454</v>
      </c>
      <c r="F1302" s="2966">
        <v>170000</v>
      </c>
      <c r="G1302" s="2971">
        <v>43.77</v>
      </c>
      <c r="H1302" s="2963" t="s">
        <v>3185</v>
      </c>
      <c r="I1302" s="2963" t="s">
        <v>3086</v>
      </c>
    </row>
    <row r="1303" spans="1:9">
      <c r="A1303" s="2963" t="s">
        <v>3328</v>
      </c>
      <c r="B1303" s="2963" t="s">
        <v>4273</v>
      </c>
      <c r="D1303" s="2963">
        <v>2134</v>
      </c>
      <c r="E1303" s="2963" t="s">
        <v>4455</v>
      </c>
      <c r="F1303" s="2966">
        <v>170000</v>
      </c>
      <c r="G1303" s="2971">
        <v>43.77</v>
      </c>
      <c r="H1303" s="2963" t="s">
        <v>3185</v>
      </c>
      <c r="I1303" s="2963" t="s">
        <v>3086</v>
      </c>
    </row>
    <row r="1304" spans="1:9">
      <c r="A1304" s="2963" t="s">
        <v>3328</v>
      </c>
      <c r="B1304" s="2963" t="s">
        <v>4273</v>
      </c>
      <c r="D1304" s="2963">
        <v>2135</v>
      </c>
      <c r="E1304" s="2963" t="s">
        <v>4456</v>
      </c>
      <c r="F1304" s="2966">
        <v>170000</v>
      </c>
      <c r="G1304" s="2971">
        <v>43.77</v>
      </c>
      <c r="H1304" s="2963" t="s">
        <v>3185</v>
      </c>
      <c r="I1304" s="2963" t="s">
        <v>3086</v>
      </c>
    </row>
    <row r="1305" spans="1:9">
      <c r="A1305" s="2963" t="s">
        <v>3328</v>
      </c>
      <c r="B1305" s="2963" t="s">
        <v>4273</v>
      </c>
      <c r="D1305" s="2963">
        <v>2140</v>
      </c>
      <c r="E1305" s="2963" t="s">
        <v>4457</v>
      </c>
      <c r="F1305" s="2966">
        <v>170000</v>
      </c>
      <c r="G1305" s="2971">
        <v>43.77</v>
      </c>
      <c r="H1305" s="2963" t="s">
        <v>3185</v>
      </c>
      <c r="I1305" s="2963" t="s">
        <v>3086</v>
      </c>
    </row>
    <row r="1306" spans="1:9">
      <c r="A1306" s="2963" t="s">
        <v>3328</v>
      </c>
      <c r="B1306" s="2963" t="s">
        <v>4273</v>
      </c>
      <c r="D1306" s="2963">
        <v>2141</v>
      </c>
      <c r="E1306" s="2963" t="s">
        <v>4458</v>
      </c>
      <c r="F1306" s="2966">
        <v>170000</v>
      </c>
      <c r="G1306" s="2971">
        <v>43.77</v>
      </c>
      <c r="H1306" s="2963" t="s">
        <v>3185</v>
      </c>
      <c r="I1306" s="2963" t="s">
        <v>3086</v>
      </c>
    </row>
    <row r="1307" spans="1:9">
      <c r="A1307" s="2963" t="s">
        <v>3328</v>
      </c>
      <c r="B1307" s="2963" t="s">
        <v>4273</v>
      </c>
      <c r="D1307" s="2963">
        <v>2142</v>
      </c>
      <c r="E1307" s="2963" t="s">
        <v>4459</v>
      </c>
      <c r="F1307" s="2966">
        <v>280000</v>
      </c>
      <c r="G1307" s="2971">
        <v>87.54</v>
      </c>
      <c r="H1307" s="2963" t="s">
        <v>3185</v>
      </c>
      <c r="I1307" s="2963" t="s">
        <v>3086</v>
      </c>
    </row>
    <row r="1308" spans="1:9">
      <c r="A1308" s="2963" t="s">
        <v>3328</v>
      </c>
      <c r="B1308" s="2963" t="s">
        <v>4273</v>
      </c>
      <c r="D1308" s="2963">
        <v>2143</v>
      </c>
      <c r="E1308" s="2963" t="s">
        <v>4460</v>
      </c>
      <c r="F1308" s="2966">
        <v>170000</v>
      </c>
      <c r="G1308" s="2971">
        <v>43.77</v>
      </c>
      <c r="H1308" s="2963" t="s">
        <v>3185</v>
      </c>
      <c r="I1308" s="2963" t="s">
        <v>3086</v>
      </c>
    </row>
    <row r="1309" spans="1:9">
      <c r="A1309" s="2963" t="s">
        <v>3328</v>
      </c>
      <c r="B1309" s="2963" t="s">
        <v>4273</v>
      </c>
      <c r="D1309" s="2963">
        <v>2144</v>
      </c>
      <c r="E1309" s="2963" t="s">
        <v>4461</v>
      </c>
      <c r="F1309" s="2966">
        <v>170000</v>
      </c>
      <c r="G1309" s="2971">
        <v>43.77</v>
      </c>
      <c r="H1309" s="2963" t="s">
        <v>3185</v>
      </c>
      <c r="I1309" s="2963" t="s">
        <v>3086</v>
      </c>
    </row>
    <row r="1310" spans="1:9">
      <c r="A1310" s="2963" t="s">
        <v>3328</v>
      </c>
      <c r="B1310" s="2963" t="s">
        <v>4273</v>
      </c>
      <c r="D1310" s="2963">
        <v>2145</v>
      </c>
      <c r="E1310" s="2963" t="s">
        <v>4462</v>
      </c>
      <c r="F1310" s="2966">
        <v>170000</v>
      </c>
      <c r="G1310" s="2971">
        <v>43.77</v>
      </c>
      <c r="H1310" s="2963" t="s">
        <v>3185</v>
      </c>
      <c r="I1310" s="2963" t="s">
        <v>3086</v>
      </c>
    </row>
    <row r="1311" spans="1:9">
      <c r="A1311" s="2963" t="s">
        <v>3328</v>
      </c>
      <c r="B1311" s="2963" t="s">
        <v>4273</v>
      </c>
      <c r="D1311" s="2963">
        <v>2146</v>
      </c>
      <c r="E1311" s="2963" t="s">
        <v>4463</v>
      </c>
      <c r="F1311" s="2966">
        <v>170000</v>
      </c>
      <c r="G1311" s="2971">
        <v>43.77</v>
      </c>
      <c r="H1311" s="2963" t="s">
        <v>3185</v>
      </c>
      <c r="I1311" s="2963" t="s">
        <v>3086</v>
      </c>
    </row>
    <row r="1312" spans="1:9">
      <c r="A1312" s="2963" t="s">
        <v>3328</v>
      </c>
      <c r="B1312" s="2963" t="s">
        <v>4273</v>
      </c>
      <c r="D1312" s="2963">
        <v>2147</v>
      </c>
      <c r="E1312" s="2963" t="s">
        <v>4464</v>
      </c>
      <c r="F1312" s="2966">
        <v>170000</v>
      </c>
      <c r="G1312" s="2971">
        <v>43.77</v>
      </c>
      <c r="H1312" s="2963" t="s">
        <v>3185</v>
      </c>
      <c r="I1312" s="2963" t="s">
        <v>3086</v>
      </c>
    </row>
    <row r="1313" spans="1:9">
      <c r="A1313" s="2963" t="s">
        <v>3328</v>
      </c>
      <c r="B1313" s="2963" t="s">
        <v>4273</v>
      </c>
      <c r="D1313" s="2963">
        <v>2148</v>
      </c>
      <c r="E1313" s="2963" t="s">
        <v>4465</v>
      </c>
      <c r="F1313" s="2966">
        <v>170000</v>
      </c>
      <c r="G1313" s="2971">
        <v>43.77</v>
      </c>
      <c r="H1313" s="2963" t="s">
        <v>3185</v>
      </c>
      <c r="I1313" s="2963" t="s">
        <v>3086</v>
      </c>
    </row>
    <row r="1314" spans="1:9">
      <c r="A1314" s="2963" t="s">
        <v>3328</v>
      </c>
      <c r="B1314" s="2963" t="s">
        <v>4273</v>
      </c>
      <c r="D1314" s="2963">
        <v>2149</v>
      </c>
      <c r="E1314" s="2963" t="s">
        <v>4466</v>
      </c>
      <c r="F1314" s="2966">
        <v>170000</v>
      </c>
      <c r="G1314" s="2971">
        <v>43.77</v>
      </c>
      <c r="H1314" s="2963" t="s">
        <v>3185</v>
      </c>
      <c r="I1314" s="2963" t="s">
        <v>3086</v>
      </c>
    </row>
    <row r="1315" spans="1:9">
      <c r="A1315" s="2963" t="s">
        <v>3328</v>
      </c>
      <c r="B1315" s="2963" t="s">
        <v>4273</v>
      </c>
      <c r="D1315" s="2963">
        <v>215</v>
      </c>
      <c r="E1315" s="2963" t="s">
        <v>4467</v>
      </c>
      <c r="F1315" s="2966">
        <v>170000</v>
      </c>
      <c r="G1315" s="2971">
        <v>43.77</v>
      </c>
      <c r="H1315" s="2963" t="s">
        <v>3185</v>
      </c>
      <c r="I1315" s="2963" t="s">
        <v>3086</v>
      </c>
    </row>
    <row r="1316" spans="1:9">
      <c r="A1316" s="2963" t="s">
        <v>3328</v>
      </c>
      <c r="B1316" s="2963" t="s">
        <v>4273</v>
      </c>
      <c r="D1316" s="2963">
        <v>2150</v>
      </c>
      <c r="E1316" s="2963" t="s">
        <v>4468</v>
      </c>
      <c r="F1316" s="2966">
        <v>170000</v>
      </c>
      <c r="G1316" s="2971">
        <v>43.77</v>
      </c>
      <c r="H1316" s="2963" t="s">
        <v>3185</v>
      </c>
      <c r="I1316" s="2963" t="s">
        <v>3086</v>
      </c>
    </row>
    <row r="1317" spans="1:9">
      <c r="A1317" s="2963" t="s">
        <v>3328</v>
      </c>
      <c r="B1317" s="2963" t="s">
        <v>4273</v>
      </c>
      <c r="D1317" s="2963">
        <v>2151</v>
      </c>
      <c r="E1317" s="2963" t="s">
        <v>4469</v>
      </c>
      <c r="F1317" s="2966">
        <v>170000</v>
      </c>
      <c r="G1317" s="2971">
        <v>43.77</v>
      </c>
      <c r="H1317" s="2963" t="s">
        <v>3185</v>
      </c>
      <c r="I1317" s="2963" t="s">
        <v>3086</v>
      </c>
    </row>
    <row r="1318" spans="1:9">
      <c r="A1318" s="2963" t="s">
        <v>3328</v>
      </c>
      <c r="B1318" s="2963" t="s">
        <v>4273</v>
      </c>
      <c r="D1318" s="2963">
        <v>2152</v>
      </c>
      <c r="E1318" s="2963" t="s">
        <v>4470</v>
      </c>
      <c r="F1318" s="2966">
        <v>170000</v>
      </c>
      <c r="G1318" s="2971">
        <v>43.77</v>
      </c>
      <c r="H1318" s="2963" t="s">
        <v>3185</v>
      </c>
      <c r="I1318" s="2963" t="s">
        <v>3086</v>
      </c>
    </row>
    <row r="1319" spans="1:9">
      <c r="A1319" s="2963" t="s">
        <v>3328</v>
      </c>
      <c r="B1319" s="2963" t="s">
        <v>4273</v>
      </c>
      <c r="D1319" s="2963">
        <v>2153</v>
      </c>
      <c r="E1319" s="2963" t="s">
        <v>4471</v>
      </c>
      <c r="F1319" s="2966">
        <v>170000</v>
      </c>
      <c r="G1319" s="2971">
        <v>43.77</v>
      </c>
      <c r="H1319" s="2963" t="s">
        <v>3185</v>
      </c>
      <c r="I1319" s="2963" t="s">
        <v>3086</v>
      </c>
    </row>
    <row r="1320" spans="1:9">
      <c r="A1320" s="2963" t="s">
        <v>3328</v>
      </c>
      <c r="B1320" s="2963" t="s">
        <v>4273</v>
      </c>
      <c r="D1320" s="2963">
        <v>2154</v>
      </c>
      <c r="E1320" s="2963" t="s">
        <v>4472</v>
      </c>
      <c r="F1320" s="2966">
        <v>170000</v>
      </c>
      <c r="G1320" s="2971">
        <v>43.77</v>
      </c>
      <c r="H1320" s="2963" t="s">
        <v>3185</v>
      </c>
      <c r="I1320" s="2963" t="s">
        <v>3086</v>
      </c>
    </row>
    <row r="1321" spans="1:9">
      <c r="A1321" s="2963" t="s">
        <v>3328</v>
      </c>
      <c r="B1321" s="2963" t="s">
        <v>4273</v>
      </c>
      <c r="D1321" s="2963">
        <v>2155</v>
      </c>
      <c r="E1321" s="2963" t="s">
        <v>4473</v>
      </c>
      <c r="F1321" s="2966">
        <v>170000</v>
      </c>
      <c r="G1321" s="2971">
        <v>43.77</v>
      </c>
      <c r="H1321" s="2963" t="s">
        <v>3185</v>
      </c>
      <c r="I1321" s="2963" t="s">
        <v>3086</v>
      </c>
    </row>
    <row r="1322" spans="1:9">
      <c r="A1322" s="2963" t="s">
        <v>3328</v>
      </c>
      <c r="B1322" s="2963" t="s">
        <v>4273</v>
      </c>
      <c r="D1322" s="2963">
        <v>2156</v>
      </c>
      <c r="E1322" s="2963" t="s">
        <v>4474</v>
      </c>
      <c r="F1322" s="2966">
        <v>170000</v>
      </c>
      <c r="G1322" s="2971">
        <v>43.77</v>
      </c>
      <c r="H1322" s="2963" t="s">
        <v>3185</v>
      </c>
      <c r="I1322" s="2963" t="s">
        <v>3086</v>
      </c>
    </row>
    <row r="1323" spans="1:9">
      <c r="A1323" s="2963" t="s">
        <v>3328</v>
      </c>
      <c r="B1323" s="2963" t="s">
        <v>4273</v>
      </c>
      <c r="D1323" s="2963">
        <v>2157</v>
      </c>
      <c r="E1323" s="2963" t="s">
        <v>4475</v>
      </c>
      <c r="F1323" s="2966">
        <v>170000</v>
      </c>
      <c r="G1323" s="2971">
        <v>43.77</v>
      </c>
      <c r="H1323" s="2963" t="s">
        <v>3185</v>
      </c>
      <c r="I1323" s="2963" t="s">
        <v>3086</v>
      </c>
    </row>
    <row r="1324" spans="1:9">
      <c r="A1324" s="2963" t="s">
        <v>3328</v>
      </c>
      <c r="B1324" s="2963" t="s">
        <v>4273</v>
      </c>
      <c r="D1324" s="2963">
        <v>2158</v>
      </c>
      <c r="E1324" s="2963" t="s">
        <v>4476</v>
      </c>
      <c r="F1324" s="2966">
        <v>170000</v>
      </c>
      <c r="G1324" s="2971">
        <v>43.77</v>
      </c>
      <c r="H1324" s="2963" t="s">
        <v>3185</v>
      </c>
      <c r="I1324" s="2963" t="s">
        <v>3086</v>
      </c>
    </row>
    <row r="1325" spans="1:9">
      <c r="A1325" s="2963" t="s">
        <v>3328</v>
      </c>
      <c r="B1325" s="2963" t="s">
        <v>4273</v>
      </c>
      <c r="D1325" s="2963">
        <v>2159</v>
      </c>
      <c r="E1325" s="2963" t="s">
        <v>4477</v>
      </c>
      <c r="F1325" s="2966">
        <v>170000</v>
      </c>
      <c r="G1325" s="2971">
        <v>43.77</v>
      </c>
      <c r="H1325" s="2963" t="s">
        <v>3185</v>
      </c>
      <c r="I1325" s="2963" t="s">
        <v>3086</v>
      </c>
    </row>
    <row r="1326" spans="1:9">
      <c r="A1326" s="2963" t="s">
        <v>3328</v>
      </c>
      <c r="B1326" s="2963" t="s">
        <v>4273</v>
      </c>
      <c r="D1326" s="2963">
        <v>2160</v>
      </c>
      <c r="E1326" s="2963" t="s">
        <v>4478</v>
      </c>
      <c r="F1326" s="2966">
        <v>170000</v>
      </c>
      <c r="G1326" s="2971">
        <v>43.77</v>
      </c>
      <c r="H1326" s="2963" t="s">
        <v>3185</v>
      </c>
      <c r="I1326" s="2963" t="s">
        <v>3086</v>
      </c>
    </row>
    <row r="1327" spans="1:9">
      <c r="A1327" s="2963" t="s">
        <v>3328</v>
      </c>
      <c r="B1327" s="2963" t="s">
        <v>4273</v>
      </c>
      <c r="D1327" s="2963">
        <v>2161</v>
      </c>
      <c r="E1327" s="2963" t="s">
        <v>4479</v>
      </c>
      <c r="F1327" s="2966">
        <v>170000</v>
      </c>
      <c r="G1327" s="2971">
        <v>43.77</v>
      </c>
      <c r="H1327" s="2963" t="s">
        <v>3185</v>
      </c>
      <c r="I1327" s="2963" t="s">
        <v>3086</v>
      </c>
    </row>
    <row r="1328" spans="1:9">
      <c r="A1328" s="2963" t="s">
        <v>3328</v>
      </c>
      <c r="B1328" s="2963" t="s">
        <v>4273</v>
      </c>
      <c r="D1328" s="2963">
        <v>2162</v>
      </c>
      <c r="E1328" s="2963" t="s">
        <v>4480</v>
      </c>
      <c r="F1328" s="2966">
        <v>170000</v>
      </c>
      <c r="G1328" s="2971">
        <v>43.77</v>
      </c>
      <c r="H1328" s="2963" t="s">
        <v>3185</v>
      </c>
      <c r="I1328" s="2963" t="s">
        <v>3086</v>
      </c>
    </row>
    <row r="1329" spans="1:9">
      <c r="A1329" s="2963" t="s">
        <v>3328</v>
      </c>
      <c r="B1329" s="2963" t="s">
        <v>4273</v>
      </c>
      <c r="D1329" s="2963">
        <v>2163</v>
      </c>
      <c r="E1329" s="2963" t="s">
        <v>4481</v>
      </c>
      <c r="F1329" s="2966">
        <v>170000</v>
      </c>
      <c r="G1329" s="2971">
        <v>43.77</v>
      </c>
      <c r="H1329" s="2963" t="s">
        <v>3185</v>
      </c>
      <c r="I1329" s="2963" t="s">
        <v>3086</v>
      </c>
    </row>
    <row r="1330" spans="1:9">
      <c r="A1330" s="2963" t="s">
        <v>3328</v>
      </c>
      <c r="B1330" s="2963" t="s">
        <v>4273</v>
      </c>
      <c r="D1330" s="2963">
        <v>2164</v>
      </c>
      <c r="E1330" s="2963" t="s">
        <v>4482</v>
      </c>
      <c r="F1330" s="2966">
        <v>170000</v>
      </c>
      <c r="G1330" s="2971">
        <v>43.77</v>
      </c>
      <c r="H1330" s="2963" t="s">
        <v>3185</v>
      </c>
      <c r="I1330" s="2963" t="s">
        <v>3086</v>
      </c>
    </row>
    <row r="1331" spans="1:9">
      <c r="A1331" s="2963" t="s">
        <v>3328</v>
      </c>
      <c r="B1331" s="2963" t="s">
        <v>4273</v>
      </c>
      <c r="D1331" s="2963">
        <v>2165</v>
      </c>
      <c r="E1331" s="2963" t="s">
        <v>4483</v>
      </c>
      <c r="F1331" s="2966">
        <v>170000</v>
      </c>
      <c r="G1331" s="2971">
        <v>43.77</v>
      </c>
      <c r="H1331" s="2963" t="s">
        <v>3185</v>
      </c>
      <c r="I1331" s="2963" t="s">
        <v>3086</v>
      </c>
    </row>
    <row r="1332" spans="1:9">
      <c r="A1332" s="2963" t="s">
        <v>3328</v>
      </c>
      <c r="B1332" s="2963" t="s">
        <v>4273</v>
      </c>
      <c r="D1332" s="2963">
        <v>2166</v>
      </c>
      <c r="E1332" s="2963" t="s">
        <v>4484</v>
      </c>
      <c r="F1332" s="2966">
        <v>170000</v>
      </c>
      <c r="G1332" s="2971">
        <v>43.77</v>
      </c>
      <c r="H1332" s="2963" t="s">
        <v>3185</v>
      </c>
      <c r="I1332" s="2963" t="s">
        <v>3086</v>
      </c>
    </row>
    <row r="1333" spans="1:9">
      <c r="A1333" s="2963" t="s">
        <v>3328</v>
      </c>
      <c r="B1333" s="2963" t="s">
        <v>4273</v>
      </c>
      <c r="D1333" s="2963">
        <v>2167</v>
      </c>
      <c r="E1333" s="2963" t="s">
        <v>4485</v>
      </c>
      <c r="F1333" s="2966">
        <v>170000</v>
      </c>
      <c r="G1333" s="2971">
        <v>43.77</v>
      </c>
      <c r="H1333" s="2963" t="s">
        <v>3185</v>
      </c>
      <c r="I1333" s="2963" t="s">
        <v>3086</v>
      </c>
    </row>
    <row r="1334" spans="1:9">
      <c r="A1334" s="2963" t="s">
        <v>3328</v>
      </c>
      <c r="B1334" s="2963" t="s">
        <v>4273</v>
      </c>
      <c r="D1334" s="2963">
        <v>2168</v>
      </c>
      <c r="E1334" s="2963" t="s">
        <v>4486</v>
      </c>
      <c r="F1334" s="2966">
        <v>170000</v>
      </c>
      <c r="G1334" s="2971">
        <v>43.77</v>
      </c>
      <c r="H1334" s="2963" t="s">
        <v>3185</v>
      </c>
      <c r="I1334" s="2963" t="s">
        <v>3086</v>
      </c>
    </row>
    <row r="1335" spans="1:9">
      <c r="A1335" s="2963" t="s">
        <v>3328</v>
      </c>
      <c r="B1335" s="2963" t="s">
        <v>4273</v>
      </c>
      <c r="D1335" s="2963">
        <v>2169</v>
      </c>
      <c r="E1335" s="2963" t="s">
        <v>4487</v>
      </c>
      <c r="F1335" s="2966">
        <v>170000</v>
      </c>
      <c r="G1335" s="2971">
        <v>43.77</v>
      </c>
      <c r="H1335" s="2963" t="s">
        <v>3185</v>
      </c>
      <c r="I1335" s="2963" t="s">
        <v>3086</v>
      </c>
    </row>
    <row r="1336" spans="1:9">
      <c r="A1336" s="2963" t="s">
        <v>3328</v>
      </c>
      <c r="B1336" s="2963" t="s">
        <v>4273</v>
      </c>
      <c r="D1336" s="2963">
        <v>2170</v>
      </c>
      <c r="E1336" s="2963" t="s">
        <v>4488</v>
      </c>
      <c r="F1336" s="2966">
        <v>170000</v>
      </c>
      <c r="G1336" s="2971">
        <v>43.77</v>
      </c>
      <c r="H1336" s="2963" t="s">
        <v>3185</v>
      </c>
      <c r="I1336" s="2963" t="s">
        <v>3086</v>
      </c>
    </row>
    <row r="1337" spans="1:9">
      <c r="A1337" s="2963" t="s">
        <v>3328</v>
      </c>
      <c r="B1337" s="2963" t="s">
        <v>4273</v>
      </c>
      <c r="D1337" s="2963">
        <v>2171</v>
      </c>
      <c r="E1337" s="2963" t="s">
        <v>4489</v>
      </c>
      <c r="F1337" s="2966">
        <v>170000</v>
      </c>
      <c r="G1337" s="2971">
        <v>43.77</v>
      </c>
      <c r="H1337" s="2963" t="s">
        <v>3185</v>
      </c>
      <c r="I1337" s="2963" t="s">
        <v>3086</v>
      </c>
    </row>
    <row r="1338" spans="1:9">
      <c r="A1338" s="2963" t="s">
        <v>3328</v>
      </c>
      <c r="B1338" s="2963" t="s">
        <v>4273</v>
      </c>
      <c r="D1338" s="2963">
        <v>2172</v>
      </c>
      <c r="E1338" s="2963" t="s">
        <v>4490</v>
      </c>
      <c r="F1338" s="2966">
        <v>170000</v>
      </c>
      <c r="G1338" s="2971">
        <v>43.77</v>
      </c>
      <c r="H1338" s="2963" t="s">
        <v>3185</v>
      </c>
      <c r="I1338" s="2963" t="s">
        <v>3086</v>
      </c>
    </row>
    <row r="1339" spans="1:9">
      <c r="A1339" s="2963" t="s">
        <v>3328</v>
      </c>
      <c r="B1339" s="2963" t="s">
        <v>4273</v>
      </c>
      <c r="D1339" s="2963">
        <v>2173</v>
      </c>
      <c r="E1339" s="2963" t="s">
        <v>4491</v>
      </c>
      <c r="F1339" s="2966">
        <v>170000</v>
      </c>
      <c r="G1339" s="2971">
        <v>43.77</v>
      </c>
      <c r="H1339" s="2963" t="s">
        <v>3185</v>
      </c>
      <c r="I1339" s="2963" t="s">
        <v>3086</v>
      </c>
    </row>
    <row r="1340" spans="1:9">
      <c r="A1340" s="2963" t="s">
        <v>3328</v>
      </c>
      <c r="B1340" s="2963" t="s">
        <v>4273</v>
      </c>
      <c r="D1340" s="2963">
        <v>2174</v>
      </c>
      <c r="E1340" s="2963" t="s">
        <v>4492</v>
      </c>
      <c r="F1340" s="2966">
        <v>170000</v>
      </c>
      <c r="G1340" s="2971">
        <v>43.77</v>
      </c>
      <c r="H1340" s="2963" t="s">
        <v>3185</v>
      </c>
      <c r="I1340" s="2963" t="s">
        <v>3086</v>
      </c>
    </row>
    <row r="1341" spans="1:9">
      <c r="A1341" s="2963" t="s">
        <v>3328</v>
      </c>
      <c r="B1341" s="2963" t="s">
        <v>4273</v>
      </c>
      <c r="D1341" s="2963">
        <v>2175</v>
      </c>
      <c r="E1341" s="2963" t="s">
        <v>4493</v>
      </c>
      <c r="F1341" s="2966">
        <v>170000</v>
      </c>
      <c r="G1341" s="2971">
        <v>43.77</v>
      </c>
      <c r="H1341" s="2963" t="s">
        <v>3185</v>
      </c>
      <c r="I1341" s="2963" t="s">
        <v>3086</v>
      </c>
    </row>
    <row r="1342" spans="1:9">
      <c r="A1342" s="2963" t="s">
        <v>3328</v>
      </c>
      <c r="B1342" s="2963" t="s">
        <v>4273</v>
      </c>
      <c r="D1342" s="2963">
        <v>2179</v>
      </c>
      <c r="E1342" s="2963" t="s">
        <v>4494</v>
      </c>
      <c r="F1342" s="2966">
        <v>170000</v>
      </c>
      <c r="G1342" s="2971">
        <v>43.77</v>
      </c>
      <c r="H1342" s="2963" t="s">
        <v>3185</v>
      </c>
      <c r="I1342" s="2963" t="s">
        <v>3086</v>
      </c>
    </row>
    <row r="1343" spans="1:9">
      <c r="A1343" s="2963" t="s">
        <v>3328</v>
      </c>
      <c r="B1343" s="2963" t="s">
        <v>4273</v>
      </c>
      <c r="D1343" s="2963">
        <v>2191</v>
      </c>
      <c r="E1343" s="2963" t="s">
        <v>4495</v>
      </c>
      <c r="F1343" s="2966">
        <v>170000</v>
      </c>
      <c r="G1343" s="2971">
        <v>43.77</v>
      </c>
      <c r="H1343" s="2963" t="s">
        <v>3185</v>
      </c>
      <c r="I1343" s="2963" t="s">
        <v>3086</v>
      </c>
    </row>
    <row r="1344" spans="1:9">
      <c r="A1344" s="2963" t="s">
        <v>3328</v>
      </c>
      <c r="B1344" s="2963" t="s">
        <v>4273</v>
      </c>
      <c r="D1344" s="2963">
        <v>2192</v>
      </c>
      <c r="E1344" s="2963" t="s">
        <v>4496</v>
      </c>
      <c r="F1344" s="2966">
        <v>170000</v>
      </c>
      <c r="G1344" s="2971">
        <v>43.77</v>
      </c>
      <c r="H1344" s="2963" t="s">
        <v>3185</v>
      </c>
      <c r="I1344" s="2963" t="s">
        <v>3086</v>
      </c>
    </row>
    <row r="1345" spans="1:9">
      <c r="A1345" s="2963" t="s">
        <v>3328</v>
      </c>
      <c r="B1345" s="2963" t="s">
        <v>4273</v>
      </c>
      <c r="D1345" s="2963">
        <v>2193</v>
      </c>
      <c r="E1345" s="2963" t="s">
        <v>4497</v>
      </c>
      <c r="F1345" s="2966">
        <v>170000</v>
      </c>
      <c r="G1345" s="2971">
        <v>43.77</v>
      </c>
      <c r="H1345" s="2963" t="s">
        <v>3185</v>
      </c>
      <c r="I1345" s="2963" t="s">
        <v>3086</v>
      </c>
    </row>
    <row r="1346" spans="1:9">
      <c r="A1346" s="2963" t="s">
        <v>3328</v>
      </c>
      <c r="B1346" s="2963" t="s">
        <v>4273</v>
      </c>
      <c r="D1346" s="2963">
        <v>2194</v>
      </c>
      <c r="E1346" s="2963" t="s">
        <v>4498</v>
      </c>
      <c r="F1346" s="2966">
        <v>170000</v>
      </c>
      <c r="G1346" s="2971">
        <v>43.77</v>
      </c>
      <c r="H1346" s="2963" t="s">
        <v>3185</v>
      </c>
      <c r="I1346" s="2963" t="s">
        <v>3086</v>
      </c>
    </row>
    <row r="1347" spans="1:9">
      <c r="A1347" s="2963" t="s">
        <v>3328</v>
      </c>
      <c r="B1347" s="2963" t="s">
        <v>4273</v>
      </c>
      <c r="D1347" s="2963">
        <v>2195</v>
      </c>
      <c r="E1347" s="2963" t="s">
        <v>4499</v>
      </c>
      <c r="F1347" s="2966">
        <v>170000</v>
      </c>
      <c r="G1347" s="2971">
        <v>43.77</v>
      </c>
      <c r="H1347" s="2963" t="s">
        <v>3185</v>
      </c>
      <c r="I1347" s="2963" t="s">
        <v>3086</v>
      </c>
    </row>
    <row r="1348" spans="1:9">
      <c r="A1348" s="2963" t="s">
        <v>3328</v>
      </c>
      <c r="B1348" s="2963" t="s">
        <v>4273</v>
      </c>
      <c r="D1348" s="2963">
        <v>2196</v>
      </c>
      <c r="E1348" s="2963" t="s">
        <v>4500</v>
      </c>
      <c r="F1348" s="2966">
        <v>170000</v>
      </c>
      <c r="G1348" s="2971">
        <v>43.77</v>
      </c>
      <c r="H1348" s="2963" t="s">
        <v>3185</v>
      </c>
      <c r="I1348" s="2963" t="s">
        <v>3086</v>
      </c>
    </row>
    <row r="1349" spans="1:9">
      <c r="A1349" s="2963" t="s">
        <v>3328</v>
      </c>
      <c r="B1349" s="2963" t="s">
        <v>4273</v>
      </c>
      <c r="D1349" s="2963">
        <v>2197</v>
      </c>
      <c r="E1349" s="2963" t="s">
        <v>4501</v>
      </c>
      <c r="F1349" s="2966">
        <v>170000</v>
      </c>
      <c r="G1349" s="2971">
        <v>43.77</v>
      </c>
      <c r="H1349" s="2963" t="s">
        <v>3185</v>
      </c>
      <c r="I1349" s="2963" t="s">
        <v>3086</v>
      </c>
    </row>
    <row r="1350" spans="1:9">
      <c r="A1350" s="2963" t="s">
        <v>3328</v>
      </c>
      <c r="B1350" s="2963" t="s">
        <v>4273</v>
      </c>
      <c r="D1350" s="2963">
        <v>2198</v>
      </c>
      <c r="E1350" s="2963" t="s">
        <v>4502</v>
      </c>
      <c r="F1350" s="2966">
        <v>170000</v>
      </c>
      <c r="G1350" s="2971">
        <v>43.77</v>
      </c>
      <c r="H1350" s="2963" t="s">
        <v>3185</v>
      </c>
      <c r="I1350" s="2963" t="s">
        <v>3086</v>
      </c>
    </row>
    <row r="1351" spans="1:9">
      <c r="A1351" s="2963" t="s">
        <v>3328</v>
      </c>
      <c r="B1351" s="2963" t="s">
        <v>4273</v>
      </c>
      <c r="D1351" s="2963">
        <v>2199</v>
      </c>
      <c r="E1351" s="2963" t="s">
        <v>4503</v>
      </c>
      <c r="F1351" s="2966">
        <v>170000</v>
      </c>
      <c r="G1351" s="2971">
        <v>43.77</v>
      </c>
      <c r="H1351" s="2963" t="s">
        <v>3185</v>
      </c>
      <c r="I1351" s="2963" t="s">
        <v>3086</v>
      </c>
    </row>
    <row r="1352" spans="1:9">
      <c r="A1352" s="2963" t="s">
        <v>3328</v>
      </c>
      <c r="B1352" s="2963" t="s">
        <v>4273</v>
      </c>
      <c r="D1352" s="2963">
        <v>2201</v>
      </c>
      <c r="E1352" s="2963" t="s">
        <v>4504</v>
      </c>
      <c r="F1352" s="2966">
        <v>170000</v>
      </c>
      <c r="G1352" s="2971">
        <v>43.77</v>
      </c>
      <c r="H1352" s="2963" t="s">
        <v>3185</v>
      </c>
      <c r="I1352" s="2963" t="s">
        <v>3086</v>
      </c>
    </row>
    <row r="1353" spans="1:9">
      <c r="A1353" s="2963" t="s">
        <v>3328</v>
      </c>
      <c r="B1353" s="2963" t="s">
        <v>4273</v>
      </c>
      <c r="D1353" s="2963">
        <v>2202</v>
      </c>
      <c r="E1353" s="2963" t="s">
        <v>4505</v>
      </c>
      <c r="F1353" s="2966">
        <v>170000</v>
      </c>
      <c r="G1353" s="2971">
        <v>43.77</v>
      </c>
      <c r="H1353" s="2963" t="s">
        <v>3185</v>
      </c>
      <c r="I1353" s="2963" t="s">
        <v>3086</v>
      </c>
    </row>
    <row r="1354" spans="1:9">
      <c r="A1354" s="2963" t="s">
        <v>3328</v>
      </c>
      <c r="B1354" s="2963" t="s">
        <v>4273</v>
      </c>
      <c r="D1354" s="2963">
        <v>2204</v>
      </c>
      <c r="E1354" s="2963" t="s">
        <v>4506</v>
      </c>
      <c r="F1354" s="2966">
        <v>170000</v>
      </c>
      <c r="G1354" s="2971">
        <v>43.77</v>
      </c>
      <c r="H1354" s="2963" t="s">
        <v>3185</v>
      </c>
      <c r="I1354" s="2963" t="s">
        <v>3086</v>
      </c>
    </row>
    <row r="1355" spans="1:9">
      <c r="A1355" s="2963" t="s">
        <v>3328</v>
      </c>
      <c r="B1355" s="2963" t="s">
        <v>4273</v>
      </c>
      <c r="D1355" s="2963">
        <v>2205</v>
      </c>
      <c r="E1355" s="2963" t="s">
        <v>4507</v>
      </c>
      <c r="F1355" s="2966">
        <v>170000</v>
      </c>
      <c r="G1355" s="2971">
        <v>43.77</v>
      </c>
      <c r="H1355" s="2963" t="s">
        <v>3185</v>
      </c>
      <c r="I1355" s="2963" t="s">
        <v>3086</v>
      </c>
    </row>
    <row r="1356" spans="1:9">
      <c r="A1356" s="2963" t="s">
        <v>3328</v>
      </c>
      <c r="B1356" s="2963" t="s">
        <v>4273</v>
      </c>
      <c r="D1356" s="2963">
        <v>2206</v>
      </c>
      <c r="E1356" s="2963" t="s">
        <v>4508</v>
      </c>
      <c r="F1356" s="2966">
        <v>170000</v>
      </c>
      <c r="G1356" s="2971">
        <v>43.77</v>
      </c>
      <c r="H1356" s="2963" t="s">
        <v>3185</v>
      </c>
      <c r="I1356" s="2963" t="s">
        <v>3086</v>
      </c>
    </row>
    <row r="1357" spans="1:9">
      <c r="A1357" s="2963" t="s">
        <v>3328</v>
      </c>
      <c r="B1357" s="2963" t="s">
        <v>4273</v>
      </c>
      <c r="D1357" s="2963">
        <v>2207</v>
      </c>
      <c r="E1357" s="2963" t="s">
        <v>4509</v>
      </c>
      <c r="F1357" s="2966">
        <v>170000</v>
      </c>
      <c r="G1357" s="2971">
        <v>43.77</v>
      </c>
      <c r="H1357" s="2963" t="s">
        <v>3185</v>
      </c>
      <c r="I1357" s="2963" t="s">
        <v>3086</v>
      </c>
    </row>
    <row r="1358" spans="1:9">
      <c r="A1358" s="2963" t="s">
        <v>3328</v>
      </c>
      <c r="B1358" s="2963" t="s">
        <v>4273</v>
      </c>
      <c r="D1358" s="2963">
        <v>2208</v>
      </c>
      <c r="E1358" s="2963" t="s">
        <v>4510</v>
      </c>
      <c r="F1358" s="2966">
        <v>170000</v>
      </c>
      <c r="G1358" s="2971">
        <v>43.77</v>
      </c>
      <c r="H1358" s="2963" t="s">
        <v>3185</v>
      </c>
      <c r="I1358" s="2963" t="s">
        <v>3086</v>
      </c>
    </row>
    <row r="1359" spans="1:9">
      <c r="A1359" s="2963" t="s">
        <v>3328</v>
      </c>
      <c r="B1359" s="2963" t="s">
        <v>4273</v>
      </c>
      <c r="D1359" s="2963">
        <v>2209</v>
      </c>
      <c r="E1359" s="2963" t="s">
        <v>4511</v>
      </c>
      <c r="F1359" s="2966">
        <v>170000</v>
      </c>
      <c r="G1359" s="2971">
        <v>43.77</v>
      </c>
      <c r="H1359" s="2963" t="s">
        <v>3185</v>
      </c>
      <c r="I1359" s="2963" t="s">
        <v>3086</v>
      </c>
    </row>
    <row r="1360" spans="1:9">
      <c r="A1360" s="2963" t="s">
        <v>3328</v>
      </c>
      <c r="B1360" s="2963" t="s">
        <v>4273</v>
      </c>
      <c r="D1360" s="2963">
        <v>2210</v>
      </c>
      <c r="E1360" s="2963" t="s">
        <v>4512</v>
      </c>
      <c r="F1360" s="2966">
        <v>170000</v>
      </c>
      <c r="G1360" s="2971">
        <v>43.77</v>
      </c>
      <c r="H1360" s="2963" t="s">
        <v>3185</v>
      </c>
      <c r="I1360" s="2963" t="s">
        <v>3086</v>
      </c>
    </row>
    <row r="1361" spans="1:9">
      <c r="A1361" s="2963" t="s">
        <v>3328</v>
      </c>
      <c r="B1361" s="2963" t="s">
        <v>4273</v>
      </c>
      <c r="D1361" s="2963">
        <v>2211</v>
      </c>
      <c r="E1361" s="2963" t="s">
        <v>4513</v>
      </c>
      <c r="F1361" s="2966">
        <v>170000</v>
      </c>
      <c r="G1361" s="2971">
        <v>43.77</v>
      </c>
      <c r="H1361" s="2963" t="s">
        <v>3185</v>
      </c>
      <c r="I1361" s="2963" t="s">
        <v>3086</v>
      </c>
    </row>
    <row r="1362" spans="1:9">
      <c r="A1362" s="2963" t="s">
        <v>3328</v>
      </c>
      <c r="B1362" s="2963" t="s">
        <v>4273</v>
      </c>
      <c r="D1362" s="2963">
        <v>2212</v>
      </c>
      <c r="E1362" s="2963" t="s">
        <v>4514</v>
      </c>
      <c r="F1362" s="2966">
        <v>170000</v>
      </c>
      <c r="G1362" s="2971">
        <v>43.77</v>
      </c>
      <c r="H1362" s="2963" t="s">
        <v>3185</v>
      </c>
      <c r="I1362" s="2963" t="s">
        <v>3086</v>
      </c>
    </row>
    <row r="1363" spans="1:9">
      <c r="A1363" s="2963" t="s">
        <v>3328</v>
      </c>
      <c r="B1363" s="2963" t="s">
        <v>4273</v>
      </c>
      <c r="D1363" s="2963">
        <v>2213</v>
      </c>
      <c r="E1363" s="2963" t="s">
        <v>4515</v>
      </c>
      <c r="F1363" s="2966">
        <v>170000</v>
      </c>
      <c r="G1363" s="2971">
        <v>43.77</v>
      </c>
      <c r="H1363" s="2963" t="s">
        <v>3185</v>
      </c>
      <c r="I1363" s="2963" t="s">
        <v>3086</v>
      </c>
    </row>
    <row r="1364" spans="1:9">
      <c r="A1364" s="2963" t="s">
        <v>3328</v>
      </c>
      <c r="B1364" s="2963" t="s">
        <v>4273</v>
      </c>
      <c r="D1364" s="2963">
        <v>2214</v>
      </c>
      <c r="E1364" s="2963" t="s">
        <v>4516</v>
      </c>
      <c r="F1364" s="2966">
        <v>170000</v>
      </c>
      <c r="G1364" s="2971">
        <v>43.77</v>
      </c>
      <c r="H1364" s="2963" t="s">
        <v>3185</v>
      </c>
      <c r="I1364" s="2963" t="s">
        <v>3086</v>
      </c>
    </row>
    <row r="1365" spans="1:9">
      <c r="A1365" s="2963" t="s">
        <v>3328</v>
      </c>
      <c r="B1365" s="2963" t="s">
        <v>4273</v>
      </c>
      <c r="D1365" s="2963">
        <v>2215</v>
      </c>
      <c r="E1365" s="2963" t="s">
        <v>4517</v>
      </c>
      <c r="F1365" s="2966">
        <v>170000</v>
      </c>
      <c r="G1365" s="2971">
        <v>43.77</v>
      </c>
      <c r="H1365" s="2963" t="s">
        <v>3185</v>
      </c>
      <c r="I1365" s="2963" t="s">
        <v>3086</v>
      </c>
    </row>
    <row r="1366" spans="1:9">
      <c r="A1366" s="2963" t="s">
        <v>3328</v>
      </c>
      <c r="B1366" s="2963" t="s">
        <v>4273</v>
      </c>
      <c r="D1366" s="2963">
        <v>2216</v>
      </c>
      <c r="E1366" s="2963" t="s">
        <v>4518</v>
      </c>
      <c r="F1366" s="2966">
        <v>170000</v>
      </c>
      <c r="G1366" s="2971">
        <v>43.77</v>
      </c>
      <c r="H1366" s="2963" t="s">
        <v>3185</v>
      </c>
      <c r="I1366" s="2963" t="s">
        <v>3086</v>
      </c>
    </row>
    <row r="1367" spans="1:9">
      <c r="A1367" s="2963" t="s">
        <v>3328</v>
      </c>
      <c r="B1367" s="2963" t="s">
        <v>4273</v>
      </c>
      <c r="D1367" s="2963">
        <v>2218</v>
      </c>
      <c r="E1367" s="2963" t="s">
        <v>4519</v>
      </c>
      <c r="F1367" s="2966">
        <v>170000</v>
      </c>
      <c r="G1367" s="2971">
        <v>43.77</v>
      </c>
      <c r="H1367" s="2963" t="s">
        <v>3185</v>
      </c>
      <c r="I1367" s="2963" t="s">
        <v>3086</v>
      </c>
    </row>
    <row r="1368" spans="1:9">
      <c r="A1368" s="2963" t="s">
        <v>3328</v>
      </c>
      <c r="B1368" s="2963" t="s">
        <v>4273</v>
      </c>
      <c r="D1368" s="2963">
        <v>2219</v>
      </c>
      <c r="E1368" s="2963" t="s">
        <v>4520</v>
      </c>
      <c r="F1368" s="2966">
        <v>170000</v>
      </c>
      <c r="G1368" s="2971">
        <v>43.77</v>
      </c>
      <c r="H1368" s="2963" t="s">
        <v>3185</v>
      </c>
      <c r="I1368" s="2963" t="s">
        <v>3086</v>
      </c>
    </row>
    <row r="1369" spans="1:9">
      <c r="A1369" s="2963" t="s">
        <v>3328</v>
      </c>
      <c r="B1369" s="2963" t="s">
        <v>4273</v>
      </c>
      <c r="D1369" s="2963">
        <v>2220</v>
      </c>
      <c r="E1369" s="2963" t="s">
        <v>4521</v>
      </c>
      <c r="F1369" s="2966">
        <v>170000</v>
      </c>
      <c r="G1369" s="2971">
        <v>43.77</v>
      </c>
      <c r="H1369" s="2963" t="s">
        <v>3185</v>
      </c>
      <c r="I1369" s="2963" t="s">
        <v>3086</v>
      </c>
    </row>
    <row r="1370" spans="1:9">
      <c r="A1370" s="2963" t="s">
        <v>3328</v>
      </c>
      <c r="B1370" s="2963" t="s">
        <v>4273</v>
      </c>
      <c r="D1370" s="2963">
        <v>2221</v>
      </c>
      <c r="E1370" s="2963" t="s">
        <v>4522</v>
      </c>
      <c r="F1370" s="2966">
        <v>170000</v>
      </c>
      <c r="G1370" s="2971">
        <v>43.77</v>
      </c>
      <c r="H1370" s="2963" t="s">
        <v>3185</v>
      </c>
      <c r="I1370" s="2963" t="s">
        <v>3086</v>
      </c>
    </row>
    <row r="1371" spans="1:9">
      <c r="A1371" s="2963" t="s">
        <v>3328</v>
      </c>
      <c r="B1371" s="2963" t="s">
        <v>4273</v>
      </c>
      <c r="D1371" s="2963">
        <v>2222</v>
      </c>
      <c r="E1371" s="2963" t="s">
        <v>4523</v>
      </c>
      <c r="F1371" s="2966">
        <v>170000</v>
      </c>
      <c r="G1371" s="2971">
        <v>43.77</v>
      </c>
      <c r="H1371" s="2963" t="s">
        <v>3185</v>
      </c>
      <c r="I1371" s="2963" t="s">
        <v>3086</v>
      </c>
    </row>
    <row r="1372" spans="1:9">
      <c r="A1372" s="2963" t="s">
        <v>3328</v>
      </c>
      <c r="B1372" s="2963" t="s">
        <v>4273</v>
      </c>
      <c r="D1372" s="2963">
        <v>2223</v>
      </c>
      <c r="E1372" s="2963" t="s">
        <v>4524</v>
      </c>
      <c r="F1372" s="2966">
        <v>170000</v>
      </c>
      <c r="G1372" s="2971">
        <v>43.77</v>
      </c>
      <c r="H1372" s="2963" t="s">
        <v>3185</v>
      </c>
      <c r="I1372" s="2963" t="s">
        <v>3086</v>
      </c>
    </row>
    <row r="1373" spans="1:9">
      <c r="A1373" s="2963" t="s">
        <v>3328</v>
      </c>
      <c r="B1373" s="2963" t="s">
        <v>4273</v>
      </c>
      <c r="D1373" s="2963">
        <v>2224</v>
      </c>
      <c r="E1373" s="2963" t="s">
        <v>4525</v>
      </c>
      <c r="F1373" s="2966">
        <v>170000</v>
      </c>
      <c r="G1373" s="2971">
        <v>43.77</v>
      </c>
      <c r="H1373" s="2963" t="s">
        <v>3185</v>
      </c>
      <c r="I1373" s="2963" t="s">
        <v>3086</v>
      </c>
    </row>
    <row r="1374" spans="1:9">
      <c r="A1374" s="2963" t="s">
        <v>3328</v>
      </c>
      <c r="B1374" s="2963" t="s">
        <v>4273</v>
      </c>
      <c r="D1374" s="2963">
        <v>2225</v>
      </c>
      <c r="E1374" s="2963" t="s">
        <v>4526</v>
      </c>
      <c r="F1374" s="2966">
        <v>170000</v>
      </c>
      <c r="G1374" s="2971">
        <v>43.77</v>
      </c>
      <c r="H1374" s="2963" t="s">
        <v>3185</v>
      </c>
      <c r="I1374" s="2963" t="s">
        <v>3086</v>
      </c>
    </row>
    <row r="1375" spans="1:9">
      <c r="A1375" s="2963" t="s">
        <v>3328</v>
      </c>
      <c r="B1375" s="2963" t="s">
        <v>4273</v>
      </c>
      <c r="D1375" s="2963">
        <v>2226</v>
      </c>
      <c r="E1375" s="2963" t="s">
        <v>4527</v>
      </c>
      <c r="F1375" s="2966">
        <v>170000</v>
      </c>
      <c r="G1375" s="2971">
        <v>43.77</v>
      </c>
      <c r="H1375" s="2963" t="s">
        <v>3185</v>
      </c>
      <c r="I1375" s="2963" t="s">
        <v>3086</v>
      </c>
    </row>
    <row r="1376" spans="1:9">
      <c r="A1376" s="2963" t="s">
        <v>3328</v>
      </c>
      <c r="B1376" s="2963" t="s">
        <v>4273</v>
      </c>
      <c r="D1376" s="2963">
        <v>2227</v>
      </c>
      <c r="E1376" s="2963" t="s">
        <v>4528</v>
      </c>
      <c r="F1376" s="2966">
        <v>170000</v>
      </c>
      <c r="G1376" s="2971">
        <v>43.77</v>
      </c>
      <c r="H1376" s="2963" t="s">
        <v>3185</v>
      </c>
      <c r="I1376" s="2963" t="s">
        <v>3086</v>
      </c>
    </row>
    <row r="1377" spans="1:9">
      <c r="A1377" s="2963" t="s">
        <v>3328</v>
      </c>
      <c r="B1377" s="2963" t="s">
        <v>4273</v>
      </c>
      <c r="D1377" s="2963">
        <v>2228</v>
      </c>
      <c r="E1377" s="2963" t="s">
        <v>4529</v>
      </c>
      <c r="F1377" s="2966">
        <v>170000</v>
      </c>
      <c r="G1377" s="2971">
        <v>43.77</v>
      </c>
      <c r="H1377" s="2963" t="s">
        <v>3185</v>
      </c>
      <c r="I1377" s="2963" t="s">
        <v>3086</v>
      </c>
    </row>
    <row r="1378" spans="1:9">
      <c r="A1378" s="2963" t="s">
        <v>3328</v>
      </c>
      <c r="B1378" s="2963" t="s">
        <v>4273</v>
      </c>
      <c r="D1378" s="2963">
        <v>2229</v>
      </c>
      <c r="E1378" s="2963" t="s">
        <v>4530</v>
      </c>
      <c r="F1378" s="2966">
        <v>170000</v>
      </c>
      <c r="G1378" s="2971">
        <v>43.77</v>
      </c>
      <c r="H1378" s="2963" t="s">
        <v>3185</v>
      </c>
      <c r="I1378" s="2963" t="s">
        <v>3086</v>
      </c>
    </row>
    <row r="1379" spans="1:9">
      <c r="A1379" s="2963" t="s">
        <v>3328</v>
      </c>
      <c r="B1379" s="2963" t="s">
        <v>4273</v>
      </c>
      <c r="D1379" s="2963">
        <v>2230</v>
      </c>
      <c r="E1379" s="2963" t="s">
        <v>4531</v>
      </c>
      <c r="F1379" s="2966">
        <v>170000</v>
      </c>
      <c r="G1379" s="2971">
        <v>43.77</v>
      </c>
      <c r="H1379" s="2963" t="s">
        <v>3185</v>
      </c>
      <c r="I1379" s="2963" t="s">
        <v>3086</v>
      </c>
    </row>
    <row r="1380" spans="1:9">
      <c r="A1380" s="2963" t="s">
        <v>3328</v>
      </c>
      <c r="B1380" s="2963" t="s">
        <v>4273</v>
      </c>
      <c r="D1380" s="2963">
        <v>2231</v>
      </c>
      <c r="E1380" s="2963" t="s">
        <v>4532</v>
      </c>
      <c r="F1380" s="2966">
        <v>170000</v>
      </c>
      <c r="G1380" s="2971">
        <v>43.77</v>
      </c>
      <c r="H1380" s="2963" t="s">
        <v>3185</v>
      </c>
      <c r="I1380" s="2963" t="s">
        <v>3086</v>
      </c>
    </row>
    <row r="1381" spans="1:9">
      <c r="A1381" s="2963" t="s">
        <v>3328</v>
      </c>
      <c r="B1381" s="2963" t="s">
        <v>4273</v>
      </c>
      <c r="D1381" s="2963">
        <v>2235</v>
      </c>
      <c r="E1381" s="2963" t="s">
        <v>4533</v>
      </c>
      <c r="F1381" s="2966">
        <v>170000</v>
      </c>
      <c r="G1381" s="2971">
        <v>43.77</v>
      </c>
      <c r="H1381" s="2963" t="s">
        <v>3185</v>
      </c>
      <c r="I1381" s="2963" t="s">
        <v>3086</v>
      </c>
    </row>
    <row r="1382" spans="1:9">
      <c r="A1382" s="2963" t="s">
        <v>3328</v>
      </c>
      <c r="B1382" s="2963" t="s">
        <v>4273</v>
      </c>
      <c r="D1382" s="2963">
        <v>2236</v>
      </c>
      <c r="E1382" s="2963" t="s">
        <v>4534</v>
      </c>
      <c r="F1382" s="2966">
        <v>170000</v>
      </c>
      <c r="G1382" s="2971">
        <v>43.77</v>
      </c>
      <c r="H1382" s="2963" t="s">
        <v>3185</v>
      </c>
      <c r="I1382" s="2963" t="s">
        <v>3086</v>
      </c>
    </row>
    <row r="1383" spans="1:9">
      <c r="A1383" s="2963" t="s">
        <v>3328</v>
      </c>
      <c r="B1383" s="2963" t="s">
        <v>4273</v>
      </c>
      <c r="D1383" s="2963">
        <v>2237</v>
      </c>
      <c r="E1383" s="2963" t="s">
        <v>4535</v>
      </c>
      <c r="F1383" s="2966">
        <v>170000</v>
      </c>
      <c r="G1383" s="2971">
        <v>43.77</v>
      </c>
      <c r="H1383" s="2963" t="s">
        <v>3185</v>
      </c>
      <c r="I1383" s="2963" t="s">
        <v>3086</v>
      </c>
    </row>
    <row r="1384" spans="1:9">
      <c r="A1384" s="2963" t="s">
        <v>3328</v>
      </c>
      <c r="B1384" s="2963" t="s">
        <v>4273</v>
      </c>
      <c r="D1384" s="2963">
        <v>2238</v>
      </c>
      <c r="E1384" s="2963" t="s">
        <v>4536</v>
      </c>
      <c r="F1384" s="2966">
        <v>170000</v>
      </c>
      <c r="G1384" s="2971">
        <v>43.77</v>
      </c>
      <c r="H1384" s="2963" t="s">
        <v>3185</v>
      </c>
      <c r="I1384" s="2963" t="s">
        <v>3086</v>
      </c>
    </row>
    <row r="1385" spans="1:9">
      <c r="A1385" s="2963" t="s">
        <v>3328</v>
      </c>
      <c r="B1385" s="2963" t="s">
        <v>4273</v>
      </c>
      <c r="D1385" s="2963">
        <v>2240</v>
      </c>
      <c r="E1385" s="2963" t="s">
        <v>4537</v>
      </c>
      <c r="F1385" s="2966">
        <v>170000</v>
      </c>
      <c r="G1385" s="2971">
        <v>43.77</v>
      </c>
      <c r="H1385" s="2963" t="s">
        <v>3185</v>
      </c>
      <c r="I1385" s="2963" t="s">
        <v>3086</v>
      </c>
    </row>
    <row r="1386" spans="1:9">
      <c r="A1386" s="2963" t="s">
        <v>3328</v>
      </c>
      <c r="B1386" s="2963" t="s">
        <v>4273</v>
      </c>
      <c r="D1386" s="2963">
        <v>2241</v>
      </c>
      <c r="E1386" s="2963" t="s">
        <v>4538</v>
      </c>
      <c r="F1386" s="2966">
        <v>170000</v>
      </c>
      <c r="G1386" s="2971">
        <v>43.77</v>
      </c>
      <c r="H1386" s="2963" t="s">
        <v>3185</v>
      </c>
      <c r="I1386" s="2963" t="s">
        <v>3086</v>
      </c>
    </row>
    <row r="1387" spans="1:9">
      <c r="A1387" s="2963" t="s">
        <v>3328</v>
      </c>
      <c r="B1387" s="2963" t="s">
        <v>4273</v>
      </c>
      <c r="D1387" s="2963">
        <v>2242</v>
      </c>
      <c r="E1387" s="2963" t="s">
        <v>4539</v>
      </c>
      <c r="F1387" s="2966">
        <v>170000</v>
      </c>
      <c r="G1387" s="2971">
        <v>43.77</v>
      </c>
      <c r="H1387" s="2963" t="s">
        <v>3185</v>
      </c>
      <c r="I1387" s="2963" t="s">
        <v>3086</v>
      </c>
    </row>
    <row r="1388" spans="1:9">
      <c r="A1388" s="2963" t="s">
        <v>3328</v>
      </c>
      <c r="B1388" s="2963" t="s">
        <v>4273</v>
      </c>
      <c r="D1388" s="2963">
        <v>2243</v>
      </c>
      <c r="E1388" s="2963" t="s">
        <v>4540</v>
      </c>
      <c r="F1388" s="2966">
        <v>280000</v>
      </c>
      <c r="G1388" s="2971">
        <v>87.54</v>
      </c>
      <c r="H1388" s="2963" t="s">
        <v>3185</v>
      </c>
      <c r="I1388" s="2963" t="s">
        <v>3086</v>
      </c>
    </row>
    <row r="1389" spans="1:9">
      <c r="A1389" s="2963" t="s">
        <v>3328</v>
      </c>
      <c r="B1389" s="2963" t="s">
        <v>4273</v>
      </c>
      <c r="D1389" s="2963">
        <v>2246</v>
      </c>
      <c r="E1389" s="2963" t="s">
        <v>4541</v>
      </c>
      <c r="F1389" s="2966">
        <v>170000</v>
      </c>
      <c r="G1389" s="2971">
        <v>43.77</v>
      </c>
      <c r="H1389" s="2963" t="s">
        <v>3185</v>
      </c>
      <c r="I1389" s="2963" t="s">
        <v>3086</v>
      </c>
    </row>
    <row r="1390" spans="1:9">
      <c r="A1390" s="2963" t="s">
        <v>3328</v>
      </c>
      <c r="B1390" s="2963" t="s">
        <v>4273</v>
      </c>
      <c r="D1390" s="2963">
        <v>2247</v>
      </c>
      <c r="E1390" s="2963" t="s">
        <v>4542</v>
      </c>
      <c r="F1390" s="2966">
        <v>170000</v>
      </c>
      <c r="G1390" s="2971">
        <v>43.77</v>
      </c>
      <c r="H1390" s="2963" t="s">
        <v>3185</v>
      </c>
      <c r="I1390" s="2963" t="s">
        <v>3086</v>
      </c>
    </row>
    <row r="1391" spans="1:9">
      <c r="A1391" s="2963" t="s">
        <v>3328</v>
      </c>
      <c r="B1391" s="2963" t="s">
        <v>4273</v>
      </c>
      <c r="D1391" s="2963">
        <v>3001</v>
      </c>
      <c r="E1391" s="2963" t="s">
        <v>4543</v>
      </c>
      <c r="F1391" s="2966">
        <v>160000</v>
      </c>
      <c r="G1391" s="2971">
        <v>43.77</v>
      </c>
      <c r="H1391" s="2963" t="s">
        <v>3185</v>
      </c>
      <c r="I1391" s="2963" t="s">
        <v>3086</v>
      </c>
    </row>
    <row r="1392" spans="1:9">
      <c r="A1392" s="2963" t="s">
        <v>3328</v>
      </c>
      <c r="B1392" s="2963" t="s">
        <v>4273</v>
      </c>
      <c r="D1392" s="2963">
        <v>3002</v>
      </c>
      <c r="E1392" s="2963" t="s">
        <v>4544</v>
      </c>
      <c r="F1392" s="2966">
        <v>160000</v>
      </c>
      <c r="G1392" s="2971">
        <v>43.77</v>
      </c>
      <c r="H1392" s="2963" t="s">
        <v>3185</v>
      </c>
      <c r="I1392" s="2963" t="s">
        <v>3086</v>
      </c>
    </row>
    <row r="1393" spans="1:9">
      <c r="A1393" s="2963" t="s">
        <v>3328</v>
      </c>
      <c r="B1393" s="2963" t="s">
        <v>4273</v>
      </c>
      <c r="D1393" s="2963">
        <v>3003</v>
      </c>
      <c r="E1393" s="2963" t="s">
        <v>4545</v>
      </c>
      <c r="F1393" s="2966">
        <v>160000</v>
      </c>
      <c r="G1393" s="2971">
        <v>43.77</v>
      </c>
      <c r="H1393" s="2963" t="s">
        <v>3185</v>
      </c>
      <c r="I1393" s="2963" t="s">
        <v>3086</v>
      </c>
    </row>
    <row r="1394" spans="1:9">
      <c r="A1394" s="2963" t="s">
        <v>3328</v>
      </c>
      <c r="B1394" s="2963" t="s">
        <v>4273</v>
      </c>
      <c r="D1394" s="2963">
        <v>3004</v>
      </c>
      <c r="E1394" s="2963" t="s">
        <v>4546</v>
      </c>
      <c r="F1394" s="2966">
        <v>160000</v>
      </c>
      <c r="G1394" s="2971">
        <v>43.77</v>
      </c>
      <c r="H1394" s="2963" t="s">
        <v>3185</v>
      </c>
      <c r="I1394" s="2963" t="s">
        <v>3086</v>
      </c>
    </row>
    <row r="1395" spans="1:9">
      <c r="A1395" s="2963" t="s">
        <v>3328</v>
      </c>
      <c r="B1395" s="2963" t="s">
        <v>4273</v>
      </c>
      <c r="D1395" s="2963">
        <v>3005</v>
      </c>
      <c r="E1395" s="2963" t="s">
        <v>4547</v>
      </c>
      <c r="F1395" s="2966">
        <v>160000</v>
      </c>
      <c r="G1395" s="2971">
        <v>43.77</v>
      </c>
      <c r="H1395" s="2963" t="s">
        <v>3185</v>
      </c>
      <c r="I1395" s="2963" t="s">
        <v>3086</v>
      </c>
    </row>
    <row r="1396" spans="1:9">
      <c r="A1396" s="2963" t="s">
        <v>3328</v>
      </c>
      <c r="B1396" s="2963" t="s">
        <v>4273</v>
      </c>
      <c r="D1396" s="2963">
        <v>3006</v>
      </c>
      <c r="E1396" s="2963" t="s">
        <v>4548</v>
      </c>
      <c r="F1396" s="2966">
        <v>160000</v>
      </c>
      <c r="G1396" s="2971">
        <v>43.77</v>
      </c>
      <c r="H1396" s="2963" t="s">
        <v>3185</v>
      </c>
      <c r="I1396" s="2963" t="s">
        <v>3086</v>
      </c>
    </row>
    <row r="1397" spans="1:9">
      <c r="A1397" s="2963" t="s">
        <v>3328</v>
      </c>
      <c r="B1397" s="2963" t="s">
        <v>4273</v>
      </c>
      <c r="D1397" s="2963">
        <v>3007</v>
      </c>
      <c r="E1397" s="2963" t="s">
        <v>4549</v>
      </c>
      <c r="F1397" s="2966">
        <v>160000</v>
      </c>
      <c r="G1397" s="2971">
        <v>43.77</v>
      </c>
      <c r="H1397" s="2963" t="s">
        <v>3185</v>
      </c>
      <c r="I1397" s="2963" t="s">
        <v>3086</v>
      </c>
    </row>
    <row r="1398" spans="1:9">
      <c r="A1398" s="2963" t="s">
        <v>3328</v>
      </c>
      <c r="B1398" s="2963" t="s">
        <v>4273</v>
      </c>
      <c r="D1398" s="2963">
        <v>3008</v>
      </c>
      <c r="E1398" s="2963" t="s">
        <v>4550</v>
      </c>
      <c r="F1398" s="2966">
        <v>160000</v>
      </c>
      <c r="G1398" s="2971">
        <v>43.77</v>
      </c>
      <c r="H1398" s="2963" t="s">
        <v>3185</v>
      </c>
      <c r="I1398" s="2963" t="s">
        <v>3086</v>
      </c>
    </row>
    <row r="1399" spans="1:9">
      <c r="A1399" s="2963" t="s">
        <v>3328</v>
      </c>
      <c r="B1399" s="2963" t="s">
        <v>4273</v>
      </c>
      <c r="D1399" s="2963">
        <v>3009</v>
      </c>
      <c r="E1399" s="2963" t="s">
        <v>4551</v>
      </c>
      <c r="F1399" s="2966">
        <v>160000</v>
      </c>
      <c r="G1399" s="2971">
        <v>43.77</v>
      </c>
      <c r="H1399" s="2963" t="s">
        <v>3185</v>
      </c>
      <c r="I1399" s="2963" t="s">
        <v>3086</v>
      </c>
    </row>
    <row r="1400" spans="1:9">
      <c r="A1400" s="2963" t="s">
        <v>3328</v>
      </c>
      <c r="B1400" s="2963" t="s">
        <v>4273</v>
      </c>
      <c r="D1400" s="2963">
        <v>3010</v>
      </c>
      <c r="E1400" s="2963" t="s">
        <v>4552</v>
      </c>
      <c r="F1400" s="2966">
        <v>160000</v>
      </c>
      <c r="G1400" s="2971">
        <v>43.77</v>
      </c>
      <c r="H1400" s="2963" t="s">
        <v>3185</v>
      </c>
      <c r="I1400" s="2963" t="s">
        <v>3086</v>
      </c>
    </row>
    <row r="1401" spans="1:9">
      <c r="A1401" s="2963" t="s">
        <v>3328</v>
      </c>
      <c r="B1401" s="2963" t="s">
        <v>4273</v>
      </c>
      <c r="D1401" s="2963">
        <v>3011</v>
      </c>
      <c r="E1401" s="2963" t="s">
        <v>4553</v>
      </c>
      <c r="F1401" s="2966">
        <v>160000</v>
      </c>
      <c r="G1401" s="2971">
        <v>43.77</v>
      </c>
      <c r="H1401" s="2963" t="s">
        <v>3185</v>
      </c>
      <c r="I1401" s="2963" t="s">
        <v>3086</v>
      </c>
    </row>
    <row r="1402" spans="1:9">
      <c r="A1402" s="2963" t="s">
        <v>3328</v>
      </c>
      <c r="B1402" s="2963" t="s">
        <v>4273</v>
      </c>
      <c r="D1402" s="2963">
        <v>3012</v>
      </c>
      <c r="E1402" s="2963" t="s">
        <v>4554</v>
      </c>
      <c r="F1402" s="2966">
        <v>160000</v>
      </c>
      <c r="G1402" s="2971">
        <v>43.77</v>
      </c>
      <c r="H1402" s="2963" t="s">
        <v>3185</v>
      </c>
      <c r="I1402" s="2963" t="s">
        <v>3086</v>
      </c>
    </row>
    <row r="1403" spans="1:9">
      <c r="A1403" s="2963" t="s">
        <v>3328</v>
      </c>
      <c r="B1403" s="2963" t="s">
        <v>4273</v>
      </c>
      <c r="D1403" s="2963">
        <v>3013</v>
      </c>
      <c r="E1403" s="2963" t="s">
        <v>4555</v>
      </c>
      <c r="F1403" s="2966">
        <v>160000</v>
      </c>
      <c r="G1403" s="2971">
        <v>43.77</v>
      </c>
      <c r="H1403" s="2963" t="s">
        <v>3185</v>
      </c>
      <c r="I1403" s="2963" t="s">
        <v>3086</v>
      </c>
    </row>
    <row r="1404" spans="1:9">
      <c r="A1404" s="2963" t="s">
        <v>3328</v>
      </c>
      <c r="B1404" s="2963" t="s">
        <v>4273</v>
      </c>
      <c r="D1404" s="2963">
        <v>3014</v>
      </c>
      <c r="E1404" s="2963" t="s">
        <v>4556</v>
      </c>
      <c r="F1404" s="2966">
        <v>160000</v>
      </c>
      <c r="G1404" s="2971">
        <v>43.77</v>
      </c>
      <c r="H1404" s="2963" t="s">
        <v>3185</v>
      </c>
      <c r="I1404" s="2963" t="s">
        <v>3086</v>
      </c>
    </row>
    <row r="1405" spans="1:9">
      <c r="A1405" s="2963" t="s">
        <v>3328</v>
      </c>
      <c r="B1405" s="2963" t="s">
        <v>4273</v>
      </c>
      <c r="D1405" s="2963">
        <v>3015</v>
      </c>
      <c r="E1405" s="2963" t="s">
        <v>4557</v>
      </c>
      <c r="F1405" s="2966">
        <v>260000</v>
      </c>
      <c r="G1405" s="2971">
        <v>87.54</v>
      </c>
      <c r="H1405" s="2963" t="s">
        <v>3185</v>
      </c>
      <c r="I1405" s="2963" t="s">
        <v>3086</v>
      </c>
    </row>
    <row r="1406" spans="1:9">
      <c r="A1406" s="2963" t="s">
        <v>3328</v>
      </c>
      <c r="B1406" s="2963" t="s">
        <v>4273</v>
      </c>
      <c r="D1406" s="2963">
        <v>3017</v>
      </c>
      <c r="E1406" s="2963" t="s">
        <v>4558</v>
      </c>
      <c r="F1406" s="2966">
        <v>160000</v>
      </c>
      <c r="G1406" s="2971">
        <v>43.77</v>
      </c>
      <c r="H1406" s="2963" t="s">
        <v>3185</v>
      </c>
      <c r="I1406" s="2963" t="s">
        <v>3086</v>
      </c>
    </row>
    <row r="1407" spans="1:9">
      <c r="A1407" s="2963" t="s">
        <v>3328</v>
      </c>
      <c r="B1407" s="2963" t="s">
        <v>4273</v>
      </c>
      <c r="D1407" s="2963">
        <v>3018</v>
      </c>
      <c r="E1407" s="2963" t="s">
        <v>4559</v>
      </c>
      <c r="F1407" s="2966">
        <v>160000</v>
      </c>
      <c r="G1407" s="2971">
        <v>43.77</v>
      </c>
      <c r="H1407" s="2963" t="s">
        <v>3185</v>
      </c>
      <c r="I1407" s="2963" t="s">
        <v>3086</v>
      </c>
    </row>
    <row r="1408" spans="1:9">
      <c r="A1408" s="2963" t="s">
        <v>3328</v>
      </c>
      <c r="B1408" s="2963" t="s">
        <v>4273</v>
      </c>
      <c r="D1408" s="2963">
        <v>3019</v>
      </c>
      <c r="E1408" s="2963" t="s">
        <v>4560</v>
      </c>
      <c r="F1408" s="2966">
        <v>160000</v>
      </c>
      <c r="G1408" s="2971">
        <v>43.77</v>
      </c>
      <c r="H1408" s="2963" t="s">
        <v>3185</v>
      </c>
      <c r="I1408" s="2963" t="s">
        <v>3086</v>
      </c>
    </row>
    <row r="1409" spans="1:9">
      <c r="A1409" s="2963" t="s">
        <v>3328</v>
      </c>
      <c r="B1409" s="2963" t="s">
        <v>4273</v>
      </c>
      <c r="D1409" s="2963">
        <v>3020</v>
      </c>
      <c r="E1409" s="2963" t="s">
        <v>4561</v>
      </c>
      <c r="F1409" s="2966">
        <v>160000</v>
      </c>
      <c r="G1409" s="2971">
        <v>43.77</v>
      </c>
      <c r="H1409" s="2963" t="s">
        <v>3185</v>
      </c>
      <c r="I1409" s="2963" t="s">
        <v>3086</v>
      </c>
    </row>
    <row r="1410" spans="1:9">
      <c r="A1410" s="2963" t="s">
        <v>3328</v>
      </c>
      <c r="B1410" s="2963" t="s">
        <v>4273</v>
      </c>
      <c r="D1410" s="2963">
        <v>3021</v>
      </c>
      <c r="E1410" s="2963" t="s">
        <v>4562</v>
      </c>
      <c r="F1410" s="2966">
        <v>160000</v>
      </c>
      <c r="G1410" s="2971">
        <v>43.77</v>
      </c>
      <c r="H1410" s="2963" t="s">
        <v>3185</v>
      </c>
      <c r="I1410" s="2963" t="s">
        <v>3086</v>
      </c>
    </row>
    <row r="1411" spans="1:9">
      <c r="A1411" s="2963" t="s">
        <v>3328</v>
      </c>
      <c r="B1411" s="2963" t="s">
        <v>4273</v>
      </c>
      <c r="D1411" s="2963">
        <v>3022</v>
      </c>
      <c r="E1411" s="2963" t="s">
        <v>4563</v>
      </c>
      <c r="F1411" s="2966">
        <v>160000</v>
      </c>
      <c r="G1411" s="2971">
        <v>43.77</v>
      </c>
      <c r="H1411" s="2963" t="s">
        <v>3185</v>
      </c>
      <c r="I1411" s="2963" t="s">
        <v>3086</v>
      </c>
    </row>
    <row r="1412" spans="1:9">
      <c r="A1412" s="2963" t="s">
        <v>3328</v>
      </c>
      <c r="B1412" s="2963" t="s">
        <v>4273</v>
      </c>
      <c r="D1412" s="2963">
        <v>3023</v>
      </c>
      <c r="E1412" s="2963" t="s">
        <v>4564</v>
      </c>
      <c r="F1412" s="2966">
        <v>260000</v>
      </c>
      <c r="G1412" s="2971">
        <v>87.54</v>
      </c>
      <c r="H1412" s="2963" t="s">
        <v>3185</v>
      </c>
      <c r="I1412" s="2963" t="s">
        <v>3086</v>
      </c>
    </row>
    <row r="1413" spans="1:9">
      <c r="A1413" s="2963" t="s">
        <v>3328</v>
      </c>
      <c r="B1413" s="2963" t="s">
        <v>4273</v>
      </c>
      <c r="D1413" s="2963">
        <v>3024</v>
      </c>
      <c r="E1413" s="2963" t="s">
        <v>4565</v>
      </c>
      <c r="F1413" s="2966">
        <v>160000</v>
      </c>
      <c r="G1413" s="2971">
        <v>43.77</v>
      </c>
      <c r="H1413" s="2963" t="s">
        <v>3185</v>
      </c>
      <c r="I1413" s="2963" t="s">
        <v>3086</v>
      </c>
    </row>
    <row r="1414" spans="1:9">
      <c r="A1414" s="2963" t="s">
        <v>3328</v>
      </c>
      <c r="B1414" s="2963" t="s">
        <v>4273</v>
      </c>
      <c r="D1414" s="2963">
        <v>3025</v>
      </c>
      <c r="E1414" s="2963" t="s">
        <v>4566</v>
      </c>
      <c r="F1414" s="2966">
        <v>160000</v>
      </c>
      <c r="G1414" s="2971">
        <v>43.77</v>
      </c>
      <c r="H1414" s="2963" t="s">
        <v>3185</v>
      </c>
      <c r="I1414" s="2963" t="s">
        <v>3086</v>
      </c>
    </row>
    <row r="1415" spans="1:9">
      <c r="A1415" s="2963" t="s">
        <v>3328</v>
      </c>
      <c r="B1415" s="2963" t="s">
        <v>4273</v>
      </c>
      <c r="D1415" s="2963">
        <v>3026</v>
      </c>
      <c r="E1415" s="2963" t="s">
        <v>4567</v>
      </c>
      <c r="F1415" s="2966">
        <v>160000</v>
      </c>
      <c r="G1415" s="2971">
        <v>43.77</v>
      </c>
      <c r="H1415" s="2963" t="s">
        <v>3185</v>
      </c>
      <c r="I1415" s="2963" t="s">
        <v>3086</v>
      </c>
    </row>
    <row r="1416" spans="1:9">
      <c r="A1416" s="2963" t="s">
        <v>3328</v>
      </c>
      <c r="B1416" s="2963" t="s">
        <v>4273</v>
      </c>
      <c r="D1416" s="2963">
        <v>3033</v>
      </c>
      <c r="E1416" s="2963" t="s">
        <v>4568</v>
      </c>
      <c r="F1416" s="2966">
        <v>160000</v>
      </c>
      <c r="G1416" s="2971">
        <v>43.77</v>
      </c>
      <c r="H1416" s="2963" t="s">
        <v>3185</v>
      </c>
      <c r="I1416" s="2963" t="s">
        <v>3086</v>
      </c>
    </row>
    <row r="1417" spans="1:9">
      <c r="A1417" s="2963" t="s">
        <v>3328</v>
      </c>
      <c r="B1417" s="2963" t="s">
        <v>4273</v>
      </c>
      <c r="D1417" s="2963">
        <v>3034</v>
      </c>
      <c r="E1417" s="2963" t="s">
        <v>4569</v>
      </c>
      <c r="F1417" s="2966">
        <v>160000</v>
      </c>
      <c r="G1417" s="2971">
        <v>43.77</v>
      </c>
      <c r="H1417" s="2963" t="s">
        <v>3185</v>
      </c>
      <c r="I1417" s="2963" t="s">
        <v>3086</v>
      </c>
    </row>
    <row r="1418" spans="1:9">
      <c r="A1418" s="2963" t="s">
        <v>3328</v>
      </c>
      <c r="B1418" s="2963" t="s">
        <v>4273</v>
      </c>
      <c r="D1418" s="2963">
        <v>3035</v>
      </c>
      <c r="E1418" s="2963" t="s">
        <v>4570</v>
      </c>
      <c r="F1418" s="2966">
        <v>160000</v>
      </c>
      <c r="G1418" s="2971">
        <v>43.77</v>
      </c>
      <c r="H1418" s="2963" t="s">
        <v>3185</v>
      </c>
      <c r="I1418" s="2963" t="s">
        <v>3086</v>
      </c>
    </row>
    <row r="1419" spans="1:9">
      <c r="A1419" s="2963" t="s">
        <v>3328</v>
      </c>
      <c r="B1419" s="2963" t="s">
        <v>4273</v>
      </c>
      <c r="D1419" s="2963">
        <v>3036</v>
      </c>
      <c r="E1419" s="2963" t="s">
        <v>4571</v>
      </c>
      <c r="F1419" s="2966">
        <v>160000</v>
      </c>
      <c r="G1419" s="2971">
        <v>43.77</v>
      </c>
      <c r="H1419" s="2963" t="s">
        <v>3185</v>
      </c>
      <c r="I1419" s="2963" t="s">
        <v>3086</v>
      </c>
    </row>
    <row r="1420" spans="1:9">
      <c r="A1420" s="2963" t="s">
        <v>3328</v>
      </c>
      <c r="B1420" s="2963" t="s">
        <v>4273</v>
      </c>
      <c r="D1420" s="2963">
        <v>3037</v>
      </c>
      <c r="E1420" s="2963" t="s">
        <v>4572</v>
      </c>
      <c r="F1420" s="2966">
        <v>160000</v>
      </c>
      <c r="G1420" s="2971">
        <v>43.77</v>
      </c>
      <c r="H1420" s="2963" t="s">
        <v>3185</v>
      </c>
      <c r="I1420" s="2963" t="s">
        <v>3086</v>
      </c>
    </row>
    <row r="1421" spans="1:9">
      <c r="A1421" s="2963" t="s">
        <v>3328</v>
      </c>
      <c r="B1421" s="2963" t="s">
        <v>4273</v>
      </c>
      <c r="D1421" s="2963">
        <v>3038</v>
      </c>
      <c r="E1421" s="2963" t="s">
        <v>4573</v>
      </c>
      <c r="F1421" s="2966">
        <v>160000</v>
      </c>
      <c r="G1421" s="2971">
        <v>43.77</v>
      </c>
      <c r="H1421" s="2963" t="s">
        <v>3185</v>
      </c>
      <c r="I1421" s="2963" t="s">
        <v>3086</v>
      </c>
    </row>
    <row r="1422" spans="1:9">
      <c r="A1422" s="2963" t="s">
        <v>3328</v>
      </c>
      <c r="B1422" s="2963" t="s">
        <v>4273</v>
      </c>
      <c r="D1422" s="2963">
        <v>3039</v>
      </c>
      <c r="E1422" s="2963" t="s">
        <v>4574</v>
      </c>
      <c r="F1422" s="2966">
        <v>260000</v>
      </c>
      <c r="G1422" s="2971">
        <v>87.54</v>
      </c>
      <c r="H1422" s="2963" t="s">
        <v>3185</v>
      </c>
      <c r="I1422" s="2963" t="s">
        <v>3086</v>
      </c>
    </row>
    <row r="1423" spans="1:9">
      <c r="A1423" s="2963" t="s">
        <v>3328</v>
      </c>
      <c r="B1423" s="2963" t="s">
        <v>4273</v>
      </c>
      <c r="D1423" s="2963">
        <v>3040</v>
      </c>
      <c r="E1423" s="2963" t="s">
        <v>4575</v>
      </c>
      <c r="F1423" s="2966">
        <v>160000</v>
      </c>
      <c r="G1423" s="2971">
        <v>43.77</v>
      </c>
      <c r="H1423" s="2963" t="s">
        <v>3185</v>
      </c>
      <c r="I1423" s="2963" t="s">
        <v>3086</v>
      </c>
    </row>
  </sheetData>
  <mergeCells count="3">
    <mergeCell ref="A1:E1"/>
    <mergeCell ref="L108:L138"/>
    <mergeCell ref="L139:L180"/>
  </mergeCells>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27"/>
  <sheetViews>
    <sheetView topLeftCell="A166" workbookViewId="0">
      <selection activeCell="B100" sqref="B100:B181"/>
    </sheetView>
  </sheetViews>
  <sheetFormatPr defaultColWidth="9" defaultRowHeight="13.5"/>
  <cols>
    <col min="1" max="1" width="5.625" style="2963" customWidth="1"/>
    <col min="2" max="2" width="29.5" style="2963" customWidth="1"/>
    <col min="3" max="3" width="19.375" style="2971" customWidth="1"/>
    <col min="4" max="16384" width="9" style="2963"/>
  </cols>
  <sheetData>
    <row r="1" spans="1:3">
      <c r="A1" s="3333"/>
      <c r="B1" s="3333"/>
    </row>
    <row r="2" spans="1:3">
      <c r="A2" s="3000" t="s">
        <v>4690</v>
      </c>
      <c r="B2" s="3000" t="s">
        <v>4696</v>
      </c>
      <c r="C2" s="3000" t="s">
        <v>4697</v>
      </c>
    </row>
    <row r="3" spans="1:3" s="2999" customFormat="1">
      <c r="A3" s="3001" t="s">
        <v>3083</v>
      </c>
      <c r="B3" s="3001" t="s">
        <v>3084</v>
      </c>
      <c r="C3" s="3001">
        <v>47.96</v>
      </c>
    </row>
    <row r="4" spans="1:3" s="2999" customFormat="1">
      <c r="A4" s="3001" t="s">
        <v>3083</v>
      </c>
      <c r="B4" s="3001" t="s">
        <v>3087</v>
      </c>
      <c r="C4" s="3001">
        <v>80.739999999999995</v>
      </c>
    </row>
    <row r="5" spans="1:3" s="2999" customFormat="1">
      <c r="A5" s="3001" t="s">
        <v>3083</v>
      </c>
      <c r="B5" s="3001" t="s">
        <v>3088</v>
      </c>
      <c r="C5" s="3001">
        <v>80.75</v>
      </c>
    </row>
    <row r="6" spans="1:3" s="2999" customFormat="1">
      <c r="A6" s="3001" t="s">
        <v>3083</v>
      </c>
      <c r="B6" s="3001" t="s">
        <v>3089</v>
      </c>
      <c r="C6" s="3001">
        <v>80.739999999999995</v>
      </c>
    </row>
    <row r="7" spans="1:3" s="2999" customFormat="1">
      <c r="A7" s="3001" t="s">
        <v>3083</v>
      </c>
      <c r="B7" s="3001" t="s">
        <v>3090</v>
      </c>
      <c r="C7" s="3001">
        <v>80.75</v>
      </c>
    </row>
    <row r="8" spans="1:3" s="2999" customFormat="1">
      <c r="A8" s="3001" t="s">
        <v>3083</v>
      </c>
      <c r="B8" s="3001" t="s">
        <v>3091</v>
      </c>
      <c r="C8" s="3001">
        <v>80.739999999999995</v>
      </c>
    </row>
    <row r="9" spans="1:3" s="2999" customFormat="1">
      <c r="A9" s="3001" t="s">
        <v>3083</v>
      </c>
      <c r="B9" s="3001" t="s">
        <v>3092</v>
      </c>
      <c r="C9" s="3001">
        <v>80.75</v>
      </c>
    </row>
    <row r="10" spans="1:3" s="2999" customFormat="1">
      <c r="A10" s="3001" t="s">
        <v>3083</v>
      </c>
      <c r="B10" s="3001" t="s">
        <v>3093</v>
      </c>
      <c r="C10" s="3001">
        <v>80.739999999999995</v>
      </c>
    </row>
    <row r="11" spans="1:3" s="2999" customFormat="1">
      <c r="A11" s="3001" t="s">
        <v>3083</v>
      </c>
      <c r="B11" s="3001" t="s">
        <v>3094</v>
      </c>
      <c r="C11" s="3001">
        <v>80.75</v>
      </c>
    </row>
    <row r="12" spans="1:3" s="2999" customFormat="1">
      <c r="A12" s="3001" t="s">
        <v>3083</v>
      </c>
      <c r="B12" s="3001" t="s">
        <v>3095</v>
      </c>
      <c r="C12" s="3001">
        <v>47.96</v>
      </c>
    </row>
    <row r="13" spans="1:3" s="2999" customFormat="1">
      <c r="A13" s="3001" t="s">
        <v>3083</v>
      </c>
      <c r="B13" s="3001" t="s">
        <v>3096</v>
      </c>
      <c r="C13" s="3001">
        <v>42.5</v>
      </c>
    </row>
    <row r="14" spans="1:3" s="2999" customFormat="1">
      <c r="A14" s="3001" t="s">
        <v>3083</v>
      </c>
      <c r="B14" s="3001" t="s">
        <v>3097</v>
      </c>
      <c r="C14" s="3001">
        <v>42.69</v>
      </c>
    </row>
    <row r="15" spans="1:3" s="2999" customFormat="1">
      <c r="A15" s="3001" t="s">
        <v>3083</v>
      </c>
      <c r="B15" s="3001" t="s">
        <v>3098</v>
      </c>
      <c r="C15" s="3001">
        <v>42.69</v>
      </c>
    </row>
    <row r="16" spans="1:3" s="2999" customFormat="1">
      <c r="A16" s="3001" t="s">
        <v>3083</v>
      </c>
      <c r="B16" s="3001" t="s">
        <v>3099</v>
      </c>
      <c r="C16" s="3001">
        <v>42.68</v>
      </c>
    </row>
    <row r="17" spans="1:3" s="2999" customFormat="1">
      <c r="A17" s="3001" t="s">
        <v>3083</v>
      </c>
      <c r="B17" s="3001" t="s">
        <v>3100</v>
      </c>
      <c r="C17" s="3001">
        <v>42.68</v>
      </c>
    </row>
    <row r="18" spans="1:3" s="2999" customFormat="1">
      <c r="A18" s="3001" t="s">
        <v>3083</v>
      </c>
      <c r="B18" s="3001" t="s">
        <v>3101</v>
      </c>
      <c r="C18" s="3001">
        <v>41.66</v>
      </c>
    </row>
    <row r="19" spans="1:3" s="2999" customFormat="1">
      <c r="A19" s="3001" t="s">
        <v>3083</v>
      </c>
      <c r="B19" s="3001" t="s">
        <v>3102</v>
      </c>
      <c r="C19" s="3001">
        <v>47.96</v>
      </c>
    </row>
    <row r="20" spans="1:3" s="2999" customFormat="1">
      <c r="A20" s="3001" t="s">
        <v>3083</v>
      </c>
      <c r="B20" s="3001" t="s">
        <v>3103</v>
      </c>
      <c r="C20" s="3001">
        <v>80.739999999999995</v>
      </c>
    </row>
    <row r="21" spans="1:3" s="2999" customFormat="1">
      <c r="A21" s="3001" t="s">
        <v>3083</v>
      </c>
      <c r="B21" s="3001" t="s">
        <v>3104</v>
      </c>
      <c r="C21" s="3001">
        <v>80.75</v>
      </c>
    </row>
    <row r="22" spans="1:3" s="2999" customFormat="1">
      <c r="A22" s="3001" t="s">
        <v>3083</v>
      </c>
      <c r="B22" s="3001" t="s">
        <v>3105</v>
      </c>
      <c r="C22" s="3001">
        <v>80.739999999999995</v>
      </c>
    </row>
    <row r="23" spans="1:3" s="2999" customFormat="1">
      <c r="A23" s="3001" t="s">
        <v>3083</v>
      </c>
      <c r="B23" s="3001" t="s">
        <v>3106</v>
      </c>
      <c r="C23" s="3001">
        <v>80.75</v>
      </c>
    </row>
    <row r="24" spans="1:3" s="2999" customFormat="1">
      <c r="A24" s="3001" t="s">
        <v>3083</v>
      </c>
      <c r="B24" s="3001" t="s">
        <v>3107</v>
      </c>
      <c r="C24" s="3001">
        <v>80.739999999999995</v>
      </c>
    </row>
    <row r="25" spans="1:3" s="2999" customFormat="1">
      <c r="A25" s="3001" t="s">
        <v>3083</v>
      </c>
      <c r="B25" s="3001" t="s">
        <v>3108</v>
      </c>
      <c r="C25" s="3001">
        <v>80.75</v>
      </c>
    </row>
    <row r="26" spans="1:3" s="2999" customFormat="1">
      <c r="A26" s="3001" t="s">
        <v>3083</v>
      </c>
      <c r="B26" s="3001" t="s">
        <v>3109</v>
      </c>
      <c r="C26" s="3001">
        <v>80.739999999999995</v>
      </c>
    </row>
    <row r="27" spans="1:3" s="2999" customFormat="1">
      <c r="A27" s="3001" t="s">
        <v>3083</v>
      </c>
      <c r="B27" s="3001" t="s">
        <v>3110</v>
      </c>
      <c r="C27" s="3001">
        <v>80.75</v>
      </c>
    </row>
    <row r="28" spans="1:3" s="2999" customFormat="1">
      <c r="A28" s="3001" t="s">
        <v>3083</v>
      </c>
      <c r="B28" s="3001" t="s">
        <v>3111</v>
      </c>
      <c r="C28" s="3001">
        <v>47.96</v>
      </c>
    </row>
    <row r="29" spans="1:3" s="2999" customFormat="1">
      <c r="A29" s="3001" t="s">
        <v>3083</v>
      </c>
      <c r="B29" s="3001" t="s">
        <v>3112</v>
      </c>
      <c r="C29" s="3001">
        <v>32.93</v>
      </c>
    </row>
    <row r="30" spans="1:3" s="2999" customFormat="1">
      <c r="A30" s="3001" t="s">
        <v>3083</v>
      </c>
      <c r="B30" s="3001" t="s">
        <v>3113</v>
      </c>
      <c r="C30" s="3001">
        <v>40.4</v>
      </c>
    </row>
    <row r="31" spans="1:3" s="2999" customFormat="1">
      <c r="A31" s="3001" t="s">
        <v>3083</v>
      </c>
      <c r="B31" s="3001" t="s">
        <v>3114</v>
      </c>
      <c r="C31" s="3001">
        <v>65.89</v>
      </c>
    </row>
    <row r="32" spans="1:3" s="2999" customFormat="1">
      <c r="A32" s="3001" t="s">
        <v>3083</v>
      </c>
      <c r="B32" s="3001" t="s">
        <v>3115</v>
      </c>
      <c r="C32" s="3001">
        <v>43.28</v>
      </c>
    </row>
    <row r="33" spans="1:3" s="2999" customFormat="1">
      <c r="A33" s="3001" t="s">
        <v>3083</v>
      </c>
      <c r="B33" s="3001" t="s">
        <v>3116</v>
      </c>
      <c r="C33" s="3001">
        <v>43.46</v>
      </c>
    </row>
    <row r="34" spans="1:3" s="2999" customFormat="1">
      <c r="A34" s="3001" t="s">
        <v>3083</v>
      </c>
      <c r="B34" s="3001" t="s">
        <v>3117</v>
      </c>
      <c r="C34" s="3001">
        <v>43.46</v>
      </c>
    </row>
    <row r="35" spans="1:3" s="2999" customFormat="1">
      <c r="A35" s="3001" t="s">
        <v>3083</v>
      </c>
      <c r="B35" s="3001" t="s">
        <v>3118</v>
      </c>
      <c r="C35" s="3001">
        <v>43.47</v>
      </c>
    </row>
    <row r="36" spans="1:3" s="2999" customFormat="1">
      <c r="A36" s="3001" t="s">
        <v>3083</v>
      </c>
      <c r="B36" s="3001" t="s">
        <v>3119</v>
      </c>
      <c r="C36" s="3001">
        <v>43.47</v>
      </c>
    </row>
    <row r="37" spans="1:3" s="2999" customFormat="1">
      <c r="A37" s="3001" t="s">
        <v>3083</v>
      </c>
      <c r="B37" s="3001" t="s">
        <v>3120</v>
      </c>
      <c r="C37" s="3001">
        <v>43.26</v>
      </c>
    </row>
    <row r="38" spans="1:3" s="2999" customFormat="1">
      <c r="A38" s="3001" t="s">
        <v>3083</v>
      </c>
      <c r="B38" s="3001" t="s">
        <v>3121</v>
      </c>
      <c r="C38" s="3001">
        <v>47.75</v>
      </c>
    </row>
    <row r="39" spans="1:3" s="2999" customFormat="1">
      <c r="A39" s="3001" t="s">
        <v>3083</v>
      </c>
      <c r="B39" s="3001" t="s">
        <v>3122</v>
      </c>
      <c r="C39" s="3001">
        <v>47.96</v>
      </c>
    </row>
    <row r="40" spans="1:3" s="2999" customFormat="1">
      <c r="A40" s="3001" t="s">
        <v>3083</v>
      </c>
      <c r="B40" s="3001" t="s">
        <v>3123</v>
      </c>
      <c r="C40" s="3001">
        <v>81.56</v>
      </c>
    </row>
    <row r="41" spans="1:3" s="2999" customFormat="1">
      <c r="A41" s="3001" t="s">
        <v>3083</v>
      </c>
      <c r="B41" s="3001" t="s">
        <v>3124</v>
      </c>
      <c r="C41" s="3001">
        <v>81.569999999999993</v>
      </c>
    </row>
    <row r="42" spans="1:3" s="2999" customFormat="1">
      <c r="A42" s="3001" t="s">
        <v>3083</v>
      </c>
      <c r="B42" s="3001" t="s">
        <v>3125</v>
      </c>
      <c r="C42" s="3001">
        <v>81.56</v>
      </c>
    </row>
    <row r="43" spans="1:3" s="2999" customFormat="1">
      <c r="A43" s="3001" t="s">
        <v>3083</v>
      </c>
      <c r="B43" s="3001" t="s">
        <v>3126</v>
      </c>
      <c r="C43" s="3001">
        <v>81.569999999999993</v>
      </c>
    </row>
    <row r="44" spans="1:3" s="2999" customFormat="1">
      <c r="A44" s="3001" t="s">
        <v>3083</v>
      </c>
      <c r="B44" s="3001" t="s">
        <v>3127</v>
      </c>
      <c r="C44" s="3001">
        <v>81.56</v>
      </c>
    </row>
    <row r="45" spans="1:3" s="2999" customFormat="1">
      <c r="A45" s="3001" t="s">
        <v>3083</v>
      </c>
      <c r="B45" s="3001" t="s">
        <v>3128</v>
      </c>
      <c r="C45" s="3001">
        <v>81.569999999999993</v>
      </c>
    </row>
    <row r="46" spans="1:3" s="2999" customFormat="1">
      <c r="A46" s="3001" t="s">
        <v>3083</v>
      </c>
      <c r="B46" s="3001" t="s">
        <v>3129</v>
      </c>
      <c r="C46" s="3001">
        <v>81.56</v>
      </c>
    </row>
    <row r="47" spans="1:3" s="2999" customFormat="1">
      <c r="A47" s="3001" t="s">
        <v>3083</v>
      </c>
      <c r="B47" s="3001" t="s">
        <v>3130</v>
      </c>
      <c r="C47" s="3001">
        <v>81.569999999999993</v>
      </c>
    </row>
    <row r="48" spans="1:3" s="2999" customFormat="1">
      <c r="A48" s="3001" t="s">
        <v>3083</v>
      </c>
      <c r="B48" s="3001" t="s">
        <v>3131</v>
      </c>
      <c r="C48" s="3001">
        <v>47.96</v>
      </c>
    </row>
    <row r="49" spans="1:3" s="2999" customFormat="1">
      <c r="A49" s="3001" t="s">
        <v>3083</v>
      </c>
      <c r="B49" s="3001" t="s">
        <v>3132</v>
      </c>
      <c r="C49" s="3001">
        <v>32.93</v>
      </c>
    </row>
    <row r="50" spans="1:3" s="2999" customFormat="1">
      <c r="A50" s="3001" t="s">
        <v>3083</v>
      </c>
      <c r="B50" s="3001" t="s">
        <v>3133</v>
      </c>
      <c r="C50" s="3001">
        <v>40.21</v>
      </c>
    </row>
    <row r="51" spans="1:3" s="2999" customFormat="1">
      <c r="A51" s="3001" t="s">
        <v>3083</v>
      </c>
      <c r="B51" s="3001" t="s">
        <v>3134</v>
      </c>
      <c r="C51" s="3001">
        <v>65.89</v>
      </c>
    </row>
    <row r="52" spans="1:3" s="2999" customFormat="1">
      <c r="A52" s="3001" t="s">
        <v>3083</v>
      </c>
      <c r="B52" s="3001" t="s">
        <v>3135</v>
      </c>
      <c r="C52" s="3001">
        <v>43.47</v>
      </c>
    </row>
    <row r="53" spans="1:3" s="2999" customFormat="1">
      <c r="A53" s="3001" t="s">
        <v>3083</v>
      </c>
      <c r="B53" s="3001" t="s">
        <v>3136</v>
      </c>
      <c r="C53" s="3001">
        <v>43.46</v>
      </c>
    </row>
    <row r="54" spans="1:3" s="2999" customFormat="1">
      <c r="A54" s="3001" t="s">
        <v>3083</v>
      </c>
      <c r="B54" s="3001" t="s">
        <v>3137</v>
      </c>
      <c r="C54" s="3001">
        <v>43.46</v>
      </c>
    </row>
    <row r="55" spans="1:3" s="2999" customFormat="1">
      <c r="A55" s="3001" t="s">
        <v>3083</v>
      </c>
      <c r="B55" s="3001" t="s">
        <v>3138</v>
      </c>
      <c r="C55" s="3001">
        <v>43.47</v>
      </c>
    </row>
    <row r="56" spans="1:3" s="2999" customFormat="1">
      <c r="A56" s="3001" t="s">
        <v>3083</v>
      </c>
      <c r="B56" s="3001" t="s">
        <v>3139</v>
      </c>
      <c r="C56" s="3001">
        <v>43.47</v>
      </c>
    </row>
    <row r="57" spans="1:3" s="2999" customFormat="1">
      <c r="A57" s="3001" t="s">
        <v>3083</v>
      </c>
      <c r="B57" s="3001" t="s">
        <v>3140</v>
      </c>
      <c r="C57" s="3001">
        <v>43.47</v>
      </c>
    </row>
    <row r="58" spans="1:3" s="2999" customFormat="1">
      <c r="A58" s="3001" t="s">
        <v>3083</v>
      </c>
      <c r="B58" s="3001" t="s">
        <v>3141</v>
      </c>
      <c r="C58" s="3001">
        <v>47.27</v>
      </c>
    </row>
    <row r="59" spans="1:3" s="2999" customFormat="1">
      <c r="A59" s="3001" t="s">
        <v>3083</v>
      </c>
      <c r="B59" s="3001" t="s">
        <v>3142</v>
      </c>
      <c r="C59" s="3001">
        <v>47.96</v>
      </c>
    </row>
    <row r="60" spans="1:3" s="2999" customFormat="1">
      <c r="A60" s="3001" t="s">
        <v>3083</v>
      </c>
      <c r="B60" s="3001" t="s">
        <v>3143</v>
      </c>
      <c r="C60" s="3001">
        <v>81.56</v>
      </c>
    </row>
    <row r="61" spans="1:3" s="2999" customFormat="1">
      <c r="A61" s="3001" t="s">
        <v>3083</v>
      </c>
      <c r="B61" s="3001" t="s">
        <v>3144</v>
      </c>
      <c r="C61" s="3001">
        <v>81.569999999999993</v>
      </c>
    </row>
    <row r="62" spans="1:3" s="2999" customFormat="1">
      <c r="A62" s="3001" t="s">
        <v>3083</v>
      </c>
      <c r="B62" s="3001" t="s">
        <v>3145</v>
      </c>
      <c r="C62" s="3001">
        <v>81.56</v>
      </c>
    </row>
    <row r="63" spans="1:3" s="2999" customFormat="1">
      <c r="A63" s="3001" t="s">
        <v>3083</v>
      </c>
      <c r="B63" s="3001" t="s">
        <v>3146</v>
      </c>
      <c r="C63" s="3001">
        <v>81.569999999999993</v>
      </c>
    </row>
    <row r="64" spans="1:3" s="2999" customFormat="1">
      <c r="A64" s="3001" t="s">
        <v>3083</v>
      </c>
      <c r="B64" s="3001" t="s">
        <v>3147</v>
      </c>
      <c r="C64" s="3001">
        <v>81.56</v>
      </c>
    </row>
    <row r="65" spans="1:3" s="2999" customFormat="1">
      <c r="A65" s="3001" t="s">
        <v>3083</v>
      </c>
      <c r="B65" s="3001" t="s">
        <v>3148</v>
      </c>
      <c r="C65" s="3001">
        <v>81.569999999999993</v>
      </c>
    </row>
    <row r="66" spans="1:3" s="2999" customFormat="1">
      <c r="A66" s="3001" t="s">
        <v>3083</v>
      </c>
      <c r="B66" s="3001" t="s">
        <v>3149</v>
      </c>
      <c r="C66" s="3001">
        <v>81.56</v>
      </c>
    </row>
    <row r="67" spans="1:3" s="2999" customFormat="1">
      <c r="A67" s="3001" t="s">
        <v>3083</v>
      </c>
      <c r="B67" s="3001" t="s">
        <v>3150</v>
      </c>
      <c r="C67" s="3001">
        <v>81.569999999999993</v>
      </c>
    </row>
    <row r="68" spans="1:3" s="2999" customFormat="1">
      <c r="A68" s="3001" t="s">
        <v>3083</v>
      </c>
      <c r="B68" s="3001" t="s">
        <v>3151</v>
      </c>
      <c r="C68" s="3001">
        <v>47.96</v>
      </c>
    </row>
    <row r="69" spans="1:3" s="2999" customFormat="1">
      <c r="A69" s="3001" t="s">
        <v>3083</v>
      </c>
      <c r="B69" s="3001" t="s">
        <v>3152</v>
      </c>
      <c r="C69" s="3001">
        <v>32.93</v>
      </c>
    </row>
    <row r="70" spans="1:3" s="2999" customFormat="1">
      <c r="A70" s="3001" t="s">
        <v>3083</v>
      </c>
      <c r="B70" s="3001" t="s">
        <v>3153</v>
      </c>
      <c r="C70" s="3001">
        <v>40.21</v>
      </c>
    </row>
    <row r="71" spans="1:3" s="2999" customFormat="1">
      <c r="A71" s="3001" t="s">
        <v>3083</v>
      </c>
      <c r="B71" s="3001" t="s">
        <v>3154</v>
      </c>
      <c r="C71" s="3001">
        <v>65.89</v>
      </c>
    </row>
    <row r="72" spans="1:3" s="2999" customFormat="1">
      <c r="A72" s="3001" t="s">
        <v>3083</v>
      </c>
      <c r="B72" s="3001" t="s">
        <v>3155</v>
      </c>
      <c r="C72" s="3001">
        <v>43.47</v>
      </c>
    </row>
    <row r="73" spans="1:3" s="2999" customFormat="1">
      <c r="A73" s="3001" t="s">
        <v>3083</v>
      </c>
      <c r="B73" s="3001" t="s">
        <v>3156</v>
      </c>
      <c r="C73" s="3001">
        <v>43.46</v>
      </c>
    </row>
    <row r="74" spans="1:3" s="2999" customFormat="1">
      <c r="A74" s="3001" t="s">
        <v>3083</v>
      </c>
      <c r="B74" s="3001" t="s">
        <v>3157</v>
      </c>
      <c r="C74" s="3001">
        <v>43.46</v>
      </c>
    </row>
    <row r="75" spans="1:3" s="2999" customFormat="1">
      <c r="A75" s="3001" t="s">
        <v>3083</v>
      </c>
      <c r="B75" s="3001" t="s">
        <v>3158</v>
      </c>
      <c r="C75" s="3001">
        <v>43.47</v>
      </c>
    </row>
    <row r="76" spans="1:3" s="2999" customFormat="1">
      <c r="A76" s="3001" t="s">
        <v>3083</v>
      </c>
      <c r="B76" s="3001" t="s">
        <v>3159</v>
      </c>
      <c r="C76" s="3001">
        <v>43.47</v>
      </c>
    </row>
    <row r="77" spans="1:3" s="2999" customFormat="1">
      <c r="A77" s="3001" t="s">
        <v>3083</v>
      </c>
      <c r="B77" s="3001" t="s">
        <v>3160</v>
      </c>
      <c r="C77" s="3001">
        <v>43.47</v>
      </c>
    </row>
    <row r="78" spans="1:3" s="2999" customFormat="1">
      <c r="A78" s="3001" t="s">
        <v>3083</v>
      </c>
      <c r="B78" s="3001" t="s">
        <v>3161</v>
      </c>
      <c r="C78" s="3001">
        <v>47.27</v>
      </c>
    </row>
    <row r="79" spans="1:3" s="2999" customFormat="1">
      <c r="A79" s="3001" t="s">
        <v>3083</v>
      </c>
      <c r="B79" s="3001" t="s">
        <v>3162</v>
      </c>
      <c r="C79" s="3001">
        <v>47.96</v>
      </c>
    </row>
    <row r="80" spans="1:3" s="2999" customFormat="1">
      <c r="A80" s="3001" t="s">
        <v>3083</v>
      </c>
      <c r="B80" s="3001" t="s">
        <v>3163</v>
      </c>
      <c r="C80" s="3001">
        <v>78.53</v>
      </c>
    </row>
    <row r="81" spans="1:3" s="2999" customFormat="1">
      <c r="A81" s="3001" t="s">
        <v>3083</v>
      </c>
      <c r="B81" s="3001" t="s">
        <v>3164</v>
      </c>
      <c r="C81" s="3001">
        <v>78.540000000000006</v>
      </c>
    </row>
    <row r="82" spans="1:3" s="2999" customFormat="1">
      <c r="A82" s="3001" t="s">
        <v>3083</v>
      </c>
      <c r="B82" s="3001" t="s">
        <v>3165</v>
      </c>
      <c r="C82" s="3001">
        <v>78.53</v>
      </c>
    </row>
    <row r="83" spans="1:3" s="2999" customFormat="1">
      <c r="A83" s="3001" t="s">
        <v>3083</v>
      </c>
      <c r="B83" s="3001" t="s">
        <v>3166</v>
      </c>
      <c r="C83" s="3001">
        <v>78.53</v>
      </c>
    </row>
    <row r="84" spans="1:3" s="2999" customFormat="1">
      <c r="A84" s="3001" t="s">
        <v>3083</v>
      </c>
      <c r="B84" s="3001" t="s">
        <v>3167</v>
      </c>
      <c r="C84" s="3001">
        <v>78.53</v>
      </c>
    </row>
    <row r="85" spans="1:3" s="2999" customFormat="1">
      <c r="A85" s="3001" t="s">
        <v>3083</v>
      </c>
      <c r="B85" s="3001" t="s">
        <v>3168</v>
      </c>
      <c r="C85" s="3001">
        <v>78.53</v>
      </c>
    </row>
    <row r="86" spans="1:3" s="2999" customFormat="1">
      <c r="A86" s="3001" t="s">
        <v>3083</v>
      </c>
      <c r="B86" s="3001" t="s">
        <v>3169</v>
      </c>
      <c r="C86" s="3001">
        <v>78.53</v>
      </c>
    </row>
    <row r="87" spans="1:3" s="2999" customFormat="1">
      <c r="A87" s="3001" t="s">
        <v>3083</v>
      </c>
      <c r="B87" s="3001" t="s">
        <v>3170</v>
      </c>
      <c r="C87" s="3001">
        <v>78.53</v>
      </c>
    </row>
    <row r="88" spans="1:3" s="2999" customFormat="1">
      <c r="A88" s="3001" t="s">
        <v>3083</v>
      </c>
      <c r="B88" s="3001" t="s">
        <v>3171</v>
      </c>
      <c r="C88" s="3001">
        <v>47.96</v>
      </c>
    </row>
    <row r="89" spans="1:3" s="2999" customFormat="1">
      <c r="A89" s="3001" t="s">
        <v>3083</v>
      </c>
      <c r="B89" s="3001" t="s">
        <v>3172</v>
      </c>
      <c r="C89" s="3001">
        <v>32.93</v>
      </c>
    </row>
    <row r="90" spans="1:3" s="2999" customFormat="1">
      <c r="A90" s="3001" t="s">
        <v>3083</v>
      </c>
      <c r="B90" s="3001" t="s">
        <v>3173</v>
      </c>
      <c r="C90" s="3001">
        <v>40.21</v>
      </c>
    </row>
    <row r="91" spans="1:3" s="2999" customFormat="1">
      <c r="A91" s="3001" t="s">
        <v>3083</v>
      </c>
      <c r="B91" s="3001" t="s">
        <v>3174</v>
      </c>
      <c r="C91" s="3001">
        <v>65.12</v>
      </c>
    </row>
    <row r="92" spans="1:3" s="2999" customFormat="1">
      <c r="A92" s="3001" t="s">
        <v>3083</v>
      </c>
      <c r="B92" s="3001" t="s">
        <v>3175</v>
      </c>
      <c r="C92" s="3001">
        <v>42.69</v>
      </c>
    </row>
    <row r="93" spans="1:3" s="2999" customFormat="1">
      <c r="A93" s="3001" t="s">
        <v>3083</v>
      </c>
      <c r="B93" s="3001" t="s">
        <v>3176</v>
      </c>
      <c r="C93" s="3001">
        <v>42.68</v>
      </c>
    </row>
    <row r="94" spans="1:3" s="2999" customFormat="1">
      <c r="A94" s="3001" t="s">
        <v>3083</v>
      </c>
      <c r="B94" s="3001" t="s">
        <v>3177</v>
      </c>
      <c r="C94" s="3001">
        <v>42.69</v>
      </c>
    </row>
    <row r="95" spans="1:3" s="2999" customFormat="1">
      <c r="A95" s="3001" t="s">
        <v>3083</v>
      </c>
      <c r="B95" s="3001" t="s">
        <v>3178</v>
      </c>
      <c r="C95" s="3001">
        <v>42.69</v>
      </c>
    </row>
    <row r="96" spans="1:3" s="2999" customFormat="1">
      <c r="A96" s="3001" t="s">
        <v>3083</v>
      </c>
      <c r="B96" s="3001" t="s">
        <v>3179</v>
      </c>
      <c r="C96" s="3001">
        <v>42.69</v>
      </c>
    </row>
    <row r="97" spans="1:3" s="2999" customFormat="1">
      <c r="A97" s="3001" t="s">
        <v>3083</v>
      </c>
      <c r="B97" s="3001" t="s">
        <v>3180</v>
      </c>
      <c r="C97" s="3001">
        <v>42.69</v>
      </c>
    </row>
    <row r="98" spans="1:3" s="2999" customFormat="1">
      <c r="A98" s="3001" t="s">
        <v>3083</v>
      </c>
      <c r="B98" s="3001" t="s">
        <v>3181</v>
      </c>
      <c r="C98" s="3001">
        <v>47.53</v>
      </c>
    </row>
    <row r="99" spans="1:3" s="2999" customFormat="1">
      <c r="A99" s="3339" t="s">
        <v>4698</v>
      </c>
      <c r="B99" s="3339"/>
      <c r="C99" s="3001">
        <f>SUM(C3:C98)</f>
        <v>5743.1999999999989</v>
      </c>
    </row>
    <row r="100" spans="1:3" s="2999" customFormat="1">
      <c r="A100" s="3001" t="s">
        <v>3083</v>
      </c>
      <c r="B100" s="3001" t="s">
        <v>3184</v>
      </c>
      <c r="C100" s="3001">
        <v>47.63</v>
      </c>
    </row>
    <row r="101" spans="1:3" s="2999" customFormat="1">
      <c r="A101" s="3001" t="s">
        <v>4691</v>
      </c>
      <c r="B101" s="3001" t="s">
        <v>3187</v>
      </c>
      <c r="C101" s="3001">
        <v>96.71</v>
      </c>
    </row>
    <row r="102" spans="1:3" s="2999" customFormat="1">
      <c r="A102" s="3001" t="s">
        <v>4691</v>
      </c>
      <c r="B102" s="3001" t="s">
        <v>3188</v>
      </c>
      <c r="C102" s="3001">
        <v>61.64</v>
      </c>
    </row>
    <row r="103" spans="1:3" s="2999" customFormat="1">
      <c r="A103" s="3001" t="s">
        <v>4691</v>
      </c>
      <c r="B103" s="3001" t="s">
        <v>3189</v>
      </c>
      <c r="C103" s="3001">
        <v>95.83</v>
      </c>
    </row>
    <row r="104" spans="1:3" s="2999" customFormat="1">
      <c r="A104" s="3001" t="s">
        <v>4691</v>
      </c>
      <c r="B104" s="3001" t="s">
        <v>3190</v>
      </c>
      <c r="C104" s="3001">
        <v>97.09</v>
      </c>
    </row>
    <row r="105" spans="1:3" s="2999" customFormat="1">
      <c r="A105" s="3001" t="s">
        <v>4691</v>
      </c>
      <c r="B105" s="3001" t="s">
        <v>3191</v>
      </c>
      <c r="C105" s="3001">
        <v>97.32</v>
      </c>
    </row>
    <row r="106" spans="1:3" s="2999" customFormat="1">
      <c r="A106" s="3001" t="s">
        <v>4691</v>
      </c>
      <c r="B106" s="3001" t="s">
        <v>3192</v>
      </c>
      <c r="C106" s="3001">
        <v>95.87</v>
      </c>
    </row>
    <row r="107" spans="1:3" s="2999" customFormat="1">
      <c r="A107" s="3001" t="s">
        <v>4691</v>
      </c>
      <c r="B107" s="3001" t="s">
        <v>3193</v>
      </c>
      <c r="C107" s="3001">
        <v>94.28</v>
      </c>
    </row>
    <row r="108" spans="1:3" s="2999" customFormat="1">
      <c r="A108" s="3001" t="s">
        <v>4691</v>
      </c>
      <c r="B108" s="3001" t="s">
        <v>3194</v>
      </c>
      <c r="C108" s="3001">
        <v>216.93</v>
      </c>
    </row>
    <row r="109" spans="1:3" s="2999" customFormat="1">
      <c r="A109" s="3001" t="s">
        <v>4692</v>
      </c>
      <c r="B109" s="3001" t="s">
        <v>3196</v>
      </c>
      <c r="C109" s="3002">
        <v>49.68</v>
      </c>
    </row>
    <row r="110" spans="1:3" s="2999" customFormat="1">
      <c r="A110" s="3001" t="s">
        <v>4692</v>
      </c>
      <c r="B110" s="3001" t="s">
        <v>3199</v>
      </c>
      <c r="C110" s="3002">
        <v>47.32</v>
      </c>
    </row>
    <row r="111" spans="1:3" s="2999" customFormat="1">
      <c r="A111" s="3001" t="s">
        <v>4692</v>
      </c>
      <c r="B111" s="3001" t="s">
        <v>3201</v>
      </c>
      <c r="C111" s="3002">
        <v>35.06</v>
      </c>
    </row>
    <row r="112" spans="1:3" s="2999" customFormat="1">
      <c r="A112" s="3001" t="s">
        <v>4692</v>
      </c>
      <c r="B112" s="3001" t="s">
        <v>3203</v>
      </c>
      <c r="C112" s="3002">
        <v>35.06</v>
      </c>
    </row>
    <row r="113" spans="1:3" s="2999" customFormat="1">
      <c r="A113" s="3001" t="s">
        <v>4692</v>
      </c>
      <c r="B113" s="3001" t="s">
        <v>3204</v>
      </c>
      <c r="C113" s="3002">
        <v>36.81</v>
      </c>
    </row>
    <row r="114" spans="1:3" s="2999" customFormat="1">
      <c r="A114" s="3001" t="s">
        <v>4692</v>
      </c>
      <c r="B114" s="3001" t="s">
        <v>3206</v>
      </c>
      <c r="C114" s="3002">
        <v>74.209999999999994</v>
      </c>
    </row>
    <row r="115" spans="1:3" s="2999" customFormat="1">
      <c r="A115" s="3001" t="s">
        <v>4692</v>
      </c>
      <c r="B115" s="3001" t="s">
        <v>3208</v>
      </c>
      <c r="C115" s="3002">
        <v>113.29</v>
      </c>
    </row>
    <row r="116" spans="1:3" s="2999" customFormat="1">
      <c r="A116" s="3001" t="s">
        <v>4692</v>
      </c>
      <c r="B116" s="3001" t="s">
        <v>3210</v>
      </c>
      <c r="C116" s="3002">
        <v>57.65</v>
      </c>
    </row>
    <row r="117" spans="1:3" s="2999" customFormat="1">
      <c r="A117" s="3001" t="s">
        <v>4692</v>
      </c>
      <c r="B117" s="3001" t="s">
        <v>3212</v>
      </c>
      <c r="C117" s="3002">
        <v>90.83</v>
      </c>
    </row>
    <row r="118" spans="1:3" s="2999" customFormat="1">
      <c r="A118" s="3001" t="s">
        <v>4692</v>
      </c>
      <c r="B118" s="3001" t="s">
        <v>3214</v>
      </c>
      <c r="C118" s="3002">
        <v>90.83</v>
      </c>
    </row>
    <row r="119" spans="1:3" s="2999" customFormat="1">
      <c r="A119" s="3001" t="s">
        <v>4692</v>
      </c>
      <c r="B119" s="3001" t="s">
        <v>3215</v>
      </c>
      <c r="C119" s="3002">
        <v>57.65</v>
      </c>
    </row>
    <row r="120" spans="1:3" s="2999" customFormat="1">
      <c r="A120" s="3001" t="s">
        <v>4692</v>
      </c>
      <c r="B120" s="3001" t="s">
        <v>3216</v>
      </c>
      <c r="C120" s="3002">
        <v>57.65</v>
      </c>
    </row>
    <row r="121" spans="1:3" s="2999" customFormat="1">
      <c r="A121" s="3001" t="s">
        <v>4692</v>
      </c>
      <c r="B121" s="3001" t="s">
        <v>3217</v>
      </c>
      <c r="C121" s="3002">
        <v>70.739999999999995</v>
      </c>
    </row>
    <row r="122" spans="1:3" s="2999" customFormat="1">
      <c r="A122" s="3001" t="s">
        <v>4692</v>
      </c>
      <c r="B122" s="3001" t="s">
        <v>3219</v>
      </c>
      <c r="C122" s="3002">
        <v>70.739999999999995</v>
      </c>
    </row>
    <row r="123" spans="1:3" s="2999" customFormat="1">
      <c r="A123" s="3001" t="s">
        <v>4692</v>
      </c>
      <c r="B123" s="3001" t="s">
        <v>3220</v>
      </c>
      <c r="C123" s="3002">
        <v>92.58</v>
      </c>
    </row>
    <row r="124" spans="1:3" s="2999" customFormat="1">
      <c r="A124" s="3001" t="s">
        <v>4692</v>
      </c>
      <c r="B124" s="3001" t="s">
        <v>3222</v>
      </c>
      <c r="C124" s="3002">
        <v>70.739999999999995</v>
      </c>
    </row>
    <row r="125" spans="1:3" s="2999" customFormat="1">
      <c r="A125" s="3001" t="s">
        <v>4692</v>
      </c>
      <c r="B125" s="3001" t="s">
        <v>3223</v>
      </c>
      <c r="C125" s="3002">
        <v>70.739999999999995</v>
      </c>
    </row>
    <row r="126" spans="1:3" s="2999" customFormat="1">
      <c r="A126" s="3001" t="s">
        <v>4692</v>
      </c>
      <c r="B126" s="3001" t="s">
        <v>3224</v>
      </c>
      <c r="C126" s="3002">
        <v>55.89</v>
      </c>
    </row>
    <row r="127" spans="1:3" s="2999" customFormat="1">
      <c r="A127" s="3001" t="s">
        <v>4692</v>
      </c>
      <c r="B127" s="3001" t="s">
        <v>3226</v>
      </c>
      <c r="C127" s="3002">
        <v>58.51</v>
      </c>
    </row>
    <row r="128" spans="1:3" s="2999" customFormat="1">
      <c r="A128" s="3001" t="s">
        <v>4692</v>
      </c>
      <c r="B128" s="3001" t="s">
        <v>3228</v>
      </c>
      <c r="C128" s="3002">
        <v>51.2</v>
      </c>
    </row>
    <row r="129" spans="1:3" s="2999" customFormat="1">
      <c r="A129" s="3001" t="s">
        <v>4692</v>
      </c>
      <c r="B129" s="3001" t="s">
        <v>3230</v>
      </c>
      <c r="C129" s="3002">
        <v>76.95</v>
      </c>
    </row>
    <row r="130" spans="1:3" s="2999" customFormat="1">
      <c r="A130" s="3001" t="s">
        <v>4692</v>
      </c>
      <c r="B130" s="3001" t="s">
        <v>3232</v>
      </c>
      <c r="C130" s="3002">
        <v>70.03</v>
      </c>
    </row>
    <row r="131" spans="1:3" s="2999" customFormat="1">
      <c r="A131" s="3001" t="s">
        <v>4692</v>
      </c>
      <c r="B131" s="3001" t="s">
        <v>3234</v>
      </c>
      <c r="C131" s="3002">
        <v>58.35</v>
      </c>
    </row>
    <row r="132" spans="1:3" s="2999" customFormat="1">
      <c r="A132" s="3001" t="s">
        <v>4692</v>
      </c>
      <c r="B132" s="3001" t="s">
        <v>3236</v>
      </c>
      <c r="C132" s="3002">
        <v>67.52</v>
      </c>
    </row>
    <row r="133" spans="1:3" s="2999" customFormat="1">
      <c r="A133" s="3001" t="s">
        <v>4692</v>
      </c>
      <c r="B133" s="3001" t="s">
        <v>3238</v>
      </c>
      <c r="C133" s="3002">
        <v>31.47</v>
      </c>
    </row>
    <row r="134" spans="1:3" s="2999" customFormat="1">
      <c r="A134" s="3001" t="s">
        <v>4692</v>
      </c>
      <c r="B134" s="3001" t="s">
        <v>3240</v>
      </c>
      <c r="C134" s="3002">
        <v>53.19</v>
      </c>
    </row>
    <row r="135" spans="1:3" s="2999" customFormat="1">
      <c r="A135" s="3001" t="s">
        <v>4692</v>
      </c>
      <c r="B135" s="3001" t="s">
        <v>3242</v>
      </c>
      <c r="C135" s="3002">
        <v>38.49</v>
      </c>
    </row>
    <row r="136" spans="1:3" s="2999" customFormat="1">
      <c r="A136" s="3001" t="s">
        <v>4692</v>
      </c>
      <c r="B136" s="3001" t="s">
        <v>3244</v>
      </c>
      <c r="C136" s="3002">
        <v>55.56</v>
      </c>
    </row>
    <row r="137" spans="1:3" s="2999" customFormat="1">
      <c r="A137" s="3001" t="s">
        <v>4692</v>
      </c>
      <c r="B137" s="3001" t="s">
        <v>3246</v>
      </c>
      <c r="C137" s="3002">
        <v>48.38</v>
      </c>
    </row>
    <row r="138" spans="1:3" s="2999" customFormat="1">
      <c r="A138" s="3001" t="s">
        <v>4692</v>
      </c>
      <c r="B138" s="3001" t="s">
        <v>3248</v>
      </c>
      <c r="C138" s="3002">
        <v>59.38</v>
      </c>
    </row>
    <row r="139" spans="1:3" s="2999" customFormat="1">
      <c r="A139" s="3001" t="s">
        <v>4692</v>
      </c>
      <c r="B139" s="3001" t="s">
        <v>3250</v>
      </c>
      <c r="C139" s="3002">
        <v>62.29</v>
      </c>
    </row>
    <row r="140" spans="1:3" s="2999" customFormat="1">
      <c r="A140" s="3001" t="s">
        <v>4692</v>
      </c>
      <c r="B140" s="3001" t="s">
        <v>3252</v>
      </c>
      <c r="C140" s="3002">
        <v>50.08</v>
      </c>
    </row>
    <row r="141" spans="1:3" s="2999" customFormat="1">
      <c r="A141" s="3001" t="s">
        <v>4692</v>
      </c>
      <c r="B141" s="3001" t="s">
        <v>3255</v>
      </c>
      <c r="C141" s="3002">
        <v>47.7</v>
      </c>
    </row>
    <row r="142" spans="1:3" s="2999" customFormat="1">
      <c r="A142" s="3001" t="s">
        <v>4692</v>
      </c>
      <c r="B142" s="3001" t="s">
        <v>3257</v>
      </c>
      <c r="C142" s="3002">
        <v>35.340000000000003</v>
      </c>
    </row>
    <row r="143" spans="1:3" s="2999" customFormat="1">
      <c r="A143" s="3001" t="s">
        <v>4692</v>
      </c>
      <c r="B143" s="3001" t="s">
        <v>3259</v>
      </c>
      <c r="C143" s="3002">
        <v>35.340000000000003</v>
      </c>
    </row>
    <row r="144" spans="1:3" s="2999" customFormat="1">
      <c r="A144" s="3001" t="s">
        <v>4692</v>
      </c>
      <c r="B144" s="3001" t="s">
        <v>3260</v>
      </c>
      <c r="C144" s="3002">
        <v>37.11</v>
      </c>
    </row>
    <row r="145" spans="1:3" s="2999" customFormat="1">
      <c r="A145" s="3001" t="s">
        <v>4692</v>
      </c>
      <c r="B145" s="3001" t="s">
        <v>3262</v>
      </c>
      <c r="C145" s="3002">
        <v>74.8</v>
      </c>
    </row>
    <row r="146" spans="1:3" s="2999" customFormat="1">
      <c r="A146" s="3001" t="s">
        <v>4692</v>
      </c>
      <c r="B146" s="3001" t="s">
        <v>3264</v>
      </c>
      <c r="C146" s="3002">
        <v>114.2</v>
      </c>
    </row>
    <row r="147" spans="1:3" s="2999" customFormat="1">
      <c r="A147" s="3001" t="s">
        <v>4692</v>
      </c>
      <c r="B147" s="3001" t="s">
        <v>3266</v>
      </c>
      <c r="C147" s="3002">
        <v>58.11</v>
      </c>
    </row>
    <row r="148" spans="1:3" s="2999" customFormat="1">
      <c r="A148" s="3001" t="s">
        <v>4692</v>
      </c>
      <c r="B148" s="3001" t="s">
        <v>3268</v>
      </c>
      <c r="C148" s="3002">
        <v>91.56</v>
      </c>
    </row>
    <row r="149" spans="1:3" s="2999" customFormat="1">
      <c r="A149" s="3001" t="s">
        <v>4692</v>
      </c>
      <c r="B149" s="3001" t="s">
        <v>3270</v>
      </c>
      <c r="C149" s="3002">
        <v>91.56</v>
      </c>
    </row>
    <row r="150" spans="1:3" s="2999" customFormat="1">
      <c r="A150" s="3001" t="s">
        <v>4692</v>
      </c>
      <c r="B150" s="3001" t="s">
        <v>3271</v>
      </c>
      <c r="C150" s="3002">
        <v>58.11</v>
      </c>
    </row>
    <row r="151" spans="1:3" s="2999" customFormat="1">
      <c r="A151" s="3001" t="s">
        <v>4692</v>
      </c>
      <c r="B151" s="3001" t="s">
        <v>3272</v>
      </c>
      <c r="C151" s="3002">
        <v>58.11</v>
      </c>
    </row>
    <row r="152" spans="1:3" s="2999" customFormat="1">
      <c r="A152" s="3001" t="s">
        <v>4692</v>
      </c>
      <c r="B152" s="3001" t="s">
        <v>3273</v>
      </c>
      <c r="C152" s="3002">
        <v>71.31</v>
      </c>
    </row>
    <row r="153" spans="1:3" s="2999" customFormat="1">
      <c r="A153" s="3001" t="s">
        <v>4692</v>
      </c>
      <c r="B153" s="3001" t="s">
        <v>3275</v>
      </c>
      <c r="C153" s="3002">
        <v>71.31</v>
      </c>
    </row>
    <row r="154" spans="1:3" s="2999" customFormat="1">
      <c r="A154" s="3001" t="s">
        <v>4692</v>
      </c>
      <c r="B154" s="3001" t="s">
        <v>3276</v>
      </c>
      <c r="C154" s="3002">
        <v>93.33</v>
      </c>
    </row>
    <row r="155" spans="1:3" s="2999" customFormat="1">
      <c r="A155" s="3001" t="s">
        <v>4692</v>
      </c>
      <c r="B155" s="3001" t="s">
        <v>3278</v>
      </c>
      <c r="C155" s="3002">
        <v>71.31</v>
      </c>
    </row>
    <row r="156" spans="1:3" s="2999" customFormat="1">
      <c r="A156" s="3001" t="s">
        <v>4692</v>
      </c>
      <c r="B156" s="3001" t="s">
        <v>3279</v>
      </c>
      <c r="C156" s="3002">
        <v>71.31</v>
      </c>
    </row>
    <row r="157" spans="1:3" s="2999" customFormat="1">
      <c r="A157" s="3001" t="s">
        <v>4692</v>
      </c>
      <c r="B157" s="3001" t="s">
        <v>3280</v>
      </c>
      <c r="C157" s="3002">
        <v>56.34</v>
      </c>
    </row>
    <row r="158" spans="1:3" s="2999" customFormat="1">
      <c r="A158" s="3001" t="s">
        <v>4692</v>
      </c>
      <c r="B158" s="3001" t="s">
        <v>3282</v>
      </c>
      <c r="C158" s="3002">
        <v>56.34</v>
      </c>
    </row>
    <row r="159" spans="1:3" s="2999" customFormat="1">
      <c r="A159" s="3001" t="s">
        <v>4692</v>
      </c>
      <c r="B159" s="3001" t="s">
        <v>3283</v>
      </c>
      <c r="C159" s="3002">
        <v>74.84</v>
      </c>
    </row>
    <row r="160" spans="1:3" s="2999" customFormat="1">
      <c r="A160" s="3001" t="s">
        <v>4692</v>
      </c>
      <c r="B160" s="3001" t="s">
        <v>3285</v>
      </c>
      <c r="C160" s="3002">
        <v>74.84</v>
      </c>
    </row>
    <row r="161" spans="1:3" s="2999" customFormat="1">
      <c r="A161" s="3001" t="s">
        <v>4692</v>
      </c>
      <c r="B161" s="3001" t="s">
        <v>3286</v>
      </c>
      <c r="C161" s="3002">
        <v>58.28</v>
      </c>
    </row>
    <row r="162" spans="1:3" s="2999" customFormat="1">
      <c r="A162" s="3001" t="s">
        <v>4692</v>
      </c>
      <c r="B162" s="3001" t="s">
        <v>3288</v>
      </c>
      <c r="C162" s="3002">
        <v>58.38</v>
      </c>
    </row>
    <row r="163" spans="1:3" s="2999" customFormat="1">
      <c r="A163" s="3001" t="s">
        <v>4692</v>
      </c>
      <c r="B163" s="3001" t="s">
        <v>3290</v>
      </c>
      <c r="C163" s="3002">
        <v>28.22</v>
      </c>
    </row>
    <row r="164" spans="1:3" s="2999" customFormat="1">
      <c r="A164" s="3001" t="s">
        <v>4692</v>
      </c>
      <c r="B164" s="3001" t="s">
        <v>3292</v>
      </c>
      <c r="C164" s="3002">
        <v>29.1</v>
      </c>
    </row>
    <row r="165" spans="1:3" s="2999" customFormat="1">
      <c r="A165" s="3001" t="s">
        <v>4692</v>
      </c>
      <c r="B165" s="3001" t="s">
        <v>3294</v>
      </c>
      <c r="C165" s="3002">
        <v>51.22</v>
      </c>
    </row>
    <row r="166" spans="1:3" s="2999" customFormat="1">
      <c r="A166" s="3001" t="s">
        <v>4692</v>
      </c>
      <c r="B166" s="3001" t="s">
        <v>3296</v>
      </c>
      <c r="C166" s="3002">
        <v>48.6</v>
      </c>
    </row>
    <row r="167" spans="1:3" s="2999" customFormat="1">
      <c r="A167" s="3001" t="s">
        <v>4692</v>
      </c>
      <c r="B167" s="3001" t="s">
        <v>3298</v>
      </c>
      <c r="C167" s="3002">
        <v>59.67</v>
      </c>
    </row>
    <row r="168" spans="1:3" s="2999" customFormat="1">
      <c r="A168" s="3001" t="s">
        <v>4692</v>
      </c>
      <c r="B168" s="3001" t="s">
        <v>3300</v>
      </c>
      <c r="C168" s="3002">
        <v>97.26</v>
      </c>
    </row>
    <row r="169" spans="1:3" s="2999" customFormat="1">
      <c r="A169" s="3001" t="s">
        <v>4692</v>
      </c>
      <c r="B169" s="3001" t="s">
        <v>3302</v>
      </c>
      <c r="C169" s="3002">
        <v>88.73</v>
      </c>
    </row>
    <row r="170" spans="1:3" s="2999" customFormat="1">
      <c r="A170" s="3001" t="s">
        <v>4692</v>
      </c>
      <c r="B170" s="3001" t="s">
        <v>3304</v>
      </c>
      <c r="C170" s="3002">
        <v>56.01</v>
      </c>
    </row>
    <row r="171" spans="1:3" s="2999" customFormat="1">
      <c r="A171" s="3001" t="s">
        <v>4692</v>
      </c>
      <c r="B171" s="3001" t="s">
        <v>3306</v>
      </c>
      <c r="C171" s="3002">
        <v>48.87</v>
      </c>
    </row>
    <row r="172" spans="1:3" s="2999" customFormat="1">
      <c r="A172" s="3001" t="s">
        <v>4692</v>
      </c>
      <c r="B172" s="3001" t="s">
        <v>3308</v>
      </c>
      <c r="C172" s="3002">
        <v>60.07</v>
      </c>
    </row>
    <row r="173" spans="1:3" s="2999" customFormat="1">
      <c r="A173" s="3001" t="s">
        <v>4692</v>
      </c>
      <c r="B173" s="3001" t="s">
        <v>3310</v>
      </c>
      <c r="C173" s="3002">
        <v>63.08</v>
      </c>
    </row>
    <row r="174" spans="1:3" s="2999" customFormat="1">
      <c r="A174" s="3001" t="s">
        <v>4692</v>
      </c>
      <c r="B174" s="3001" t="s">
        <v>3312</v>
      </c>
      <c r="C174" s="3002">
        <v>53.61</v>
      </c>
    </row>
    <row r="175" spans="1:3" s="2999" customFormat="1">
      <c r="A175" s="3001" t="s">
        <v>4692</v>
      </c>
      <c r="B175" s="3001" t="s">
        <v>3314</v>
      </c>
      <c r="C175" s="3002">
        <v>31.72</v>
      </c>
    </row>
    <row r="176" spans="1:3" s="2999" customFormat="1">
      <c r="A176" s="3001" t="s">
        <v>4692</v>
      </c>
      <c r="B176" s="3001" t="s">
        <v>3316</v>
      </c>
      <c r="C176" s="3002">
        <v>68.08</v>
      </c>
    </row>
    <row r="177" spans="1:3" s="2999" customFormat="1">
      <c r="A177" s="3001" t="s">
        <v>4692</v>
      </c>
      <c r="B177" s="3001" t="s">
        <v>3318</v>
      </c>
      <c r="C177" s="3002">
        <v>58.82</v>
      </c>
    </row>
    <row r="178" spans="1:3" s="2999" customFormat="1">
      <c r="A178" s="3001" t="s">
        <v>4692</v>
      </c>
      <c r="B178" s="3001" t="s">
        <v>3320</v>
      </c>
      <c r="C178" s="3002">
        <v>73.319999999999993</v>
      </c>
    </row>
    <row r="179" spans="1:3" s="2999" customFormat="1">
      <c r="A179" s="3001" t="s">
        <v>4692</v>
      </c>
      <c r="B179" s="3001" t="s">
        <v>3322</v>
      </c>
      <c r="C179" s="3002">
        <v>77.59</v>
      </c>
    </row>
    <row r="180" spans="1:3" s="2999" customFormat="1">
      <c r="A180" s="3001" t="s">
        <v>4692</v>
      </c>
      <c r="B180" s="3001" t="s">
        <v>3324</v>
      </c>
      <c r="C180" s="3002">
        <v>38.799999999999997</v>
      </c>
    </row>
    <row r="181" spans="1:3" s="2999" customFormat="1">
      <c r="A181" s="3001" t="s">
        <v>4692</v>
      </c>
      <c r="B181" s="3001" t="s">
        <v>3326</v>
      </c>
      <c r="C181" s="3002">
        <v>83.17</v>
      </c>
    </row>
    <row r="182" spans="1:3" s="2999" customFormat="1">
      <c r="A182" s="3339" t="s">
        <v>4699</v>
      </c>
      <c r="B182" s="3339"/>
      <c r="C182" s="3002">
        <f>SUM(C100:C181)</f>
        <v>5437.64</v>
      </c>
    </row>
    <row r="183" spans="1:3" s="2999" customFormat="1">
      <c r="A183" s="3001" t="s">
        <v>4693</v>
      </c>
      <c r="B183" s="3001" t="s">
        <v>3330</v>
      </c>
      <c r="C183" s="3001">
        <v>40.700000000000003</v>
      </c>
    </row>
    <row r="184" spans="1:3" s="2999" customFormat="1">
      <c r="A184" s="3001" t="s">
        <v>4693</v>
      </c>
      <c r="B184" s="3001" t="s">
        <v>3331</v>
      </c>
      <c r="C184" s="3001">
        <v>40.700000000000003</v>
      </c>
    </row>
    <row r="185" spans="1:3" s="2999" customFormat="1">
      <c r="A185" s="3001" t="s">
        <v>4693</v>
      </c>
      <c r="B185" s="3001" t="s">
        <v>3332</v>
      </c>
      <c r="C185" s="3001">
        <v>40.700000000000003</v>
      </c>
    </row>
    <row r="186" spans="1:3" s="2999" customFormat="1">
      <c r="A186" s="3001" t="s">
        <v>4693</v>
      </c>
      <c r="B186" s="3001" t="s">
        <v>3333</v>
      </c>
      <c r="C186" s="3001">
        <v>40.700000000000003</v>
      </c>
    </row>
    <row r="187" spans="1:3" s="2999" customFormat="1">
      <c r="A187" s="3001" t="s">
        <v>4693</v>
      </c>
      <c r="B187" s="3001" t="s">
        <v>3334</v>
      </c>
      <c r="C187" s="3001">
        <v>40.700000000000003</v>
      </c>
    </row>
    <row r="188" spans="1:3" s="2999" customFormat="1">
      <c r="A188" s="3001" t="s">
        <v>4693</v>
      </c>
      <c r="B188" s="3001" t="s">
        <v>3335</v>
      </c>
      <c r="C188" s="3001">
        <v>40.700000000000003</v>
      </c>
    </row>
    <row r="189" spans="1:3" s="2999" customFormat="1">
      <c r="A189" s="3001" t="s">
        <v>4693</v>
      </c>
      <c r="B189" s="3001" t="s">
        <v>3336</v>
      </c>
      <c r="C189" s="3001">
        <v>40.700000000000003</v>
      </c>
    </row>
    <row r="190" spans="1:3" s="2999" customFormat="1">
      <c r="A190" s="3001" t="s">
        <v>4693</v>
      </c>
      <c r="B190" s="3001" t="s">
        <v>3337</v>
      </c>
      <c r="C190" s="3001">
        <v>40.700000000000003</v>
      </c>
    </row>
    <row r="191" spans="1:3" s="2999" customFormat="1">
      <c r="A191" s="3001" t="s">
        <v>4693</v>
      </c>
      <c r="B191" s="3001" t="s">
        <v>3338</v>
      </c>
      <c r="C191" s="3001">
        <v>40.700000000000003</v>
      </c>
    </row>
    <row r="192" spans="1:3" s="2999" customFormat="1">
      <c r="A192" s="3001" t="s">
        <v>4693</v>
      </c>
      <c r="B192" s="3001" t="s">
        <v>3339</v>
      </c>
      <c r="C192" s="3001">
        <v>40.700000000000003</v>
      </c>
    </row>
    <row r="193" spans="1:3" s="2999" customFormat="1">
      <c r="A193" s="3001" t="s">
        <v>4693</v>
      </c>
      <c r="B193" s="3001" t="s">
        <v>3340</v>
      </c>
      <c r="C193" s="3001">
        <v>40.700000000000003</v>
      </c>
    </row>
    <row r="194" spans="1:3" s="2999" customFormat="1">
      <c r="A194" s="3001" t="s">
        <v>4693</v>
      </c>
      <c r="B194" s="3001" t="s">
        <v>3341</v>
      </c>
      <c r="C194" s="3001">
        <v>40.700000000000003</v>
      </c>
    </row>
    <row r="195" spans="1:3" s="2999" customFormat="1">
      <c r="A195" s="3001" t="s">
        <v>4693</v>
      </c>
      <c r="B195" s="3001" t="s">
        <v>3342</v>
      </c>
      <c r="C195" s="3001">
        <v>40.700000000000003</v>
      </c>
    </row>
    <row r="196" spans="1:3" s="2999" customFormat="1">
      <c r="A196" s="3001" t="s">
        <v>4693</v>
      </c>
      <c r="B196" s="3001" t="s">
        <v>3343</v>
      </c>
      <c r="C196" s="3001">
        <v>40.700000000000003</v>
      </c>
    </row>
    <row r="197" spans="1:3" s="2999" customFormat="1">
      <c r="A197" s="3001" t="s">
        <v>4693</v>
      </c>
      <c r="B197" s="3001" t="s">
        <v>3344</v>
      </c>
      <c r="C197" s="3001">
        <v>40.700000000000003</v>
      </c>
    </row>
    <row r="198" spans="1:3" s="2999" customFormat="1">
      <c r="A198" s="3001" t="s">
        <v>4693</v>
      </c>
      <c r="B198" s="3001" t="s">
        <v>3345</v>
      </c>
      <c r="C198" s="3001">
        <v>40.700000000000003</v>
      </c>
    </row>
    <row r="199" spans="1:3" s="2999" customFormat="1">
      <c r="A199" s="3001" t="s">
        <v>4693</v>
      </c>
      <c r="B199" s="3001" t="s">
        <v>3346</v>
      </c>
      <c r="C199" s="3001">
        <v>40.700000000000003</v>
      </c>
    </row>
    <row r="200" spans="1:3" s="2999" customFormat="1">
      <c r="A200" s="3001" t="s">
        <v>4693</v>
      </c>
      <c r="B200" s="3001" t="s">
        <v>3347</v>
      </c>
      <c r="C200" s="3001">
        <v>40.700000000000003</v>
      </c>
    </row>
    <row r="201" spans="1:3" s="2999" customFormat="1">
      <c r="A201" s="3001" t="s">
        <v>4693</v>
      </c>
      <c r="B201" s="3001" t="s">
        <v>3348</v>
      </c>
      <c r="C201" s="3001">
        <v>40.700000000000003</v>
      </c>
    </row>
    <row r="202" spans="1:3" s="2999" customFormat="1">
      <c r="A202" s="3001" t="s">
        <v>4693</v>
      </c>
      <c r="B202" s="3001" t="s">
        <v>3349</v>
      </c>
      <c r="C202" s="3001">
        <v>40.700000000000003</v>
      </c>
    </row>
    <row r="203" spans="1:3" s="2999" customFormat="1">
      <c r="A203" s="3001" t="s">
        <v>4693</v>
      </c>
      <c r="B203" s="3001" t="s">
        <v>3350</v>
      </c>
      <c r="C203" s="3001">
        <v>40.700000000000003</v>
      </c>
    </row>
    <row r="204" spans="1:3" s="2999" customFormat="1">
      <c r="A204" s="3001" t="s">
        <v>4693</v>
      </c>
      <c r="B204" s="3001" t="s">
        <v>3351</v>
      </c>
      <c r="C204" s="3001">
        <v>40.700000000000003</v>
      </c>
    </row>
    <row r="205" spans="1:3" s="2999" customFormat="1">
      <c r="A205" s="3001" t="s">
        <v>4693</v>
      </c>
      <c r="B205" s="3001" t="s">
        <v>3352</v>
      </c>
      <c r="C205" s="3001">
        <v>40.700000000000003</v>
      </c>
    </row>
    <row r="206" spans="1:3" s="2999" customFormat="1">
      <c r="A206" s="3001" t="s">
        <v>4693</v>
      </c>
      <c r="B206" s="3001" t="s">
        <v>3353</v>
      </c>
      <c r="C206" s="3001">
        <v>40.700000000000003</v>
      </c>
    </row>
    <row r="207" spans="1:3" s="2999" customFormat="1">
      <c r="A207" s="3001" t="s">
        <v>4693</v>
      </c>
      <c r="B207" s="3001" t="s">
        <v>3354</v>
      </c>
      <c r="C207" s="3001">
        <v>40.700000000000003</v>
      </c>
    </row>
    <row r="208" spans="1:3" s="2999" customFormat="1">
      <c r="A208" s="3001" t="s">
        <v>4694</v>
      </c>
      <c r="B208" s="3001" t="s">
        <v>3356</v>
      </c>
      <c r="C208" s="3001">
        <v>39.159999999999997</v>
      </c>
    </row>
    <row r="209" spans="1:3" s="2999" customFormat="1">
      <c r="A209" s="3001" t="s">
        <v>4694</v>
      </c>
      <c r="B209" s="3001" t="s">
        <v>3357</v>
      </c>
      <c r="C209" s="3001">
        <v>39.159999999999997</v>
      </c>
    </row>
    <row r="210" spans="1:3" s="2999" customFormat="1">
      <c r="A210" s="3001" t="s">
        <v>4694</v>
      </c>
      <c r="B210" s="3001" t="s">
        <v>3358</v>
      </c>
      <c r="C210" s="3001">
        <v>39.159999999999997</v>
      </c>
    </row>
    <row r="211" spans="1:3" s="2999" customFormat="1">
      <c r="A211" s="3001" t="s">
        <v>4694</v>
      </c>
      <c r="B211" s="3001" t="s">
        <v>3359</v>
      </c>
      <c r="C211" s="3001">
        <v>39.159999999999997</v>
      </c>
    </row>
    <row r="212" spans="1:3">
      <c r="A212" s="3001" t="s">
        <v>4694</v>
      </c>
      <c r="B212" s="3000" t="s">
        <v>3360</v>
      </c>
      <c r="C212" s="3000">
        <v>39.159999999999997</v>
      </c>
    </row>
    <row r="213" spans="1:3">
      <c r="A213" s="3001" t="s">
        <v>4694</v>
      </c>
      <c r="B213" s="3000" t="s">
        <v>3361</v>
      </c>
      <c r="C213" s="3000">
        <v>39.159999999999997</v>
      </c>
    </row>
    <row r="214" spans="1:3">
      <c r="A214" s="3001" t="s">
        <v>4694</v>
      </c>
      <c r="B214" s="3000" t="s">
        <v>3362</v>
      </c>
      <c r="C214" s="3000">
        <v>39.159999999999997</v>
      </c>
    </row>
    <row r="215" spans="1:3">
      <c r="A215" s="3001" t="s">
        <v>4694</v>
      </c>
      <c r="B215" s="3000" t="s">
        <v>3363</v>
      </c>
      <c r="C215" s="3000">
        <v>39.159999999999997</v>
      </c>
    </row>
    <row r="216" spans="1:3">
      <c r="A216" s="3001" t="s">
        <v>4694</v>
      </c>
      <c r="B216" s="3000" t="s">
        <v>3364</v>
      </c>
      <c r="C216" s="3000">
        <v>39.159999999999997</v>
      </c>
    </row>
    <row r="217" spans="1:3">
      <c r="A217" s="3001" t="s">
        <v>4694</v>
      </c>
      <c r="B217" s="3000" t="s">
        <v>3365</v>
      </c>
      <c r="C217" s="3000">
        <v>39.159999999999997</v>
      </c>
    </row>
    <row r="218" spans="1:3">
      <c r="A218" s="3001" t="s">
        <v>4694</v>
      </c>
      <c r="B218" s="3000" t="s">
        <v>3366</v>
      </c>
      <c r="C218" s="3000">
        <v>39.159999999999997</v>
      </c>
    </row>
    <row r="219" spans="1:3">
      <c r="A219" s="3001" t="s">
        <v>4694</v>
      </c>
      <c r="B219" s="3000" t="s">
        <v>3367</v>
      </c>
      <c r="C219" s="3000">
        <v>39.159999999999997</v>
      </c>
    </row>
    <row r="220" spans="1:3">
      <c r="A220" s="3001" t="s">
        <v>4694</v>
      </c>
      <c r="B220" s="3000" t="s">
        <v>3368</v>
      </c>
      <c r="C220" s="3000">
        <v>39.159999999999997</v>
      </c>
    </row>
    <row r="221" spans="1:3">
      <c r="A221" s="3001" t="s">
        <v>4694</v>
      </c>
      <c r="B221" s="3000" t="s">
        <v>3369</v>
      </c>
      <c r="C221" s="3000">
        <v>39.159999999999997</v>
      </c>
    </row>
    <row r="222" spans="1:3">
      <c r="A222" s="3001" t="s">
        <v>4694</v>
      </c>
      <c r="B222" s="3000" t="s">
        <v>3370</v>
      </c>
      <c r="C222" s="3000">
        <v>39.159999999999997</v>
      </c>
    </row>
    <row r="223" spans="1:3">
      <c r="A223" s="3001" t="s">
        <v>4694</v>
      </c>
      <c r="B223" s="3000" t="s">
        <v>3371</v>
      </c>
      <c r="C223" s="3000">
        <v>39.159999999999997</v>
      </c>
    </row>
    <row r="224" spans="1:3">
      <c r="A224" s="3001" t="s">
        <v>4694</v>
      </c>
      <c r="B224" s="3000" t="s">
        <v>3372</v>
      </c>
      <c r="C224" s="3000">
        <v>39.159999999999997</v>
      </c>
    </row>
    <row r="225" spans="1:3">
      <c r="A225" s="3001" t="s">
        <v>4694</v>
      </c>
      <c r="B225" s="3000" t="s">
        <v>3373</v>
      </c>
      <c r="C225" s="3000">
        <v>39.159999999999997</v>
      </c>
    </row>
    <row r="226" spans="1:3">
      <c r="A226" s="3001" t="s">
        <v>4694</v>
      </c>
      <c r="B226" s="3000" t="s">
        <v>3374</v>
      </c>
      <c r="C226" s="3000">
        <v>39.159999999999997</v>
      </c>
    </row>
    <row r="227" spans="1:3">
      <c r="A227" s="3001" t="s">
        <v>4694</v>
      </c>
      <c r="B227" s="3000" t="s">
        <v>3375</v>
      </c>
      <c r="C227" s="3000">
        <v>39.159999999999997</v>
      </c>
    </row>
    <row r="228" spans="1:3">
      <c r="A228" s="3001" t="s">
        <v>4694</v>
      </c>
      <c r="B228" s="3000" t="s">
        <v>3376</v>
      </c>
      <c r="C228" s="3000">
        <v>39.159999999999997</v>
      </c>
    </row>
    <row r="229" spans="1:3">
      <c r="A229" s="3001" t="s">
        <v>4694</v>
      </c>
      <c r="B229" s="3000" t="s">
        <v>3377</v>
      </c>
      <c r="C229" s="3000">
        <v>39.159999999999997</v>
      </c>
    </row>
    <row r="230" spans="1:3">
      <c r="A230" s="3001" t="s">
        <v>4694</v>
      </c>
      <c r="B230" s="3000" t="s">
        <v>3378</v>
      </c>
      <c r="C230" s="3000">
        <v>39.159999999999997</v>
      </c>
    </row>
    <row r="231" spans="1:3">
      <c r="A231" s="3001" t="s">
        <v>4694</v>
      </c>
      <c r="B231" s="3000" t="s">
        <v>3379</v>
      </c>
      <c r="C231" s="3000">
        <v>39.159999999999997</v>
      </c>
    </row>
    <row r="232" spans="1:3">
      <c r="A232" s="3001" t="s">
        <v>4694</v>
      </c>
      <c r="B232" s="3000" t="s">
        <v>3380</v>
      </c>
      <c r="C232" s="3000">
        <v>39.159999999999997</v>
      </c>
    </row>
    <row r="233" spans="1:3">
      <c r="A233" s="3001" t="s">
        <v>4694</v>
      </c>
      <c r="B233" s="3000" t="s">
        <v>3381</v>
      </c>
      <c r="C233" s="3000">
        <v>39.159999999999997</v>
      </c>
    </row>
    <row r="234" spans="1:3">
      <c r="A234" s="3001" t="s">
        <v>4694</v>
      </c>
      <c r="B234" s="3000" t="s">
        <v>3382</v>
      </c>
      <c r="C234" s="3000">
        <v>39.159999999999997</v>
      </c>
    </row>
    <row r="235" spans="1:3">
      <c r="A235" s="3001" t="s">
        <v>4694</v>
      </c>
      <c r="B235" s="3000" t="s">
        <v>3383</v>
      </c>
      <c r="C235" s="3000">
        <v>39.159999999999997</v>
      </c>
    </row>
    <row r="236" spans="1:3">
      <c r="A236" s="3001" t="s">
        <v>4694</v>
      </c>
      <c r="B236" s="3000" t="s">
        <v>3384</v>
      </c>
      <c r="C236" s="3000">
        <v>39.159999999999997</v>
      </c>
    </row>
    <row r="237" spans="1:3">
      <c r="A237" s="3001" t="s">
        <v>4694</v>
      </c>
      <c r="B237" s="3000" t="s">
        <v>3385</v>
      </c>
      <c r="C237" s="3000">
        <v>39.159999999999997</v>
      </c>
    </row>
    <row r="238" spans="1:3">
      <c r="A238" s="3001" t="s">
        <v>4694</v>
      </c>
      <c r="B238" s="3000" t="s">
        <v>3386</v>
      </c>
      <c r="C238" s="3000">
        <v>39.159999999999997</v>
      </c>
    </row>
    <row r="239" spans="1:3">
      <c r="A239" s="3001" t="s">
        <v>4694</v>
      </c>
      <c r="B239" s="3000" t="s">
        <v>3387</v>
      </c>
      <c r="C239" s="3000">
        <v>39.159999999999997</v>
      </c>
    </row>
    <row r="240" spans="1:3">
      <c r="A240" s="3001" t="s">
        <v>4694</v>
      </c>
      <c r="B240" s="3000" t="s">
        <v>3388</v>
      </c>
      <c r="C240" s="3000">
        <v>39.159999999999997</v>
      </c>
    </row>
    <row r="241" spans="1:3">
      <c r="A241" s="3001" t="s">
        <v>4694</v>
      </c>
      <c r="B241" s="3000" t="s">
        <v>3389</v>
      </c>
      <c r="C241" s="3000">
        <v>39.159999999999997</v>
      </c>
    </row>
    <row r="242" spans="1:3">
      <c r="A242" s="3001" t="s">
        <v>4694</v>
      </c>
      <c r="B242" s="3000" t="s">
        <v>3390</v>
      </c>
      <c r="C242" s="3000">
        <v>39.159999999999997</v>
      </c>
    </row>
    <row r="243" spans="1:3">
      <c r="A243" s="3001" t="s">
        <v>4694</v>
      </c>
      <c r="B243" s="3000" t="s">
        <v>3391</v>
      </c>
      <c r="C243" s="3000">
        <v>39.159999999999997</v>
      </c>
    </row>
    <row r="244" spans="1:3">
      <c r="A244" s="3001" t="s">
        <v>4694</v>
      </c>
      <c r="B244" s="3000" t="s">
        <v>3392</v>
      </c>
      <c r="C244" s="3000">
        <v>39.159999999999997</v>
      </c>
    </row>
    <row r="245" spans="1:3">
      <c r="A245" s="3001" t="s">
        <v>4694</v>
      </c>
      <c r="B245" s="3000" t="s">
        <v>3393</v>
      </c>
      <c r="C245" s="3000">
        <v>39.159999999999997</v>
      </c>
    </row>
    <row r="246" spans="1:3">
      <c r="A246" s="3001" t="s">
        <v>4694</v>
      </c>
      <c r="B246" s="3000" t="s">
        <v>3394</v>
      </c>
      <c r="C246" s="3000">
        <v>39.159999999999997</v>
      </c>
    </row>
    <row r="247" spans="1:3">
      <c r="A247" s="3001" t="s">
        <v>4694</v>
      </c>
      <c r="B247" s="3000" t="s">
        <v>3395</v>
      </c>
      <c r="C247" s="3000">
        <v>39.159999999999997</v>
      </c>
    </row>
    <row r="248" spans="1:3">
      <c r="A248" s="3001" t="s">
        <v>4694</v>
      </c>
      <c r="B248" s="3000" t="s">
        <v>3396</v>
      </c>
      <c r="C248" s="3000">
        <v>39.159999999999997</v>
      </c>
    </row>
    <row r="249" spans="1:3">
      <c r="A249" s="3001" t="s">
        <v>4694</v>
      </c>
      <c r="B249" s="3000" t="s">
        <v>3397</v>
      </c>
      <c r="C249" s="3000">
        <v>39.159999999999997</v>
      </c>
    </row>
    <row r="250" spans="1:3">
      <c r="A250" s="3001" t="s">
        <v>4694</v>
      </c>
      <c r="B250" s="3000" t="s">
        <v>3398</v>
      </c>
      <c r="C250" s="3000">
        <v>39.159999999999997</v>
      </c>
    </row>
    <row r="251" spans="1:3">
      <c r="A251" s="3001" t="s">
        <v>4694</v>
      </c>
      <c r="B251" s="3000" t="s">
        <v>3399</v>
      </c>
      <c r="C251" s="3000">
        <v>39.159999999999997</v>
      </c>
    </row>
    <row r="252" spans="1:3">
      <c r="A252" s="3001" t="s">
        <v>4694</v>
      </c>
      <c r="B252" s="3000" t="s">
        <v>3400</v>
      </c>
      <c r="C252" s="3000">
        <v>39.159999999999997</v>
      </c>
    </row>
    <row r="253" spans="1:3">
      <c r="A253" s="3001" t="s">
        <v>4694</v>
      </c>
      <c r="B253" s="3000" t="s">
        <v>3401</v>
      </c>
      <c r="C253" s="3000">
        <v>39.159999999999997</v>
      </c>
    </row>
    <row r="254" spans="1:3">
      <c r="A254" s="3001" t="s">
        <v>4694</v>
      </c>
      <c r="B254" s="3000" t="s">
        <v>3402</v>
      </c>
      <c r="C254" s="3000">
        <v>39.159999999999997</v>
      </c>
    </row>
    <row r="255" spans="1:3">
      <c r="A255" s="3001" t="s">
        <v>4694</v>
      </c>
      <c r="B255" s="3000" t="s">
        <v>3403</v>
      </c>
      <c r="C255" s="3000">
        <v>39.159999999999997</v>
      </c>
    </row>
    <row r="256" spans="1:3">
      <c r="A256" s="3001" t="s">
        <v>4694</v>
      </c>
      <c r="B256" s="3000" t="s">
        <v>3404</v>
      </c>
      <c r="C256" s="3000">
        <v>39.159999999999997</v>
      </c>
    </row>
    <row r="257" spans="1:3">
      <c r="A257" s="3001" t="s">
        <v>4694</v>
      </c>
      <c r="B257" s="3000" t="s">
        <v>3405</v>
      </c>
      <c r="C257" s="3000">
        <v>39.159999999999997</v>
      </c>
    </row>
    <row r="258" spans="1:3">
      <c r="A258" s="3001" t="s">
        <v>4694</v>
      </c>
      <c r="B258" s="3000" t="s">
        <v>3406</v>
      </c>
      <c r="C258" s="3000">
        <v>39.159999999999997</v>
      </c>
    </row>
    <row r="259" spans="1:3">
      <c r="A259" s="3001" t="s">
        <v>4694</v>
      </c>
      <c r="B259" s="3000" t="s">
        <v>3407</v>
      </c>
      <c r="C259" s="3000">
        <v>39.159999999999997</v>
      </c>
    </row>
    <row r="260" spans="1:3">
      <c r="A260" s="3001" t="s">
        <v>4694</v>
      </c>
      <c r="B260" s="3000" t="s">
        <v>3408</v>
      </c>
      <c r="C260" s="3000">
        <v>39.159999999999997</v>
      </c>
    </row>
    <row r="261" spans="1:3">
      <c r="A261" s="3001" t="s">
        <v>4694</v>
      </c>
      <c r="B261" s="3000" t="s">
        <v>3409</v>
      </c>
      <c r="C261" s="3000">
        <v>39.159999999999997</v>
      </c>
    </row>
    <row r="262" spans="1:3">
      <c r="A262" s="3001" t="s">
        <v>4694</v>
      </c>
      <c r="B262" s="3000" t="s">
        <v>3410</v>
      </c>
      <c r="C262" s="3000">
        <v>39.159999999999997</v>
      </c>
    </row>
    <row r="263" spans="1:3">
      <c r="A263" s="3001" t="s">
        <v>4694</v>
      </c>
      <c r="B263" s="3000" t="s">
        <v>3411</v>
      </c>
      <c r="C263" s="3000">
        <v>39.159999999999997</v>
      </c>
    </row>
    <row r="264" spans="1:3">
      <c r="A264" s="3001" t="s">
        <v>4694</v>
      </c>
      <c r="B264" s="3000" t="s">
        <v>3412</v>
      </c>
      <c r="C264" s="3000">
        <v>39.159999999999997</v>
      </c>
    </row>
    <row r="265" spans="1:3">
      <c r="A265" s="3001" t="s">
        <v>4694</v>
      </c>
      <c r="B265" s="3000" t="s">
        <v>3413</v>
      </c>
      <c r="C265" s="3000">
        <v>39.159999999999997</v>
      </c>
    </row>
    <row r="266" spans="1:3">
      <c r="A266" s="3001" t="s">
        <v>4694</v>
      </c>
      <c r="B266" s="3000" t="s">
        <v>3414</v>
      </c>
      <c r="C266" s="3000">
        <v>39.159999999999997</v>
      </c>
    </row>
    <row r="267" spans="1:3">
      <c r="A267" s="3001" t="s">
        <v>4694</v>
      </c>
      <c r="B267" s="3000" t="s">
        <v>3415</v>
      </c>
      <c r="C267" s="3000">
        <v>39.159999999999997</v>
      </c>
    </row>
    <row r="268" spans="1:3">
      <c r="A268" s="3001" t="s">
        <v>4694</v>
      </c>
      <c r="B268" s="3000" t="s">
        <v>3416</v>
      </c>
      <c r="C268" s="3000">
        <v>39.159999999999997</v>
      </c>
    </row>
    <row r="269" spans="1:3">
      <c r="A269" s="3001" t="s">
        <v>4694</v>
      </c>
      <c r="B269" s="3000" t="s">
        <v>3417</v>
      </c>
      <c r="C269" s="3000">
        <v>39.159999999999997</v>
      </c>
    </row>
    <row r="270" spans="1:3">
      <c r="A270" s="3001" t="s">
        <v>4694</v>
      </c>
      <c r="B270" s="3000" t="s">
        <v>3418</v>
      </c>
      <c r="C270" s="3000">
        <v>39.159999999999997</v>
      </c>
    </row>
    <row r="271" spans="1:3">
      <c r="A271" s="3001" t="s">
        <v>4694</v>
      </c>
      <c r="B271" s="3000" t="s">
        <v>3419</v>
      </c>
      <c r="C271" s="3000">
        <v>27.52</v>
      </c>
    </row>
    <row r="272" spans="1:3">
      <c r="A272" s="3001" t="s">
        <v>4694</v>
      </c>
      <c r="B272" s="3000" t="s">
        <v>3420</v>
      </c>
      <c r="C272" s="3000">
        <v>27.52</v>
      </c>
    </row>
    <row r="273" spans="1:3">
      <c r="A273" s="3001" t="s">
        <v>4694</v>
      </c>
      <c r="B273" s="3000" t="s">
        <v>3421</v>
      </c>
      <c r="C273" s="3000">
        <v>39.159999999999997</v>
      </c>
    </row>
    <row r="274" spans="1:3">
      <c r="A274" s="3001" t="s">
        <v>4694</v>
      </c>
      <c r="B274" s="3000" t="s">
        <v>3422</v>
      </c>
      <c r="C274" s="3000">
        <v>39.159999999999997</v>
      </c>
    </row>
    <row r="275" spans="1:3">
      <c r="A275" s="3001" t="s">
        <v>4694</v>
      </c>
      <c r="B275" s="3000" t="s">
        <v>3423</v>
      </c>
      <c r="C275" s="3000">
        <v>39.159999999999997</v>
      </c>
    </row>
    <row r="276" spans="1:3">
      <c r="A276" s="3001" t="s">
        <v>4694</v>
      </c>
      <c r="B276" s="3000" t="s">
        <v>3424</v>
      </c>
      <c r="C276" s="3000">
        <v>39.159999999999997</v>
      </c>
    </row>
    <row r="277" spans="1:3">
      <c r="A277" s="3001" t="s">
        <v>4694</v>
      </c>
      <c r="B277" s="3000" t="s">
        <v>3425</v>
      </c>
      <c r="C277" s="3000">
        <v>39.159999999999997</v>
      </c>
    </row>
    <row r="278" spans="1:3">
      <c r="A278" s="3001" t="s">
        <v>4694</v>
      </c>
      <c r="B278" s="3000" t="s">
        <v>3426</v>
      </c>
      <c r="C278" s="3000">
        <v>39.159999999999997</v>
      </c>
    </row>
    <row r="279" spans="1:3">
      <c r="A279" s="3001" t="s">
        <v>4694</v>
      </c>
      <c r="B279" s="3000" t="s">
        <v>3427</v>
      </c>
      <c r="C279" s="3000">
        <v>39.159999999999997</v>
      </c>
    </row>
    <row r="280" spans="1:3">
      <c r="A280" s="3001" t="s">
        <v>4694</v>
      </c>
      <c r="B280" s="3000" t="s">
        <v>3428</v>
      </c>
      <c r="C280" s="3000">
        <v>39.159999999999997</v>
      </c>
    </row>
    <row r="281" spans="1:3">
      <c r="A281" s="3001" t="s">
        <v>4694</v>
      </c>
      <c r="B281" s="3000" t="s">
        <v>3429</v>
      </c>
      <c r="C281" s="3000">
        <v>39.159999999999997</v>
      </c>
    </row>
    <row r="282" spans="1:3">
      <c r="A282" s="3001" t="s">
        <v>4694</v>
      </c>
      <c r="B282" s="3000" t="s">
        <v>3430</v>
      </c>
      <c r="C282" s="3000">
        <v>39.159999999999997</v>
      </c>
    </row>
    <row r="283" spans="1:3">
      <c r="A283" s="3001" t="s">
        <v>4694</v>
      </c>
      <c r="B283" s="3000" t="s">
        <v>3431</v>
      </c>
      <c r="C283" s="3000">
        <v>39.159999999999997</v>
      </c>
    </row>
    <row r="284" spans="1:3">
      <c r="A284" s="3001" t="s">
        <v>4694</v>
      </c>
      <c r="B284" s="3000" t="s">
        <v>3432</v>
      </c>
      <c r="C284" s="3000">
        <v>39.159999999999997</v>
      </c>
    </row>
    <row r="285" spans="1:3">
      <c r="A285" s="3001" t="s">
        <v>4694</v>
      </c>
      <c r="B285" s="3000" t="s">
        <v>3433</v>
      </c>
      <c r="C285" s="3000">
        <v>39.159999999999997</v>
      </c>
    </row>
    <row r="286" spans="1:3">
      <c r="A286" s="3001" t="s">
        <v>4694</v>
      </c>
      <c r="B286" s="3000" t="s">
        <v>3434</v>
      </c>
      <c r="C286" s="3000">
        <v>39.159999999999997</v>
      </c>
    </row>
    <row r="287" spans="1:3">
      <c r="A287" s="3001" t="s">
        <v>4694</v>
      </c>
      <c r="B287" s="3000" t="s">
        <v>3435</v>
      </c>
      <c r="C287" s="3000">
        <v>39.159999999999997</v>
      </c>
    </row>
    <row r="288" spans="1:3">
      <c r="A288" s="3001" t="s">
        <v>4694</v>
      </c>
      <c r="B288" s="3000" t="s">
        <v>3436</v>
      </c>
      <c r="C288" s="3000">
        <v>39.159999999999997</v>
      </c>
    </row>
    <row r="289" spans="1:3">
      <c r="A289" s="3001" t="s">
        <v>4694</v>
      </c>
      <c r="B289" s="3000" t="s">
        <v>3437</v>
      </c>
      <c r="C289" s="3000">
        <v>39.159999999999997</v>
      </c>
    </row>
    <row r="290" spans="1:3">
      <c r="A290" s="3001" t="s">
        <v>4694</v>
      </c>
      <c r="B290" s="3000" t="s">
        <v>3438</v>
      </c>
      <c r="C290" s="3000">
        <v>39.159999999999997</v>
      </c>
    </row>
    <row r="291" spans="1:3">
      <c r="A291" s="3001" t="s">
        <v>4694</v>
      </c>
      <c r="B291" s="3000" t="s">
        <v>3439</v>
      </c>
      <c r="C291" s="3000">
        <v>39.159999999999997</v>
      </c>
    </row>
    <row r="292" spans="1:3">
      <c r="A292" s="3001" t="s">
        <v>4694</v>
      </c>
      <c r="B292" s="3000" t="s">
        <v>3440</v>
      </c>
      <c r="C292" s="3000">
        <v>39.159999999999997</v>
      </c>
    </row>
    <row r="293" spans="1:3">
      <c r="A293" s="3001" t="s">
        <v>4694</v>
      </c>
      <c r="B293" s="3000" t="s">
        <v>3441</v>
      </c>
      <c r="C293" s="3000">
        <v>39.159999999999997</v>
      </c>
    </row>
    <row r="294" spans="1:3">
      <c r="A294" s="3001" t="s">
        <v>4694</v>
      </c>
      <c r="B294" s="3000" t="s">
        <v>3442</v>
      </c>
      <c r="C294" s="3000">
        <v>39.159999999999997</v>
      </c>
    </row>
    <row r="295" spans="1:3">
      <c r="A295" s="3001" t="s">
        <v>4694</v>
      </c>
      <c r="B295" s="3000" t="s">
        <v>3443</v>
      </c>
      <c r="C295" s="3000">
        <v>39.159999999999997</v>
      </c>
    </row>
    <row r="296" spans="1:3">
      <c r="A296" s="3001" t="s">
        <v>4694</v>
      </c>
      <c r="B296" s="3000" t="s">
        <v>3444</v>
      </c>
      <c r="C296" s="3000">
        <v>39.159999999999997</v>
      </c>
    </row>
    <row r="297" spans="1:3">
      <c r="A297" s="3001" t="s">
        <v>4694</v>
      </c>
      <c r="B297" s="3000" t="s">
        <v>3445</v>
      </c>
      <c r="C297" s="3000">
        <v>39.159999999999997</v>
      </c>
    </row>
    <row r="298" spans="1:3">
      <c r="A298" s="3001" t="s">
        <v>4694</v>
      </c>
      <c r="B298" s="3000" t="s">
        <v>3446</v>
      </c>
      <c r="C298" s="3000">
        <v>39.159999999999997</v>
      </c>
    </row>
    <row r="299" spans="1:3">
      <c r="A299" s="3001" t="s">
        <v>4694</v>
      </c>
      <c r="B299" s="3000" t="s">
        <v>3447</v>
      </c>
      <c r="C299" s="3000">
        <v>39.159999999999997</v>
      </c>
    </row>
    <row r="300" spans="1:3">
      <c r="A300" s="3001" t="s">
        <v>4694</v>
      </c>
      <c r="B300" s="3000" t="s">
        <v>3448</v>
      </c>
      <c r="C300" s="3000">
        <v>39.159999999999997</v>
      </c>
    </row>
    <row r="301" spans="1:3">
      <c r="A301" s="3001" t="s">
        <v>4694</v>
      </c>
      <c r="B301" s="3000" t="s">
        <v>3449</v>
      </c>
      <c r="C301" s="3000">
        <v>39.159999999999997</v>
      </c>
    </row>
    <row r="302" spans="1:3">
      <c r="A302" s="3001" t="s">
        <v>4694</v>
      </c>
      <c r="B302" s="3000" t="s">
        <v>3450</v>
      </c>
      <c r="C302" s="3000">
        <v>39.159999999999997</v>
      </c>
    </row>
    <row r="303" spans="1:3">
      <c r="A303" s="3001" t="s">
        <v>4694</v>
      </c>
      <c r="B303" s="3000" t="s">
        <v>3451</v>
      </c>
      <c r="C303" s="3000">
        <v>38.04</v>
      </c>
    </row>
    <row r="304" spans="1:3">
      <c r="A304" s="3001" t="s">
        <v>4694</v>
      </c>
      <c r="B304" s="3000" t="s">
        <v>3452</v>
      </c>
      <c r="C304" s="3000">
        <v>38.04</v>
      </c>
    </row>
    <row r="305" spans="1:3">
      <c r="A305" s="3001" t="s">
        <v>4694</v>
      </c>
      <c r="B305" s="3000" t="s">
        <v>3453</v>
      </c>
      <c r="C305" s="3000">
        <v>38.04</v>
      </c>
    </row>
    <row r="306" spans="1:3">
      <c r="A306" s="3001" t="s">
        <v>4694</v>
      </c>
      <c r="B306" s="3000" t="s">
        <v>3454</v>
      </c>
      <c r="C306" s="3000">
        <v>38.04</v>
      </c>
    </row>
    <row r="307" spans="1:3">
      <c r="A307" s="3001" t="s">
        <v>4694</v>
      </c>
      <c r="B307" s="3000" t="s">
        <v>3455</v>
      </c>
      <c r="C307" s="3000">
        <v>38.04</v>
      </c>
    </row>
    <row r="308" spans="1:3">
      <c r="A308" s="3001" t="s">
        <v>4694</v>
      </c>
      <c r="B308" s="3000" t="s">
        <v>3456</v>
      </c>
      <c r="C308" s="3000">
        <v>38.04</v>
      </c>
    </row>
    <row r="309" spans="1:3">
      <c r="A309" s="3001" t="s">
        <v>4694</v>
      </c>
      <c r="B309" s="3000" t="s">
        <v>3457</v>
      </c>
      <c r="C309" s="3000">
        <v>38.04</v>
      </c>
    </row>
    <row r="310" spans="1:3">
      <c r="A310" s="3001" t="s">
        <v>4694</v>
      </c>
      <c r="B310" s="3000" t="s">
        <v>3458</v>
      </c>
      <c r="C310" s="3000">
        <v>38.04</v>
      </c>
    </row>
    <row r="311" spans="1:3">
      <c r="A311" s="3001" t="s">
        <v>4694</v>
      </c>
      <c r="B311" s="3000" t="s">
        <v>3459</v>
      </c>
      <c r="C311" s="3000">
        <v>38.04</v>
      </c>
    </row>
    <row r="312" spans="1:3">
      <c r="A312" s="3001" t="s">
        <v>4694</v>
      </c>
      <c r="B312" s="3000" t="s">
        <v>3460</v>
      </c>
      <c r="C312" s="3000">
        <v>38.04</v>
      </c>
    </row>
    <row r="313" spans="1:3">
      <c r="A313" s="3001" t="s">
        <v>4694</v>
      </c>
      <c r="B313" s="3000" t="s">
        <v>3461</v>
      </c>
      <c r="C313" s="3000">
        <v>38.04</v>
      </c>
    </row>
    <row r="314" spans="1:3">
      <c r="A314" s="3001" t="s">
        <v>4694</v>
      </c>
      <c r="B314" s="3000" t="s">
        <v>3462</v>
      </c>
      <c r="C314" s="3000">
        <v>38.04</v>
      </c>
    </row>
    <row r="315" spans="1:3">
      <c r="A315" s="3001" t="s">
        <v>4694</v>
      </c>
      <c r="B315" s="3000" t="s">
        <v>3463</v>
      </c>
      <c r="C315" s="3000">
        <v>38.04</v>
      </c>
    </row>
    <row r="316" spans="1:3">
      <c r="A316" s="3001" t="s">
        <v>4694</v>
      </c>
      <c r="B316" s="3000" t="s">
        <v>3464</v>
      </c>
      <c r="C316" s="3000">
        <v>38.04</v>
      </c>
    </row>
    <row r="317" spans="1:3">
      <c r="A317" s="3001" t="s">
        <v>4694</v>
      </c>
      <c r="B317" s="3000" t="s">
        <v>3465</v>
      </c>
      <c r="C317" s="3000">
        <v>38.04</v>
      </c>
    </row>
    <row r="318" spans="1:3">
      <c r="A318" s="3001" t="s">
        <v>4694</v>
      </c>
      <c r="B318" s="3000" t="s">
        <v>3466</v>
      </c>
      <c r="C318" s="3000">
        <v>38.04</v>
      </c>
    </row>
    <row r="319" spans="1:3">
      <c r="A319" s="3001" t="s">
        <v>4694</v>
      </c>
      <c r="B319" s="3000" t="s">
        <v>3467</v>
      </c>
      <c r="C319" s="3000">
        <v>38.04</v>
      </c>
    </row>
    <row r="320" spans="1:3">
      <c r="A320" s="3001" t="s">
        <v>4694</v>
      </c>
      <c r="B320" s="3000" t="s">
        <v>3468</v>
      </c>
      <c r="C320" s="3000">
        <v>38.04</v>
      </c>
    </row>
    <row r="321" spans="1:3">
      <c r="A321" s="3001" t="s">
        <v>4694</v>
      </c>
      <c r="B321" s="3000" t="s">
        <v>3469</v>
      </c>
      <c r="C321" s="3000">
        <v>38.04</v>
      </c>
    </row>
    <row r="322" spans="1:3">
      <c r="A322" s="3001" t="s">
        <v>4694</v>
      </c>
      <c r="B322" s="3000" t="s">
        <v>3470</v>
      </c>
      <c r="C322" s="3000">
        <v>38.04</v>
      </c>
    </row>
    <row r="323" spans="1:3">
      <c r="A323" s="3001" t="s">
        <v>4694</v>
      </c>
      <c r="B323" s="3000" t="s">
        <v>3471</v>
      </c>
      <c r="C323" s="3000">
        <v>38.04</v>
      </c>
    </row>
    <row r="324" spans="1:3">
      <c r="A324" s="3001" t="s">
        <v>4694</v>
      </c>
      <c r="B324" s="3000" t="s">
        <v>3472</v>
      </c>
      <c r="C324" s="3000">
        <v>38.04</v>
      </c>
    </row>
    <row r="325" spans="1:3">
      <c r="A325" s="3001" t="s">
        <v>4694</v>
      </c>
      <c r="B325" s="3000" t="s">
        <v>3473</v>
      </c>
      <c r="C325" s="3000">
        <v>38.04</v>
      </c>
    </row>
    <row r="326" spans="1:3">
      <c r="A326" s="3001" t="s">
        <v>4694</v>
      </c>
      <c r="B326" s="3000" t="s">
        <v>3474</v>
      </c>
      <c r="C326" s="3000">
        <v>38.04</v>
      </c>
    </row>
    <row r="327" spans="1:3">
      <c r="A327" s="3001" t="s">
        <v>4694</v>
      </c>
      <c r="B327" s="3000" t="s">
        <v>3475</v>
      </c>
      <c r="C327" s="3000">
        <v>38.04</v>
      </c>
    </row>
    <row r="328" spans="1:3">
      <c r="A328" s="3001" t="s">
        <v>4694</v>
      </c>
      <c r="B328" s="3000" t="s">
        <v>3476</v>
      </c>
      <c r="C328" s="3000">
        <v>38.04</v>
      </c>
    </row>
    <row r="329" spans="1:3">
      <c r="A329" s="3001" t="s">
        <v>4694</v>
      </c>
      <c r="B329" s="3000" t="s">
        <v>3477</v>
      </c>
      <c r="C329" s="3000">
        <v>38.04</v>
      </c>
    </row>
    <row r="330" spans="1:3">
      <c r="A330" s="3001" t="s">
        <v>4694</v>
      </c>
      <c r="B330" s="3000" t="s">
        <v>3478</v>
      </c>
      <c r="C330" s="3000">
        <v>38.04</v>
      </c>
    </row>
    <row r="331" spans="1:3">
      <c r="A331" s="3001" t="s">
        <v>4694</v>
      </c>
      <c r="B331" s="3000" t="s">
        <v>3479</v>
      </c>
      <c r="C331" s="3000">
        <v>38.04</v>
      </c>
    </row>
    <row r="332" spans="1:3">
      <c r="A332" s="3001" t="s">
        <v>4694</v>
      </c>
      <c r="B332" s="3000" t="s">
        <v>3480</v>
      </c>
      <c r="C332" s="3000">
        <v>38.04</v>
      </c>
    </row>
    <row r="333" spans="1:3">
      <c r="A333" s="3001" t="s">
        <v>4694</v>
      </c>
      <c r="B333" s="3000" t="s">
        <v>3481</v>
      </c>
      <c r="C333" s="3000">
        <v>38.04</v>
      </c>
    </row>
    <row r="334" spans="1:3">
      <c r="A334" s="3001" t="s">
        <v>4694</v>
      </c>
      <c r="B334" s="3000" t="s">
        <v>3482</v>
      </c>
      <c r="C334" s="3000">
        <v>38.04</v>
      </c>
    </row>
    <row r="335" spans="1:3">
      <c r="A335" s="3001" t="s">
        <v>4694</v>
      </c>
      <c r="B335" s="3000" t="s">
        <v>3483</v>
      </c>
      <c r="C335" s="3000">
        <v>38.04</v>
      </c>
    </row>
    <row r="336" spans="1:3">
      <c r="A336" s="3001" t="s">
        <v>4694</v>
      </c>
      <c r="B336" s="3000" t="s">
        <v>3484</v>
      </c>
      <c r="C336" s="3000">
        <v>38.04</v>
      </c>
    </row>
    <row r="337" spans="1:3">
      <c r="A337" s="3001" t="s">
        <v>4694</v>
      </c>
      <c r="B337" s="3000" t="s">
        <v>3485</v>
      </c>
      <c r="C337" s="3000">
        <v>38.04</v>
      </c>
    </row>
    <row r="338" spans="1:3">
      <c r="A338" s="3001" t="s">
        <v>4694</v>
      </c>
      <c r="B338" s="3000" t="s">
        <v>3486</v>
      </c>
      <c r="C338" s="3000">
        <v>38.04</v>
      </c>
    </row>
    <row r="339" spans="1:3">
      <c r="A339" s="3001" t="s">
        <v>4694</v>
      </c>
      <c r="B339" s="3000" t="s">
        <v>3487</v>
      </c>
      <c r="C339" s="3000">
        <v>38.04</v>
      </c>
    </row>
    <row r="340" spans="1:3">
      <c r="A340" s="3001" t="s">
        <v>4694</v>
      </c>
      <c r="B340" s="3000" t="s">
        <v>3488</v>
      </c>
      <c r="C340" s="3000">
        <v>38.04</v>
      </c>
    </row>
    <row r="341" spans="1:3">
      <c r="A341" s="3001" t="s">
        <v>4694</v>
      </c>
      <c r="B341" s="3000" t="s">
        <v>3489</v>
      </c>
      <c r="C341" s="3000">
        <v>38.04</v>
      </c>
    </row>
    <row r="342" spans="1:3">
      <c r="A342" s="3001" t="s">
        <v>4694</v>
      </c>
      <c r="B342" s="3000" t="s">
        <v>3490</v>
      </c>
      <c r="C342" s="3000">
        <v>38.04</v>
      </c>
    </row>
    <row r="343" spans="1:3">
      <c r="A343" s="3001" t="s">
        <v>4694</v>
      </c>
      <c r="B343" s="3000" t="s">
        <v>3491</v>
      </c>
      <c r="C343" s="3000">
        <v>38.04</v>
      </c>
    </row>
    <row r="344" spans="1:3">
      <c r="A344" s="3001" t="s">
        <v>4694</v>
      </c>
      <c r="B344" s="3000" t="s">
        <v>3492</v>
      </c>
      <c r="C344" s="3000">
        <v>38.04</v>
      </c>
    </row>
    <row r="345" spans="1:3">
      <c r="A345" s="3001" t="s">
        <v>4694</v>
      </c>
      <c r="B345" s="3000" t="s">
        <v>3493</v>
      </c>
      <c r="C345" s="3000">
        <v>38.04</v>
      </c>
    </row>
    <row r="346" spans="1:3">
      <c r="A346" s="3001" t="s">
        <v>4694</v>
      </c>
      <c r="B346" s="3000" t="s">
        <v>3494</v>
      </c>
      <c r="C346" s="3000">
        <v>38.04</v>
      </c>
    </row>
    <row r="347" spans="1:3">
      <c r="A347" s="3001" t="s">
        <v>4694</v>
      </c>
      <c r="B347" s="3000" t="s">
        <v>3495</v>
      </c>
      <c r="C347" s="3000">
        <v>38.04</v>
      </c>
    </row>
    <row r="348" spans="1:3">
      <c r="A348" s="3001" t="s">
        <v>4694</v>
      </c>
      <c r="B348" s="3000" t="s">
        <v>3496</v>
      </c>
      <c r="C348" s="3000">
        <v>38.04</v>
      </c>
    </row>
    <row r="349" spans="1:3">
      <c r="A349" s="3001" t="s">
        <v>4694</v>
      </c>
      <c r="B349" s="3000" t="s">
        <v>3497</v>
      </c>
      <c r="C349" s="3000">
        <v>38.04</v>
      </c>
    </row>
    <row r="350" spans="1:3">
      <c r="A350" s="3001" t="s">
        <v>4694</v>
      </c>
      <c r="B350" s="3000" t="s">
        <v>3498</v>
      </c>
      <c r="C350" s="3000">
        <v>38.04</v>
      </c>
    </row>
    <row r="351" spans="1:3">
      <c r="A351" s="3001" t="s">
        <v>4694</v>
      </c>
      <c r="B351" s="3000" t="s">
        <v>3499</v>
      </c>
      <c r="C351" s="3000">
        <v>38.04</v>
      </c>
    </row>
    <row r="352" spans="1:3">
      <c r="A352" s="3001" t="s">
        <v>4694</v>
      </c>
      <c r="B352" s="3000" t="s">
        <v>3500</v>
      </c>
      <c r="C352" s="3000">
        <v>38.04</v>
      </c>
    </row>
    <row r="353" spans="1:3">
      <c r="A353" s="3001" t="s">
        <v>4694</v>
      </c>
      <c r="B353" s="3000" t="s">
        <v>3501</v>
      </c>
      <c r="C353" s="3000">
        <v>38.04</v>
      </c>
    </row>
    <row r="354" spans="1:3">
      <c r="A354" s="3001" t="s">
        <v>4694</v>
      </c>
      <c r="B354" s="3000" t="s">
        <v>3502</v>
      </c>
      <c r="C354" s="3000">
        <v>38.04</v>
      </c>
    </row>
    <row r="355" spans="1:3">
      <c r="A355" s="3001" t="s">
        <v>4694</v>
      </c>
      <c r="B355" s="3000" t="s">
        <v>3503</v>
      </c>
      <c r="C355" s="3000">
        <v>38.04</v>
      </c>
    </row>
    <row r="356" spans="1:3">
      <c r="A356" s="3001" t="s">
        <v>4694</v>
      </c>
      <c r="B356" s="3000" t="s">
        <v>3504</v>
      </c>
      <c r="C356" s="3000">
        <v>38.04</v>
      </c>
    </row>
    <row r="357" spans="1:3">
      <c r="A357" s="3001" t="s">
        <v>4694</v>
      </c>
      <c r="B357" s="3000" t="s">
        <v>3505</v>
      </c>
      <c r="C357" s="3000">
        <v>38.04</v>
      </c>
    </row>
    <row r="358" spans="1:3">
      <c r="A358" s="3001" t="s">
        <v>4694</v>
      </c>
      <c r="B358" s="3000" t="s">
        <v>3506</v>
      </c>
      <c r="C358" s="3000">
        <v>38.04</v>
      </c>
    </row>
    <row r="359" spans="1:3">
      <c r="A359" s="3001" t="s">
        <v>4694</v>
      </c>
      <c r="B359" s="3000" t="s">
        <v>3507</v>
      </c>
      <c r="C359" s="3000">
        <v>38.04</v>
      </c>
    </row>
    <row r="360" spans="1:3">
      <c r="A360" s="3001" t="s">
        <v>4694</v>
      </c>
      <c r="B360" s="3000" t="s">
        <v>3508</v>
      </c>
      <c r="C360" s="3000">
        <v>38.04</v>
      </c>
    </row>
    <row r="361" spans="1:3">
      <c r="A361" s="3001" t="s">
        <v>4694</v>
      </c>
      <c r="B361" s="3000" t="s">
        <v>3509</v>
      </c>
      <c r="C361" s="3000">
        <v>38.04</v>
      </c>
    </row>
    <row r="362" spans="1:3">
      <c r="A362" s="3001" t="s">
        <v>4694</v>
      </c>
      <c r="B362" s="3000" t="s">
        <v>3510</v>
      </c>
      <c r="C362" s="3000">
        <v>38.04</v>
      </c>
    </row>
    <row r="363" spans="1:3">
      <c r="A363" s="3001" t="s">
        <v>4694</v>
      </c>
      <c r="B363" s="3000" t="s">
        <v>3511</v>
      </c>
      <c r="C363" s="3000">
        <v>38.04</v>
      </c>
    </row>
    <row r="364" spans="1:3">
      <c r="A364" s="3001" t="s">
        <v>4694</v>
      </c>
      <c r="B364" s="3000" t="s">
        <v>3512</v>
      </c>
      <c r="C364" s="3000">
        <v>38.04</v>
      </c>
    </row>
    <row r="365" spans="1:3">
      <c r="A365" s="3001" t="s">
        <v>4694</v>
      </c>
      <c r="B365" s="3000" t="s">
        <v>3513</v>
      </c>
      <c r="C365" s="3000">
        <v>38.04</v>
      </c>
    </row>
    <row r="366" spans="1:3">
      <c r="A366" s="3001" t="s">
        <v>4694</v>
      </c>
      <c r="B366" s="3000" t="s">
        <v>3514</v>
      </c>
      <c r="C366" s="3000">
        <v>38.04</v>
      </c>
    </row>
    <row r="367" spans="1:3">
      <c r="A367" s="3001" t="s">
        <v>4694</v>
      </c>
      <c r="B367" s="3000" t="s">
        <v>3515</v>
      </c>
      <c r="C367" s="3000">
        <v>38.04</v>
      </c>
    </row>
    <row r="368" spans="1:3">
      <c r="A368" s="3001" t="s">
        <v>4694</v>
      </c>
      <c r="B368" s="3000" t="s">
        <v>3516</v>
      </c>
      <c r="C368" s="3000">
        <v>38.04</v>
      </c>
    </row>
    <row r="369" spans="1:3">
      <c r="A369" s="3001" t="s">
        <v>4694</v>
      </c>
      <c r="B369" s="3000" t="s">
        <v>3517</v>
      </c>
      <c r="C369" s="3000">
        <v>38.04</v>
      </c>
    </row>
    <row r="370" spans="1:3">
      <c r="A370" s="3001" t="s">
        <v>4694</v>
      </c>
      <c r="B370" s="3000" t="s">
        <v>3518</v>
      </c>
      <c r="C370" s="3000">
        <v>38.04</v>
      </c>
    </row>
    <row r="371" spans="1:3">
      <c r="A371" s="3001" t="s">
        <v>4694</v>
      </c>
      <c r="B371" s="3000" t="s">
        <v>3519</v>
      </c>
      <c r="C371" s="3000">
        <v>38.04</v>
      </c>
    </row>
    <row r="372" spans="1:3">
      <c r="A372" s="3001" t="s">
        <v>4694</v>
      </c>
      <c r="B372" s="3000" t="s">
        <v>3520</v>
      </c>
      <c r="C372" s="3000">
        <v>38.04</v>
      </c>
    </row>
    <row r="373" spans="1:3">
      <c r="A373" s="3001" t="s">
        <v>4694</v>
      </c>
      <c r="B373" s="3000" t="s">
        <v>3521</v>
      </c>
      <c r="C373" s="3000">
        <v>38.04</v>
      </c>
    </row>
    <row r="374" spans="1:3">
      <c r="A374" s="3001" t="s">
        <v>4694</v>
      </c>
      <c r="B374" s="3000" t="s">
        <v>3522</v>
      </c>
      <c r="C374" s="3000">
        <v>38.04</v>
      </c>
    </row>
    <row r="375" spans="1:3">
      <c r="A375" s="3001" t="s">
        <v>4694</v>
      </c>
      <c r="B375" s="3000" t="s">
        <v>3523</v>
      </c>
      <c r="C375" s="3000">
        <v>38.04</v>
      </c>
    </row>
    <row r="376" spans="1:3">
      <c r="A376" s="3001" t="s">
        <v>4694</v>
      </c>
      <c r="B376" s="3000" t="s">
        <v>3524</v>
      </c>
      <c r="C376" s="3000">
        <v>38.04</v>
      </c>
    </row>
    <row r="377" spans="1:3">
      <c r="A377" s="3001" t="s">
        <v>4694</v>
      </c>
      <c r="B377" s="3000" t="s">
        <v>3525</v>
      </c>
      <c r="C377" s="3000">
        <v>38.04</v>
      </c>
    </row>
    <row r="378" spans="1:3">
      <c r="A378" s="3001" t="s">
        <v>4694</v>
      </c>
      <c r="B378" s="3000" t="s">
        <v>3526</v>
      </c>
      <c r="C378" s="3000">
        <v>38.04</v>
      </c>
    </row>
    <row r="379" spans="1:3">
      <c r="A379" s="3001" t="s">
        <v>4694</v>
      </c>
      <c r="B379" s="3000" t="s">
        <v>3527</v>
      </c>
      <c r="C379" s="3000">
        <v>38.04</v>
      </c>
    </row>
    <row r="380" spans="1:3">
      <c r="A380" s="3001" t="s">
        <v>4694</v>
      </c>
      <c r="B380" s="3000" t="s">
        <v>3528</v>
      </c>
      <c r="C380" s="3000">
        <v>38.04</v>
      </c>
    </row>
    <row r="381" spans="1:3">
      <c r="A381" s="3001" t="s">
        <v>4694</v>
      </c>
      <c r="B381" s="3000" t="s">
        <v>3529</v>
      </c>
      <c r="C381" s="3000">
        <v>38.04</v>
      </c>
    </row>
    <row r="382" spans="1:3">
      <c r="A382" s="3001" t="s">
        <v>4694</v>
      </c>
      <c r="B382" s="3000" t="s">
        <v>3530</v>
      </c>
      <c r="C382" s="3000">
        <v>38.04</v>
      </c>
    </row>
    <row r="383" spans="1:3">
      <c r="A383" s="3001" t="s">
        <v>4694</v>
      </c>
      <c r="B383" s="3000" t="s">
        <v>3531</v>
      </c>
      <c r="C383" s="3000">
        <v>38.04</v>
      </c>
    </row>
    <row r="384" spans="1:3">
      <c r="A384" s="3001" t="s">
        <v>4694</v>
      </c>
      <c r="B384" s="3000" t="s">
        <v>3532</v>
      </c>
      <c r="C384" s="3000">
        <v>38.04</v>
      </c>
    </row>
    <row r="385" spans="1:3">
      <c r="A385" s="3001" t="s">
        <v>4694</v>
      </c>
      <c r="B385" s="3000" t="s">
        <v>3533</v>
      </c>
      <c r="C385" s="3000">
        <v>38.04</v>
      </c>
    </row>
    <row r="386" spans="1:3">
      <c r="A386" s="3001" t="s">
        <v>4694</v>
      </c>
      <c r="B386" s="3000" t="s">
        <v>3534</v>
      </c>
      <c r="C386" s="3000">
        <v>38.04</v>
      </c>
    </row>
    <row r="387" spans="1:3">
      <c r="A387" s="3001" t="s">
        <v>4694</v>
      </c>
      <c r="B387" s="3000" t="s">
        <v>3535</v>
      </c>
      <c r="C387" s="3000">
        <v>38.04</v>
      </c>
    </row>
    <row r="388" spans="1:3">
      <c r="A388" s="3001" t="s">
        <v>4694</v>
      </c>
      <c r="B388" s="3000" t="s">
        <v>3536</v>
      </c>
      <c r="C388" s="3000">
        <v>38.04</v>
      </c>
    </row>
    <row r="389" spans="1:3">
      <c r="A389" s="3001" t="s">
        <v>4694</v>
      </c>
      <c r="B389" s="3000" t="s">
        <v>3537</v>
      </c>
      <c r="C389" s="3000">
        <v>38.04</v>
      </c>
    </row>
    <row r="390" spans="1:3">
      <c r="A390" s="3001" t="s">
        <v>4694</v>
      </c>
      <c r="B390" s="3000" t="s">
        <v>3538</v>
      </c>
      <c r="C390" s="3000">
        <v>38.04</v>
      </c>
    </row>
    <row r="391" spans="1:3">
      <c r="A391" s="3001" t="s">
        <v>4694</v>
      </c>
      <c r="B391" s="3000" t="s">
        <v>3539</v>
      </c>
      <c r="C391" s="3000">
        <v>38.04</v>
      </c>
    </row>
    <row r="392" spans="1:3">
      <c r="A392" s="3001" t="s">
        <v>4694</v>
      </c>
      <c r="B392" s="3000" t="s">
        <v>3540</v>
      </c>
      <c r="C392" s="3000">
        <v>38.04</v>
      </c>
    </row>
    <row r="393" spans="1:3">
      <c r="A393" s="3001" t="s">
        <v>4694</v>
      </c>
      <c r="B393" s="3000" t="s">
        <v>3541</v>
      </c>
      <c r="C393" s="3000">
        <v>38.04</v>
      </c>
    </row>
    <row r="394" spans="1:3">
      <c r="A394" s="3001" t="s">
        <v>4694</v>
      </c>
      <c r="B394" s="3000" t="s">
        <v>3542</v>
      </c>
      <c r="C394" s="3000">
        <v>38.04</v>
      </c>
    </row>
    <row r="395" spans="1:3">
      <c r="A395" s="3001" t="s">
        <v>4694</v>
      </c>
      <c r="B395" s="3000" t="s">
        <v>3543</v>
      </c>
      <c r="C395" s="3000">
        <v>38.04</v>
      </c>
    </row>
    <row r="396" spans="1:3">
      <c r="A396" s="3001" t="s">
        <v>4694</v>
      </c>
      <c r="B396" s="3000" t="s">
        <v>3544</v>
      </c>
      <c r="C396" s="3000">
        <v>38.04</v>
      </c>
    </row>
    <row r="397" spans="1:3">
      <c r="A397" s="3001" t="s">
        <v>4694</v>
      </c>
      <c r="B397" s="3000" t="s">
        <v>3545</v>
      </c>
      <c r="C397" s="3000">
        <v>38.04</v>
      </c>
    </row>
    <row r="398" spans="1:3">
      <c r="A398" s="3001" t="s">
        <v>4694</v>
      </c>
      <c r="B398" s="3000" t="s">
        <v>3546</v>
      </c>
      <c r="C398" s="3000">
        <v>38.04</v>
      </c>
    </row>
    <row r="399" spans="1:3">
      <c r="A399" s="3001" t="s">
        <v>4694</v>
      </c>
      <c r="B399" s="3000" t="s">
        <v>3547</v>
      </c>
      <c r="C399" s="3000">
        <v>56.31</v>
      </c>
    </row>
    <row r="400" spans="1:3">
      <c r="A400" s="3001" t="s">
        <v>4694</v>
      </c>
      <c r="B400" s="3000" t="s">
        <v>3548</v>
      </c>
      <c r="C400" s="3000">
        <v>38.04</v>
      </c>
    </row>
    <row r="401" spans="1:3">
      <c r="A401" s="3001" t="s">
        <v>4694</v>
      </c>
      <c r="B401" s="3000" t="s">
        <v>3549</v>
      </c>
      <c r="C401" s="3000">
        <v>38.04</v>
      </c>
    </row>
    <row r="402" spans="1:3">
      <c r="A402" s="3001" t="s">
        <v>4694</v>
      </c>
      <c r="B402" s="3000" t="s">
        <v>3550</v>
      </c>
      <c r="C402" s="3000">
        <v>56.31</v>
      </c>
    </row>
    <row r="403" spans="1:3">
      <c r="A403" s="3001" t="s">
        <v>4694</v>
      </c>
      <c r="B403" s="3000" t="s">
        <v>3551</v>
      </c>
      <c r="C403" s="3000">
        <v>38.04</v>
      </c>
    </row>
    <row r="404" spans="1:3">
      <c r="A404" s="3001" t="s">
        <v>4694</v>
      </c>
      <c r="B404" s="3000" t="s">
        <v>3552</v>
      </c>
      <c r="C404" s="3000">
        <v>38.04</v>
      </c>
    </row>
    <row r="405" spans="1:3">
      <c r="A405" s="3001" t="s">
        <v>4694</v>
      </c>
      <c r="B405" s="3000" t="s">
        <v>3553</v>
      </c>
      <c r="C405" s="3000">
        <v>38.04</v>
      </c>
    </row>
    <row r="406" spans="1:3">
      <c r="A406" s="3001" t="s">
        <v>4694</v>
      </c>
      <c r="B406" s="3000" t="s">
        <v>3554</v>
      </c>
      <c r="C406" s="3000">
        <v>38.04</v>
      </c>
    </row>
    <row r="407" spans="1:3">
      <c r="A407" s="3001" t="s">
        <v>4694</v>
      </c>
      <c r="B407" s="3000" t="s">
        <v>3555</v>
      </c>
      <c r="C407" s="3000">
        <v>38.04</v>
      </c>
    </row>
    <row r="408" spans="1:3">
      <c r="A408" s="3001" t="s">
        <v>4694</v>
      </c>
      <c r="B408" s="3000" t="s">
        <v>3556</v>
      </c>
      <c r="C408" s="3000">
        <v>38.04</v>
      </c>
    </row>
    <row r="409" spans="1:3">
      <c r="A409" s="3001" t="s">
        <v>4694</v>
      </c>
      <c r="B409" s="3000" t="s">
        <v>3557</v>
      </c>
      <c r="C409" s="3000">
        <v>38.04</v>
      </c>
    </row>
    <row r="410" spans="1:3">
      <c r="A410" s="3001" t="s">
        <v>4694</v>
      </c>
      <c r="B410" s="3000" t="s">
        <v>3558</v>
      </c>
      <c r="C410" s="3000">
        <v>38.04</v>
      </c>
    </row>
    <row r="411" spans="1:3">
      <c r="A411" s="3001" t="s">
        <v>4694</v>
      </c>
      <c r="B411" s="3000" t="s">
        <v>3559</v>
      </c>
      <c r="C411" s="3000">
        <v>38.04</v>
      </c>
    </row>
    <row r="412" spans="1:3">
      <c r="A412" s="3001" t="s">
        <v>4694</v>
      </c>
      <c r="B412" s="3000" t="s">
        <v>3560</v>
      </c>
      <c r="C412" s="3000">
        <v>38.04</v>
      </c>
    </row>
    <row r="413" spans="1:3">
      <c r="A413" s="3001" t="s">
        <v>4694</v>
      </c>
      <c r="B413" s="3000" t="s">
        <v>3561</v>
      </c>
      <c r="C413" s="3000">
        <v>38.04</v>
      </c>
    </row>
    <row r="414" spans="1:3">
      <c r="A414" s="3001" t="s">
        <v>4694</v>
      </c>
      <c r="B414" s="3000" t="s">
        <v>3562</v>
      </c>
      <c r="C414" s="3000">
        <v>38.04</v>
      </c>
    </row>
    <row r="415" spans="1:3">
      <c r="A415" s="3001" t="s">
        <v>4694</v>
      </c>
      <c r="B415" s="3000" t="s">
        <v>3563</v>
      </c>
      <c r="C415" s="3000">
        <v>38.04</v>
      </c>
    </row>
    <row r="416" spans="1:3">
      <c r="A416" s="3001" t="s">
        <v>4694</v>
      </c>
      <c r="B416" s="3000" t="s">
        <v>3564</v>
      </c>
      <c r="C416" s="3000">
        <v>38.04</v>
      </c>
    </row>
    <row r="417" spans="1:3">
      <c r="A417" s="3001" t="s">
        <v>4694</v>
      </c>
      <c r="B417" s="3000" t="s">
        <v>3565</v>
      </c>
      <c r="C417" s="3000">
        <v>38.04</v>
      </c>
    </row>
    <row r="418" spans="1:3">
      <c r="A418" s="3001" t="s">
        <v>4694</v>
      </c>
      <c r="B418" s="3000" t="s">
        <v>3566</v>
      </c>
      <c r="C418" s="3000">
        <v>38.04</v>
      </c>
    </row>
    <row r="419" spans="1:3">
      <c r="A419" s="3001" t="s">
        <v>4694</v>
      </c>
      <c r="B419" s="3000" t="s">
        <v>3567</v>
      </c>
      <c r="C419" s="3000">
        <v>38.04</v>
      </c>
    </row>
    <row r="420" spans="1:3">
      <c r="A420" s="3001" t="s">
        <v>4694</v>
      </c>
      <c r="B420" s="3000" t="s">
        <v>3568</v>
      </c>
      <c r="C420" s="3000">
        <v>38.04</v>
      </c>
    </row>
    <row r="421" spans="1:3">
      <c r="A421" s="3001" t="s">
        <v>4694</v>
      </c>
      <c r="B421" s="3000" t="s">
        <v>3569</v>
      </c>
      <c r="C421" s="3000">
        <v>38.04</v>
      </c>
    </row>
    <row r="422" spans="1:3">
      <c r="A422" s="3001" t="s">
        <v>4694</v>
      </c>
      <c r="B422" s="3000" t="s">
        <v>3570</v>
      </c>
      <c r="C422" s="3000">
        <v>38.04</v>
      </c>
    </row>
    <row r="423" spans="1:3">
      <c r="A423" s="3001" t="s">
        <v>4694</v>
      </c>
      <c r="B423" s="3000" t="s">
        <v>3571</v>
      </c>
      <c r="C423" s="3000">
        <v>38.04</v>
      </c>
    </row>
    <row r="424" spans="1:3">
      <c r="A424" s="3001" t="s">
        <v>4694</v>
      </c>
      <c r="B424" s="3000" t="s">
        <v>3572</v>
      </c>
      <c r="C424" s="3000">
        <v>38.04</v>
      </c>
    </row>
    <row r="425" spans="1:3">
      <c r="A425" s="3001" t="s">
        <v>4694</v>
      </c>
      <c r="B425" s="3000" t="s">
        <v>3573</v>
      </c>
      <c r="C425" s="3000">
        <v>38.04</v>
      </c>
    </row>
    <row r="426" spans="1:3">
      <c r="A426" s="3001" t="s">
        <v>4694</v>
      </c>
      <c r="B426" s="3000" t="s">
        <v>3574</v>
      </c>
      <c r="C426" s="3000">
        <v>38.04</v>
      </c>
    </row>
    <row r="427" spans="1:3">
      <c r="A427" s="3001" t="s">
        <v>4694</v>
      </c>
      <c r="B427" s="3000" t="s">
        <v>3575</v>
      </c>
      <c r="C427" s="3000">
        <v>38.04</v>
      </c>
    </row>
    <row r="428" spans="1:3">
      <c r="A428" s="3001" t="s">
        <v>4694</v>
      </c>
      <c r="B428" s="3000" t="s">
        <v>3576</v>
      </c>
      <c r="C428" s="3000">
        <v>38.04</v>
      </c>
    </row>
    <row r="429" spans="1:3">
      <c r="A429" s="3001" t="s">
        <v>4694</v>
      </c>
      <c r="B429" s="3000" t="s">
        <v>3577</v>
      </c>
      <c r="C429" s="3000">
        <v>38.04</v>
      </c>
    </row>
    <row r="430" spans="1:3">
      <c r="A430" s="3001" t="s">
        <v>4694</v>
      </c>
      <c r="B430" s="3000" t="s">
        <v>3578</v>
      </c>
      <c r="C430" s="3000">
        <v>38.04</v>
      </c>
    </row>
    <row r="431" spans="1:3">
      <c r="A431" s="3001" t="s">
        <v>4694</v>
      </c>
      <c r="B431" s="3000" t="s">
        <v>3579</v>
      </c>
      <c r="C431" s="3000">
        <v>38.04</v>
      </c>
    </row>
    <row r="432" spans="1:3">
      <c r="A432" s="3001" t="s">
        <v>4694</v>
      </c>
      <c r="B432" s="3000" t="s">
        <v>3580</v>
      </c>
      <c r="C432" s="3000">
        <v>38.04</v>
      </c>
    </row>
    <row r="433" spans="1:3">
      <c r="A433" s="3001" t="s">
        <v>4694</v>
      </c>
      <c r="B433" s="3000" t="s">
        <v>3581</v>
      </c>
      <c r="C433" s="3000">
        <v>38.04</v>
      </c>
    </row>
    <row r="434" spans="1:3">
      <c r="A434" s="3001" t="s">
        <v>4694</v>
      </c>
      <c r="B434" s="3000" t="s">
        <v>3582</v>
      </c>
      <c r="C434" s="3000">
        <v>38.04</v>
      </c>
    </row>
    <row r="435" spans="1:3">
      <c r="A435" s="3001" t="s">
        <v>4694</v>
      </c>
      <c r="B435" s="3000" t="s">
        <v>3583</v>
      </c>
      <c r="C435" s="3000">
        <v>38.04</v>
      </c>
    </row>
    <row r="436" spans="1:3">
      <c r="A436" s="3001" t="s">
        <v>4694</v>
      </c>
      <c r="B436" s="3000" t="s">
        <v>3584</v>
      </c>
      <c r="C436" s="3000">
        <v>38.04</v>
      </c>
    </row>
    <row r="437" spans="1:3">
      <c r="A437" s="3001" t="s">
        <v>4694</v>
      </c>
      <c r="B437" s="3000" t="s">
        <v>3585</v>
      </c>
      <c r="C437" s="3000">
        <v>38.04</v>
      </c>
    </row>
    <row r="438" spans="1:3">
      <c r="A438" s="3001" t="s">
        <v>4694</v>
      </c>
      <c r="B438" s="3000" t="s">
        <v>3586</v>
      </c>
      <c r="C438" s="3000">
        <v>38.04</v>
      </c>
    </row>
    <row r="439" spans="1:3">
      <c r="A439" s="3001" t="s">
        <v>4694</v>
      </c>
      <c r="B439" s="3000" t="s">
        <v>3587</v>
      </c>
      <c r="C439" s="3000">
        <v>38.04</v>
      </c>
    </row>
    <row r="440" spans="1:3">
      <c r="A440" s="3001" t="s">
        <v>4694</v>
      </c>
      <c r="B440" s="3000" t="s">
        <v>3588</v>
      </c>
      <c r="C440" s="3000">
        <v>38.04</v>
      </c>
    </row>
    <row r="441" spans="1:3">
      <c r="A441" s="3001" t="s">
        <v>4694</v>
      </c>
      <c r="B441" s="3000" t="s">
        <v>3589</v>
      </c>
      <c r="C441" s="3000">
        <v>38.04</v>
      </c>
    </row>
    <row r="442" spans="1:3">
      <c r="A442" s="3001" t="s">
        <v>4694</v>
      </c>
      <c r="B442" s="3000" t="s">
        <v>3590</v>
      </c>
      <c r="C442" s="3000">
        <v>38.04</v>
      </c>
    </row>
    <row r="443" spans="1:3">
      <c r="A443" s="3001" t="s">
        <v>4694</v>
      </c>
      <c r="B443" s="3000" t="s">
        <v>3591</v>
      </c>
      <c r="C443" s="3000">
        <v>38.04</v>
      </c>
    </row>
    <row r="444" spans="1:3">
      <c r="A444" s="3001" t="s">
        <v>4694</v>
      </c>
      <c r="B444" s="3000" t="s">
        <v>3592</v>
      </c>
      <c r="C444" s="3000">
        <v>38.04</v>
      </c>
    </row>
    <row r="445" spans="1:3">
      <c r="A445" s="3001" t="s">
        <v>4694</v>
      </c>
      <c r="B445" s="3000" t="s">
        <v>3593</v>
      </c>
      <c r="C445" s="3000">
        <v>38.04</v>
      </c>
    </row>
    <row r="446" spans="1:3">
      <c r="A446" s="3001" t="s">
        <v>4694</v>
      </c>
      <c r="B446" s="3000" t="s">
        <v>3594</v>
      </c>
      <c r="C446" s="3000">
        <v>38.04</v>
      </c>
    </row>
    <row r="447" spans="1:3">
      <c r="A447" s="3001" t="s">
        <v>4694</v>
      </c>
      <c r="B447" s="3000" t="s">
        <v>3595</v>
      </c>
      <c r="C447" s="3000">
        <v>38.04</v>
      </c>
    </row>
    <row r="448" spans="1:3">
      <c r="A448" s="3001" t="s">
        <v>4694</v>
      </c>
      <c r="B448" s="3000" t="s">
        <v>3596</v>
      </c>
      <c r="C448" s="3000">
        <v>38.04</v>
      </c>
    </row>
    <row r="449" spans="1:3">
      <c r="A449" s="3001" t="s">
        <v>4694</v>
      </c>
      <c r="B449" s="3000" t="s">
        <v>3597</v>
      </c>
      <c r="C449" s="3000">
        <v>38.04</v>
      </c>
    </row>
    <row r="450" spans="1:3">
      <c r="A450" s="3001" t="s">
        <v>4694</v>
      </c>
      <c r="B450" s="3000" t="s">
        <v>3598</v>
      </c>
      <c r="C450" s="3000">
        <v>38.04</v>
      </c>
    </row>
    <row r="451" spans="1:3">
      <c r="A451" s="3001" t="s">
        <v>4694</v>
      </c>
      <c r="B451" s="3000" t="s">
        <v>3599</v>
      </c>
      <c r="C451" s="3000">
        <v>38.04</v>
      </c>
    </row>
    <row r="452" spans="1:3">
      <c r="A452" s="3001" t="s">
        <v>4694</v>
      </c>
      <c r="B452" s="3000" t="s">
        <v>3600</v>
      </c>
      <c r="C452" s="3000">
        <v>38.04</v>
      </c>
    </row>
    <row r="453" spans="1:3">
      <c r="A453" s="3001" t="s">
        <v>4694</v>
      </c>
      <c r="B453" s="3000" t="s">
        <v>3601</v>
      </c>
      <c r="C453" s="3000">
        <v>38.04</v>
      </c>
    </row>
    <row r="454" spans="1:3">
      <c r="A454" s="3001" t="s">
        <v>4694</v>
      </c>
      <c r="B454" s="3000" t="s">
        <v>3602</v>
      </c>
      <c r="C454" s="3000">
        <v>38.04</v>
      </c>
    </row>
    <row r="455" spans="1:3">
      <c r="A455" s="3001" t="s">
        <v>4694</v>
      </c>
      <c r="B455" s="3000" t="s">
        <v>3603</v>
      </c>
      <c r="C455" s="3000">
        <v>38.04</v>
      </c>
    </row>
    <row r="456" spans="1:3">
      <c r="A456" s="3001" t="s">
        <v>4694</v>
      </c>
      <c r="B456" s="3000" t="s">
        <v>3604</v>
      </c>
      <c r="C456" s="3000">
        <v>38.04</v>
      </c>
    </row>
    <row r="457" spans="1:3">
      <c r="A457" s="3001" t="s">
        <v>4694</v>
      </c>
      <c r="B457" s="3000" t="s">
        <v>3605</v>
      </c>
      <c r="C457" s="3000">
        <v>38.04</v>
      </c>
    </row>
    <row r="458" spans="1:3">
      <c r="A458" s="3001" t="s">
        <v>4694</v>
      </c>
      <c r="B458" s="3000" t="s">
        <v>3606</v>
      </c>
      <c r="C458" s="3000">
        <v>38.04</v>
      </c>
    </row>
    <row r="459" spans="1:3">
      <c r="A459" s="3001" t="s">
        <v>4694</v>
      </c>
      <c r="B459" s="3000" t="s">
        <v>3607</v>
      </c>
      <c r="C459" s="3000">
        <v>38.04</v>
      </c>
    </row>
    <row r="460" spans="1:3">
      <c r="A460" s="3001" t="s">
        <v>4694</v>
      </c>
      <c r="B460" s="3000" t="s">
        <v>3608</v>
      </c>
      <c r="C460" s="3000">
        <v>38.04</v>
      </c>
    </row>
    <row r="461" spans="1:3">
      <c r="A461" s="3001" t="s">
        <v>4694</v>
      </c>
      <c r="B461" s="3000" t="s">
        <v>3609</v>
      </c>
      <c r="C461" s="3000">
        <v>38.04</v>
      </c>
    </row>
    <row r="462" spans="1:3">
      <c r="A462" s="3001" t="s">
        <v>4694</v>
      </c>
      <c r="B462" s="3000" t="s">
        <v>3610</v>
      </c>
      <c r="C462" s="3000">
        <v>38.04</v>
      </c>
    </row>
    <row r="463" spans="1:3">
      <c r="A463" s="3001" t="s">
        <v>4694</v>
      </c>
      <c r="B463" s="3000" t="s">
        <v>3611</v>
      </c>
      <c r="C463" s="3000">
        <v>38.04</v>
      </c>
    </row>
    <row r="464" spans="1:3">
      <c r="A464" s="3001" t="s">
        <v>4694</v>
      </c>
      <c r="B464" s="3000" t="s">
        <v>3612</v>
      </c>
      <c r="C464" s="3000">
        <v>38.04</v>
      </c>
    </row>
    <row r="465" spans="1:3">
      <c r="A465" s="3001" t="s">
        <v>4694</v>
      </c>
      <c r="B465" s="3000" t="s">
        <v>3613</v>
      </c>
      <c r="C465" s="3000">
        <v>38.04</v>
      </c>
    </row>
    <row r="466" spans="1:3">
      <c r="A466" s="3001" t="s">
        <v>4694</v>
      </c>
      <c r="B466" s="3000" t="s">
        <v>3614</v>
      </c>
      <c r="C466" s="3000">
        <v>38.04</v>
      </c>
    </row>
    <row r="467" spans="1:3">
      <c r="A467" s="3001" t="s">
        <v>4694</v>
      </c>
      <c r="B467" s="3000" t="s">
        <v>3615</v>
      </c>
      <c r="C467" s="3000">
        <v>38.04</v>
      </c>
    </row>
    <row r="468" spans="1:3">
      <c r="A468" s="3001" t="s">
        <v>4694</v>
      </c>
      <c r="B468" s="3000" t="s">
        <v>3616</v>
      </c>
      <c r="C468" s="3000">
        <v>38.04</v>
      </c>
    </row>
    <row r="469" spans="1:3">
      <c r="A469" s="3001" t="s">
        <v>4694</v>
      </c>
      <c r="B469" s="3000" t="s">
        <v>3617</v>
      </c>
      <c r="C469" s="3000">
        <v>38.04</v>
      </c>
    </row>
    <row r="470" spans="1:3">
      <c r="A470" s="3001" t="s">
        <v>4694</v>
      </c>
      <c r="B470" s="3000" t="s">
        <v>3618</v>
      </c>
      <c r="C470" s="3000">
        <v>38.04</v>
      </c>
    </row>
    <row r="471" spans="1:3">
      <c r="A471" s="3001" t="s">
        <v>4694</v>
      </c>
      <c r="B471" s="3000" t="s">
        <v>3619</v>
      </c>
      <c r="C471" s="3000">
        <v>38.04</v>
      </c>
    </row>
    <row r="472" spans="1:3">
      <c r="A472" s="3001" t="s">
        <v>4694</v>
      </c>
      <c r="B472" s="3000" t="s">
        <v>3620</v>
      </c>
      <c r="C472" s="3000">
        <v>38.04</v>
      </c>
    </row>
    <row r="473" spans="1:3">
      <c r="A473" s="3001" t="s">
        <v>4694</v>
      </c>
      <c r="B473" s="3000" t="s">
        <v>3621</v>
      </c>
      <c r="C473" s="3000">
        <v>38.04</v>
      </c>
    </row>
    <row r="474" spans="1:3">
      <c r="A474" s="3001" t="s">
        <v>4694</v>
      </c>
      <c r="B474" s="3000" t="s">
        <v>3622</v>
      </c>
      <c r="C474" s="3000">
        <v>38.04</v>
      </c>
    </row>
    <row r="475" spans="1:3">
      <c r="A475" s="3001" t="s">
        <v>4694</v>
      </c>
      <c r="B475" s="3000" t="s">
        <v>3623</v>
      </c>
      <c r="C475" s="3000">
        <v>38.04</v>
      </c>
    </row>
    <row r="476" spans="1:3">
      <c r="A476" s="3001" t="s">
        <v>4694</v>
      </c>
      <c r="B476" s="3000" t="s">
        <v>3624</v>
      </c>
      <c r="C476" s="3000">
        <v>38.04</v>
      </c>
    </row>
    <row r="477" spans="1:3">
      <c r="A477" s="3001" t="s">
        <v>4694</v>
      </c>
      <c r="B477" s="3000" t="s">
        <v>3625</v>
      </c>
      <c r="C477" s="3000">
        <v>38.04</v>
      </c>
    </row>
    <row r="478" spans="1:3">
      <c r="A478" s="3001" t="s">
        <v>4694</v>
      </c>
      <c r="B478" s="3000" t="s">
        <v>3626</v>
      </c>
      <c r="C478" s="3000">
        <v>38.04</v>
      </c>
    </row>
    <row r="479" spans="1:3">
      <c r="A479" s="3001" t="s">
        <v>4694</v>
      </c>
      <c r="B479" s="3000" t="s">
        <v>3627</v>
      </c>
      <c r="C479" s="3000">
        <v>38.04</v>
      </c>
    </row>
    <row r="480" spans="1:3">
      <c r="A480" s="3001" t="s">
        <v>4694</v>
      </c>
      <c r="B480" s="3000" t="s">
        <v>3628</v>
      </c>
      <c r="C480" s="3000">
        <v>38.04</v>
      </c>
    </row>
    <row r="481" spans="1:3">
      <c r="A481" s="3001" t="s">
        <v>4694</v>
      </c>
      <c r="B481" s="3000" t="s">
        <v>3629</v>
      </c>
      <c r="C481" s="3000">
        <v>38.04</v>
      </c>
    </row>
    <row r="482" spans="1:3">
      <c r="A482" s="3001" t="s">
        <v>4694</v>
      </c>
      <c r="B482" s="3000" t="s">
        <v>3630</v>
      </c>
      <c r="C482" s="3000">
        <v>38.04</v>
      </c>
    </row>
    <row r="483" spans="1:3">
      <c r="A483" s="3001" t="s">
        <v>4694</v>
      </c>
      <c r="B483" s="3000" t="s">
        <v>3631</v>
      </c>
      <c r="C483" s="3000">
        <v>38.04</v>
      </c>
    </row>
    <row r="484" spans="1:3">
      <c r="A484" s="3001" t="s">
        <v>4694</v>
      </c>
      <c r="B484" s="3000" t="s">
        <v>3632</v>
      </c>
      <c r="C484" s="3000">
        <v>38.04</v>
      </c>
    </row>
    <row r="485" spans="1:3">
      <c r="A485" s="3001" t="s">
        <v>4694</v>
      </c>
      <c r="B485" s="3000" t="s">
        <v>3633</v>
      </c>
      <c r="C485" s="3000">
        <v>38.04</v>
      </c>
    </row>
    <row r="486" spans="1:3">
      <c r="A486" s="3001" t="s">
        <v>4694</v>
      </c>
      <c r="B486" s="3000" t="s">
        <v>3634</v>
      </c>
      <c r="C486" s="3000">
        <v>38.04</v>
      </c>
    </row>
    <row r="487" spans="1:3">
      <c r="A487" s="3001" t="s">
        <v>4694</v>
      </c>
      <c r="B487" s="3000" t="s">
        <v>3635</v>
      </c>
      <c r="C487" s="3000">
        <v>38.04</v>
      </c>
    </row>
    <row r="488" spans="1:3">
      <c r="A488" s="3001" t="s">
        <v>4694</v>
      </c>
      <c r="B488" s="3000" t="s">
        <v>3636</v>
      </c>
      <c r="C488" s="3000">
        <v>38.04</v>
      </c>
    </row>
    <row r="489" spans="1:3">
      <c r="A489" s="3001" t="s">
        <v>4694</v>
      </c>
      <c r="B489" s="3000" t="s">
        <v>3637</v>
      </c>
      <c r="C489" s="3000">
        <v>38.04</v>
      </c>
    </row>
    <row r="490" spans="1:3">
      <c r="A490" s="3001" t="s">
        <v>4694</v>
      </c>
      <c r="B490" s="3000" t="s">
        <v>3638</v>
      </c>
      <c r="C490" s="3000">
        <v>38.04</v>
      </c>
    </row>
    <row r="491" spans="1:3">
      <c r="A491" s="3001" t="s">
        <v>4694</v>
      </c>
      <c r="B491" s="3000" t="s">
        <v>3639</v>
      </c>
      <c r="C491" s="3000">
        <v>38.04</v>
      </c>
    </row>
    <row r="492" spans="1:3">
      <c r="A492" s="3001" t="s">
        <v>4694</v>
      </c>
      <c r="B492" s="3000" t="s">
        <v>3640</v>
      </c>
      <c r="C492" s="3000">
        <v>38.04</v>
      </c>
    </row>
    <row r="493" spans="1:3">
      <c r="A493" s="3001" t="s">
        <v>4694</v>
      </c>
      <c r="B493" s="3000" t="s">
        <v>3641</v>
      </c>
      <c r="C493" s="3000">
        <v>38.04</v>
      </c>
    </row>
    <row r="494" spans="1:3">
      <c r="A494" s="3001" t="s">
        <v>4694</v>
      </c>
      <c r="B494" s="3000" t="s">
        <v>3642</v>
      </c>
      <c r="C494" s="3000">
        <v>38.04</v>
      </c>
    </row>
    <row r="495" spans="1:3">
      <c r="A495" s="3001" t="s">
        <v>4694</v>
      </c>
      <c r="B495" s="3000" t="s">
        <v>3643</v>
      </c>
      <c r="C495" s="3000">
        <v>38.04</v>
      </c>
    </row>
    <row r="496" spans="1:3">
      <c r="A496" s="3001" t="s">
        <v>4694</v>
      </c>
      <c r="B496" s="3000" t="s">
        <v>3644</v>
      </c>
      <c r="C496" s="3000">
        <v>38.04</v>
      </c>
    </row>
    <row r="497" spans="1:3">
      <c r="A497" s="3001" t="s">
        <v>4694</v>
      </c>
      <c r="B497" s="3000" t="s">
        <v>3645</v>
      </c>
      <c r="C497" s="3000">
        <v>38.04</v>
      </c>
    </row>
    <row r="498" spans="1:3">
      <c r="A498" s="3001" t="s">
        <v>4694</v>
      </c>
      <c r="B498" s="3000" t="s">
        <v>3646</v>
      </c>
      <c r="C498" s="3000">
        <v>38.04</v>
      </c>
    </row>
    <row r="499" spans="1:3">
      <c r="A499" s="3001" t="s">
        <v>4694</v>
      </c>
      <c r="B499" s="3000" t="s">
        <v>3647</v>
      </c>
      <c r="C499" s="3000">
        <v>38.04</v>
      </c>
    </row>
    <row r="500" spans="1:3">
      <c r="A500" s="3001" t="s">
        <v>4694</v>
      </c>
      <c r="B500" s="3000" t="s">
        <v>3648</v>
      </c>
      <c r="C500" s="3000">
        <v>38.04</v>
      </c>
    </row>
    <row r="501" spans="1:3">
      <c r="A501" s="3001" t="s">
        <v>4694</v>
      </c>
      <c r="B501" s="3000" t="s">
        <v>3649</v>
      </c>
      <c r="C501" s="3000">
        <v>38.04</v>
      </c>
    </row>
    <row r="502" spans="1:3">
      <c r="A502" s="3001" t="s">
        <v>4694</v>
      </c>
      <c r="B502" s="3000" t="s">
        <v>3650</v>
      </c>
      <c r="C502" s="3000">
        <v>38.04</v>
      </c>
    </row>
    <row r="503" spans="1:3">
      <c r="A503" s="3001" t="s">
        <v>4694</v>
      </c>
      <c r="B503" s="3000" t="s">
        <v>3651</v>
      </c>
      <c r="C503" s="3000">
        <v>38.04</v>
      </c>
    </row>
    <row r="504" spans="1:3">
      <c r="A504" s="3001" t="s">
        <v>4694</v>
      </c>
      <c r="B504" s="3000" t="s">
        <v>3652</v>
      </c>
      <c r="C504" s="3000">
        <v>38.04</v>
      </c>
    </row>
    <row r="505" spans="1:3">
      <c r="A505" s="3001" t="s">
        <v>4694</v>
      </c>
      <c r="B505" s="3000" t="s">
        <v>3653</v>
      </c>
      <c r="C505" s="3000">
        <v>38.04</v>
      </c>
    </row>
    <row r="506" spans="1:3">
      <c r="A506" s="3001" t="s">
        <v>4694</v>
      </c>
      <c r="B506" s="3000" t="s">
        <v>3654</v>
      </c>
      <c r="C506" s="3000">
        <v>38.04</v>
      </c>
    </row>
    <row r="507" spans="1:3">
      <c r="A507" s="3001" t="s">
        <v>4694</v>
      </c>
      <c r="B507" s="3000" t="s">
        <v>3655</v>
      </c>
      <c r="C507" s="3000">
        <v>38.04</v>
      </c>
    </row>
    <row r="508" spans="1:3">
      <c r="A508" s="3001" t="s">
        <v>4694</v>
      </c>
      <c r="B508" s="3000" t="s">
        <v>3656</v>
      </c>
      <c r="C508" s="3000">
        <v>38.04</v>
      </c>
    </row>
    <row r="509" spans="1:3">
      <c r="A509" s="3001" t="s">
        <v>4694</v>
      </c>
      <c r="B509" s="3000" t="s">
        <v>3657</v>
      </c>
      <c r="C509" s="3000">
        <v>38.04</v>
      </c>
    </row>
    <row r="510" spans="1:3">
      <c r="A510" s="3001" t="s">
        <v>4694</v>
      </c>
      <c r="B510" s="3000" t="s">
        <v>3658</v>
      </c>
      <c r="C510" s="3000">
        <v>38.04</v>
      </c>
    </row>
    <row r="511" spans="1:3">
      <c r="A511" s="3001" t="s">
        <v>4694</v>
      </c>
      <c r="B511" s="3000" t="s">
        <v>3659</v>
      </c>
      <c r="C511" s="3000">
        <v>38.04</v>
      </c>
    </row>
    <row r="512" spans="1:3">
      <c r="A512" s="3001" t="s">
        <v>4694</v>
      </c>
      <c r="B512" s="3000" t="s">
        <v>3660</v>
      </c>
      <c r="C512" s="3000">
        <v>38.04</v>
      </c>
    </row>
    <row r="513" spans="1:3">
      <c r="A513" s="3001" t="s">
        <v>4694</v>
      </c>
      <c r="B513" s="3000" t="s">
        <v>3661</v>
      </c>
      <c r="C513" s="3000">
        <v>38.04</v>
      </c>
    </row>
    <row r="514" spans="1:3">
      <c r="A514" s="3001" t="s">
        <v>4694</v>
      </c>
      <c r="B514" s="3000" t="s">
        <v>3662</v>
      </c>
      <c r="C514" s="3000">
        <v>38.04</v>
      </c>
    </row>
    <row r="515" spans="1:3">
      <c r="A515" s="3001" t="s">
        <v>4694</v>
      </c>
      <c r="B515" s="3000" t="s">
        <v>3663</v>
      </c>
      <c r="C515" s="3000">
        <v>38.04</v>
      </c>
    </row>
    <row r="516" spans="1:3">
      <c r="A516" s="3001" t="s">
        <v>4694</v>
      </c>
      <c r="B516" s="3000" t="s">
        <v>3664</v>
      </c>
      <c r="C516" s="3000">
        <v>38.04</v>
      </c>
    </row>
    <row r="517" spans="1:3">
      <c r="A517" s="3001" t="s">
        <v>4694</v>
      </c>
      <c r="B517" s="3000" t="s">
        <v>3665</v>
      </c>
      <c r="C517" s="3000">
        <v>38.04</v>
      </c>
    </row>
    <row r="518" spans="1:3">
      <c r="A518" s="3001" t="s">
        <v>4694</v>
      </c>
      <c r="B518" s="3000" t="s">
        <v>3666</v>
      </c>
      <c r="C518" s="3000">
        <v>38.04</v>
      </c>
    </row>
    <row r="519" spans="1:3">
      <c r="A519" s="3001" t="s">
        <v>4694</v>
      </c>
      <c r="B519" s="3000" t="s">
        <v>3667</v>
      </c>
      <c r="C519" s="3000">
        <v>38.04</v>
      </c>
    </row>
    <row r="520" spans="1:3">
      <c r="A520" s="3001" t="s">
        <v>4694</v>
      </c>
      <c r="B520" s="3000" t="s">
        <v>3668</v>
      </c>
      <c r="C520" s="3000">
        <v>38.04</v>
      </c>
    </row>
    <row r="521" spans="1:3">
      <c r="A521" s="3001" t="s">
        <v>4694</v>
      </c>
      <c r="B521" s="3000" t="s">
        <v>3669</v>
      </c>
      <c r="C521" s="3000">
        <v>38.04</v>
      </c>
    </row>
    <row r="522" spans="1:3">
      <c r="A522" s="3001" t="s">
        <v>4694</v>
      </c>
      <c r="B522" s="3000" t="s">
        <v>3670</v>
      </c>
      <c r="C522" s="3000">
        <v>38.04</v>
      </c>
    </row>
    <row r="523" spans="1:3">
      <c r="A523" s="3001" t="s">
        <v>4694</v>
      </c>
      <c r="B523" s="3000" t="s">
        <v>3671</v>
      </c>
      <c r="C523" s="3000">
        <v>38.04</v>
      </c>
    </row>
    <row r="524" spans="1:3">
      <c r="A524" s="3001" t="s">
        <v>4694</v>
      </c>
      <c r="B524" s="3000" t="s">
        <v>3672</v>
      </c>
      <c r="C524" s="3000">
        <v>38.04</v>
      </c>
    </row>
    <row r="525" spans="1:3">
      <c r="A525" s="3001" t="s">
        <v>4694</v>
      </c>
      <c r="B525" s="3000" t="s">
        <v>3673</v>
      </c>
      <c r="C525" s="3000">
        <v>38.04</v>
      </c>
    </row>
    <row r="526" spans="1:3">
      <c r="A526" s="3001" t="s">
        <v>4694</v>
      </c>
      <c r="B526" s="3000" t="s">
        <v>3674</v>
      </c>
      <c r="C526" s="3000">
        <v>38.04</v>
      </c>
    </row>
    <row r="527" spans="1:3">
      <c r="A527" s="3001" t="s">
        <v>4694</v>
      </c>
      <c r="B527" s="3000" t="s">
        <v>3675</v>
      </c>
      <c r="C527" s="3000">
        <v>38.04</v>
      </c>
    </row>
    <row r="528" spans="1:3">
      <c r="A528" s="3001" t="s">
        <v>4694</v>
      </c>
      <c r="B528" s="3000" t="s">
        <v>3676</v>
      </c>
      <c r="C528" s="3000">
        <v>38.04</v>
      </c>
    </row>
    <row r="529" spans="1:3">
      <c r="A529" s="3001" t="s">
        <v>4694</v>
      </c>
      <c r="B529" s="3000" t="s">
        <v>3677</v>
      </c>
      <c r="C529" s="3000">
        <v>38.04</v>
      </c>
    </row>
    <row r="530" spans="1:3">
      <c r="A530" s="3001" t="s">
        <v>4694</v>
      </c>
      <c r="B530" s="3000" t="s">
        <v>3678</v>
      </c>
      <c r="C530" s="3000">
        <v>38.04</v>
      </c>
    </row>
    <row r="531" spans="1:3">
      <c r="A531" s="3001" t="s">
        <v>4694</v>
      </c>
      <c r="B531" s="3000" t="s">
        <v>3679</v>
      </c>
      <c r="C531" s="3000">
        <v>38.04</v>
      </c>
    </row>
    <row r="532" spans="1:3">
      <c r="A532" s="3001" t="s">
        <v>4694</v>
      </c>
      <c r="B532" s="3000" t="s">
        <v>3680</v>
      </c>
      <c r="C532" s="3000">
        <v>38.04</v>
      </c>
    </row>
    <row r="533" spans="1:3">
      <c r="A533" s="3001" t="s">
        <v>4694</v>
      </c>
      <c r="B533" s="3000" t="s">
        <v>3681</v>
      </c>
      <c r="C533" s="3000">
        <v>38.04</v>
      </c>
    </row>
    <row r="534" spans="1:3">
      <c r="A534" s="3001" t="s">
        <v>4694</v>
      </c>
      <c r="B534" s="3000" t="s">
        <v>3682</v>
      </c>
      <c r="C534" s="3000">
        <v>38.04</v>
      </c>
    </row>
    <row r="535" spans="1:3">
      <c r="A535" s="3001" t="s">
        <v>4694</v>
      </c>
      <c r="B535" s="3000" t="s">
        <v>3683</v>
      </c>
      <c r="C535" s="3000">
        <v>38.04</v>
      </c>
    </row>
    <row r="536" spans="1:3">
      <c r="A536" s="3001" t="s">
        <v>4694</v>
      </c>
      <c r="B536" s="3000" t="s">
        <v>3684</v>
      </c>
      <c r="C536" s="3000">
        <v>38.04</v>
      </c>
    </row>
    <row r="537" spans="1:3">
      <c r="A537" s="3001" t="s">
        <v>4694</v>
      </c>
      <c r="B537" s="3000" t="s">
        <v>3685</v>
      </c>
      <c r="C537" s="3000">
        <v>38.04</v>
      </c>
    </row>
    <row r="538" spans="1:3">
      <c r="A538" s="3001" t="s">
        <v>4694</v>
      </c>
      <c r="B538" s="3000" t="s">
        <v>3686</v>
      </c>
      <c r="C538" s="3000">
        <v>38.04</v>
      </c>
    </row>
    <row r="539" spans="1:3">
      <c r="A539" s="3001" t="s">
        <v>4694</v>
      </c>
      <c r="B539" s="3000" t="s">
        <v>3687</v>
      </c>
      <c r="C539" s="3000">
        <v>38.04</v>
      </c>
    </row>
    <row r="540" spans="1:3">
      <c r="A540" s="3001" t="s">
        <v>4694</v>
      </c>
      <c r="B540" s="3000" t="s">
        <v>3688</v>
      </c>
      <c r="C540" s="3000">
        <v>38.04</v>
      </c>
    </row>
    <row r="541" spans="1:3">
      <c r="A541" s="3001" t="s">
        <v>4694</v>
      </c>
      <c r="B541" s="3000" t="s">
        <v>3689</v>
      </c>
      <c r="C541" s="3000">
        <v>38.04</v>
      </c>
    </row>
    <row r="542" spans="1:3">
      <c r="A542" s="3001" t="s">
        <v>4694</v>
      </c>
      <c r="B542" s="3000" t="s">
        <v>3690</v>
      </c>
      <c r="C542" s="3000">
        <v>38.04</v>
      </c>
    </row>
    <row r="543" spans="1:3">
      <c r="A543" s="3001" t="s">
        <v>4694</v>
      </c>
      <c r="B543" s="3000" t="s">
        <v>3691</v>
      </c>
      <c r="C543" s="3000">
        <v>38.04</v>
      </c>
    </row>
    <row r="544" spans="1:3">
      <c r="A544" s="3001" t="s">
        <v>4694</v>
      </c>
      <c r="B544" s="3000" t="s">
        <v>3692</v>
      </c>
      <c r="C544" s="3000">
        <v>38.04</v>
      </c>
    </row>
    <row r="545" spans="1:3">
      <c r="A545" s="3001" t="s">
        <v>4694</v>
      </c>
      <c r="B545" s="3000" t="s">
        <v>3693</v>
      </c>
      <c r="C545" s="3000">
        <v>38.04</v>
      </c>
    </row>
    <row r="546" spans="1:3">
      <c r="A546" s="3001" t="s">
        <v>4694</v>
      </c>
      <c r="B546" s="3000" t="s">
        <v>3694</v>
      </c>
      <c r="C546" s="3000">
        <v>38.04</v>
      </c>
    </row>
    <row r="547" spans="1:3">
      <c r="A547" s="3001" t="s">
        <v>4694</v>
      </c>
      <c r="B547" s="3000" t="s">
        <v>3695</v>
      </c>
      <c r="C547" s="3000">
        <v>38.04</v>
      </c>
    </row>
    <row r="548" spans="1:3">
      <c r="A548" s="3001" t="s">
        <v>4694</v>
      </c>
      <c r="B548" s="3000" t="s">
        <v>3696</v>
      </c>
      <c r="C548" s="3000">
        <v>38.04</v>
      </c>
    </row>
    <row r="549" spans="1:3">
      <c r="A549" s="3001" t="s">
        <v>4694</v>
      </c>
      <c r="B549" s="3000" t="s">
        <v>3697</v>
      </c>
      <c r="C549" s="3000">
        <v>38.04</v>
      </c>
    </row>
    <row r="550" spans="1:3">
      <c r="A550" s="3001" t="s">
        <v>4694</v>
      </c>
      <c r="B550" s="3000" t="s">
        <v>3698</v>
      </c>
      <c r="C550" s="3000">
        <v>39.19</v>
      </c>
    </row>
    <row r="551" spans="1:3">
      <c r="A551" s="3001" t="s">
        <v>4694</v>
      </c>
      <c r="B551" s="3000" t="s">
        <v>3699</v>
      </c>
      <c r="C551" s="3000">
        <v>39.19</v>
      </c>
    </row>
    <row r="552" spans="1:3">
      <c r="A552" s="3001" t="s">
        <v>4694</v>
      </c>
      <c r="B552" s="3000" t="s">
        <v>3700</v>
      </c>
      <c r="C552" s="3000">
        <v>39.19</v>
      </c>
    </row>
    <row r="553" spans="1:3">
      <c r="A553" s="3001" t="s">
        <v>4694</v>
      </c>
      <c r="B553" s="3000" t="s">
        <v>3701</v>
      </c>
      <c r="C553" s="3000">
        <v>39.19</v>
      </c>
    </row>
    <row r="554" spans="1:3">
      <c r="A554" s="3001" t="s">
        <v>4694</v>
      </c>
      <c r="B554" s="3000" t="s">
        <v>3702</v>
      </c>
      <c r="C554" s="3000">
        <v>39.19</v>
      </c>
    </row>
    <row r="555" spans="1:3">
      <c r="A555" s="3001" t="s">
        <v>4694</v>
      </c>
      <c r="B555" s="3000" t="s">
        <v>3703</v>
      </c>
      <c r="C555" s="3000">
        <v>39.19</v>
      </c>
    </row>
    <row r="556" spans="1:3">
      <c r="A556" s="3001" t="s">
        <v>4694</v>
      </c>
      <c r="B556" s="3000" t="s">
        <v>3704</v>
      </c>
      <c r="C556" s="3000">
        <v>39.19</v>
      </c>
    </row>
    <row r="557" spans="1:3">
      <c r="A557" s="3001" t="s">
        <v>4694</v>
      </c>
      <c r="B557" s="3000" t="s">
        <v>3705</v>
      </c>
      <c r="C557" s="3000">
        <v>39.19</v>
      </c>
    </row>
    <row r="558" spans="1:3">
      <c r="A558" s="3001" t="s">
        <v>4694</v>
      </c>
      <c r="B558" s="3000" t="s">
        <v>3706</v>
      </c>
      <c r="C558" s="3000">
        <v>39.19</v>
      </c>
    </row>
    <row r="559" spans="1:3">
      <c r="A559" s="3001" t="s">
        <v>4694</v>
      </c>
      <c r="B559" s="3000" t="s">
        <v>3707</v>
      </c>
      <c r="C559" s="3000">
        <v>39.19</v>
      </c>
    </row>
    <row r="560" spans="1:3">
      <c r="A560" s="3001" t="s">
        <v>4694</v>
      </c>
      <c r="B560" s="3000" t="s">
        <v>3708</v>
      </c>
      <c r="C560" s="3000">
        <v>39.19</v>
      </c>
    </row>
    <row r="561" spans="1:3">
      <c r="A561" s="3001" t="s">
        <v>4694</v>
      </c>
      <c r="B561" s="3000" t="s">
        <v>3709</v>
      </c>
      <c r="C561" s="3000">
        <v>39.19</v>
      </c>
    </row>
    <row r="562" spans="1:3">
      <c r="A562" s="3001" t="s">
        <v>4694</v>
      </c>
      <c r="B562" s="3000" t="s">
        <v>3710</v>
      </c>
      <c r="C562" s="3000">
        <v>39.19</v>
      </c>
    </row>
    <row r="563" spans="1:3">
      <c r="A563" s="3001" t="s">
        <v>4694</v>
      </c>
      <c r="B563" s="3000" t="s">
        <v>3711</v>
      </c>
      <c r="C563" s="3000">
        <v>39.19</v>
      </c>
    </row>
    <row r="564" spans="1:3">
      <c r="A564" s="3001" t="s">
        <v>4694</v>
      </c>
      <c r="B564" s="3000" t="s">
        <v>3712</v>
      </c>
      <c r="C564" s="3000">
        <v>39.19</v>
      </c>
    </row>
    <row r="565" spans="1:3">
      <c r="A565" s="3001" t="s">
        <v>4694</v>
      </c>
      <c r="B565" s="3000" t="s">
        <v>3713</v>
      </c>
      <c r="C565" s="3000">
        <v>39.19</v>
      </c>
    </row>
    <row r="566" spans="1:3">
      <c r="A566" s="3001" t="s">
        <v>4694</v>
      </c>
      <c r="B566" s="3000" t="s">
        <v>3714</v>
      </c>
      <c r="C566" s="3000">
        <v>39.19</v>
      </c>
    </row>
    <row r="567" spans="1:3">
      <c r="A567" s="3001" t="s">
        <v>4694</v>
      </c>
      <c r="B567" s="3000" t="s">
        <v>3715</v>
      </c>
      <c r="C567" s="3000">
        <v>39.19</v>
      </c>
    </row>
    <row r="568" spans="1:3">
      <c r="A568" s="3001" t="s">
        <v>4694</v>
      </c>
      <c r="B568" s="3000" t="s">
        <v>3716</v>
      </c>
      <c r="C568" s="3000">
        <v>39.19</v>
      </c>
    </row>
    <row r="569" spans="1:3">
      <c r="A569" s="3001" t="s">
        <v>4694</v>
      </c>
      <c r="B569" s="3000" t="s">
        <v>3717</v>
      </c>
      <c r="C569" s="3000">
        <v>39.19</v>
      </c>
    </row>
    <row r="570" spans="1:3">
      <c r="A570" s="3001" t="s">
        <v>4694</v>
      </c>
      <c r="B570" s="3000" t="s">
        <v>3718</v>
      </c>
      <c r="C570" s="3000">
        <v>39.19</v>
      </c>
    </row>
    <row r="571" spans="1:3">
      <c r="A571" s="3001" t="s">
        <v>4694</v>
      </c>
      <c r="B571" s="3000" t="s">
        <v>3719</v>
      </c>
      <c r="C571" s="3000">
        <v>39.19</v>
      </c>
    </row>
    <row r="572" spans="1:3">
      <c r="A572" s="3001" t="s">
        <v>4694</v>
      </c>
      <c r="B572" s="3000" t="s">
        <v>3720</v>
      </c>
      <c r="C572" s="3000">
        <v>39.19</v>
      </c>
    </row>
    <row r="573" spans="1:3">
      <c r="A573" s="3001" t="s">
        <v>4694</v>
      </c>
      <c r="B573" s="3000" t="s">
        <v>3721</v>
      </c>
      <c r="C573" s="3000">
        <v>39.19</v>
      </c>
    </row>
    <row r="574" spans="1:3">
      <c r="A574" s="3001" t="s">
        <v>4694</v>
      </c>
      <c r="B574" s="3000" t="s">
        <v>3722</v>
      </c>
      <c r="C574" s="3000">
        <v>39.19</v>
      </c>
    </row>
    <row r="575" spans="1:3">
      <c r="A575" s="3001" t="s">
        <v>4694</v>
      </c>
      <c r="B575" s="3000" t="s">
        <v>3723</v>
      </c>
      <c r="C575" s="3000">
        <v>39.19</v>
      </c>
    </row>
    <row r="576" spans="1:3">
      <c r="A576" s="3001" t="s">
        <v>4694</v>
      </c>
      <c r="B576" s="3000" t="s">
        <v>3724</v>
      </c>
      <c r="C576" s="3000">
        <v>39.19</v>
      </c>
    </row>
    <row r="577" spans="1:3">
      <c r="A577" s="3001" t="s">
        <v>4694</v>
      </c>
      <c r="B577" s="3000" t="s">
        <v>3725</v>
      </c>
      <c r="C577" s="3000">
        <v>39.19</v>
      </c>
    </row>
    <row r="578" spans="1:3">
      <c r="A578" s="3001" t="s">
        <v>4694</v>
      </c>
      <c r="B578" s="3000" t="s">
        <v>3726</v>
      </c>
      <c r="C578" s="3000">
        <v>39.19</v>
      </c>
    </row>
    <row r="579" spans="1:3">
      <c r="A579" s="3001" t="s">
        <v>4694</v>
      </c>
      <c r="B579" s="3000" t="s">
        <v>3727</v>
      </c>
      <c r="C579" s="3000">
        <v>39.19</v>
      </c>
    </row>
    <row r="580" spans="1:3">
      <c r="A580" s="3001" t="s">
        <v>4694</v>
      </c>
      <c r="B580" s="3000" t="s">
        <v>3728</v>
      </c>
      <c r="C580" s="3000">
        <v>39.19</v>
      </c>
    </row>
    <row r="581" spans="1:3">
      <c r="A581" s="3001" t="s">
        <v>4694</v>
      </c>
      <c r="B581" s="3000" t="s">
        <v>3729</v>
      </c>
      <c r="C581" s="3000">
        <v>39.19</v>
      </c>
    </row>
    <row r="582" spans="1:3">
      <c r="A582" s="3001" t="s">
        <v>4694</v>
      </c>
      <c r="B582" s="3000" t="s">
        <v>3730</v>
      </c>
      <c r="C582" s="3000">
        <v>39.19</v>
      </c>
    </row>
    <row r="583" spans="1:3">
      <c r="A583" s="3001" t="s">
        <v>4694</v>
      </c>
      <c r="B583" s="3000" t="s">
        <v>3731</v>
      </c>
      <c r="C583" s="3000">
        <v>39.19</v>
      </c>
    </row>
    <row r="584" spans="1:3">
      <c r="A584" s="3001" t="s">
        <v>4694</v>
      </c>
      <c r="B584" s="3000" t="s">
        <v>3732</v>
      </c>
      <c r="C584" s="3000">
        <v>39.19</v>
      </c>
    </row>
    <row r="585" spans="1:3">
      <c r="A585" s="3001" t="s">
        <v>4694</v>
      </c>
      <c r="B585" s="3000" t="s">
        <v>3733</v>
      </c>
      <c r="C585" s="3000">
        <v>39.19</v>
      </c>
    </row>
    <row r="586" spans="1:3">
      <c r="A586" s="3001" t="s">
        <v>4694</v>
      </c>
      <c r="B586" s="3000" t="s">
        <v>3734</v>
      </c>
      <c r="C586" s="3000">
        <v>39.19</v>
      </c>
    </row>
    <row r="587" spans="1:3">
      <c r="A587" s="3001" t="s">
        <v>4694</v>
      </c>
      <c r="B587" s="3000" t="s">
        <v>3735</v>
      </c>
      <c r="C587" s="3000">
        <v>39.19</v>
      </c>
    </row>
    <row r="588" spans="1:3">
      <c r="A588" s="3001" t="s">
        <v>4694</v>
      </c>
      <c r="B588" s="3000" t="s">
        <v>3736</v>
      </c>
      <c r="C588" s="3000">
        <v>39.19</v>
      </c>
    </row>
    <row r="589" spans="1:3">
      <c r="A589" s="3001" t="s">
        <v>4694</v>
      </c>
      <c r="B589" s="3000" t="s">
        <v>3737</v>
      </c>
      <c r="C589" s="3000">
        <v>39.19</v>
      </c>
    </row>
    <row r="590" spans="1:3">
      <c r="A590" s="3001" t="s">
        <v>4694</v>
      </c>
      <c r="B590" s="3000" t="s">
        <v>3738</v>
      </c>
      <c r="C590" s="3000">
        <v>39.19</v>
      </c>
    </row>
    <row r="591" spans="1:3">
      <c r="A591" s="3001" t="s">
        <v>4694</v>
      </c>
      <c r="B591" s="3000" t="s">
        <v>3739</v>
      </c>
      <c r="C591" s="3000">
        <v>39.19</v>
      </c>
    </row>
    <row r="592" spans="1:3">
      <c r="A592" s="3001" t="s">
        <v>4694</v>
      </c>
      <c r="B592" s="3000" t="s">
        <v>3740</v>
      </c>
      <c r="C592" s="3000">
        <v>39.19</v>
      </c>
    </row>
    <row r="593" spans="1:3">
      <c r="A593" s="3001" t="s">
        <v>4694</v>
      </c>
      <c r="B593" s="3000" t="s">
        <v>3741</v>
      </c>
      <c r="C593" s="3000">
        <v>39.19</v>
      </c>
    </row>
    <row r="594" spans="1:3">
      <c r="A594" s="3001" t="s">
        <v>4694</v>
      </c>
      <c r="B594" s="3000" t="s">
        <v>3742</v>
      </c>
      <c r="C594" s="3000">
        <v>39.19</v>
      </c>
    </row>
    <row r="595" spans="1:3">
      <c r="A595" s="3001" t="s">
        <v>4694</v>
      </c>
      <c r="B595" s="3000" t="s">
        <v>3743</v>
      </c>
      <c r="C595" s="3000">
        <v>39.19</v>
      </c>
    </row>
    <row r="596" spans="1:3">
      <c r="A596" s="3001" t="s">
        <v>4694</v>
      </c>
      <c r="B596" s="3000" t="s">
        <v>3744</v>
      </c>
      <c r="C596" s="3000">
        <v>39.19</v>
      </c>
    </row>
    <row r="597" spans="1:3">
      <c r="A597" s="3001" t="s">
        <v>4694</v>
      </c>
      <c r="B597" s="3000" t="s">
        <v>3745</v>
      </c>
      <c r="C597" s="3000">
        <v>39.19</v>
      </c>
    </row>
    <row r="598" spans="1:3">
      <c r="A598" s="3001" t="s">
        <v>4694</v>
      </c>
      <c r="B598" s="3000" t="s">
        <v>3746</v>
      </c>
      <c r="C598" s="3000">
        <v>39.19</v>
      </c>
    </row>
    <row r="599" spans="1:3">
      <c r="A599" s="3001" t="s">
        <v>4694</v>
      </c>
      <c r="B599" s="3000" t="s">
        <v>3747</v>
      </c>
      <c r="C599" s="3000">
        <v>39.19</v>
      </c>
    </row>
    <row r="600" spans="1:3">
      <c r="A600" s="3001" t="s">
        <v>4694</v>
      </c>
      <c r="B600" s="3000" t="s">
        <v>3748</v>
      </c>
      <c r="C600" s="3000">
        <v>39.19</v>
      </c>
    </row>
    <row r="601" spans="1:3">
      <c r="A601" s="3001" t="s">
        <v>4694</v>
      </c>
      <c r="B601" s="3000" t="s">
        <v>3749</v>
      </c>
      <c r="C601" s="3000">
        <v>39.19</v>
      </c>
    </row>
    <row r="602" spans="1:3">
      <c r="A602" s="3001" t="s">
        <v>4694</v>
      </c>
      <c r="B602" s="3000" t="s">
        <v>3750</v>
      </c>
      <c r="C602" s="3000">
        <v>39.19</v>
      </c>
    </row>
    <row r="603" spans="1:3">
      <c r="A603" s="3001" t="s">
        <v>4694</v>
      </c>
      <c r="B603" s="3000" t="s">
        <v>3751</v>
      </c>
      <c r="C603" s="3000">
        <v>39.19</v>
      </c>
    </row>
    <row r="604" spans="1:3">
      <c r="A604" s="3001" t="s">
        <v>4694</v>
      </c>
      <c r="B604" s="3000" t="s">
        <v>3752</v>
      </c>
      <c r="C604" s="3000">
        <v>39.19</v>
      </c>
    </row>
    <row r="605" spans="1:3">
      <c r="A605" s="3001" t="s">
        <v>4694</v>
      </c>
      <c r="B605" s="3000" t="s">
        <v>3753</v>
      </c>
      <c r="C605" s="3000">
        <v>39.19</v>
      </c>
    </row>
    <row r="606" spans="1:3">
      <c r="A606" s="3001" t="s">
        <v>4694</v>
      </c>
      <c r="B606" s="3000" t="s">
        <v>3754</v>
      </c>
      <c r="C606" s="3000">
        <v>39.19</v>
      </c>
    </row>
    <row r="607" spans="1:3">
      <c r="A607" s="3001" t="s">
        <v>4694</v>
      </c>
      <c r="B607" s="3000" t="s">
        <v>3755</v>
      </c>
      <c r="C607" s="3000">
        <v>39.19</v>
      </c>
    </row>
    <row r="608" spans="1:3">
      <c r="A608" s="3001" t="s">
        <v>4694</v>
      </c>
      <c r="B608" s="3000" t="s">
        <v>3756</v>
      </c>
      <c r="C608" s="3000">
        <v>39.19</v>
      </c>
    </row>
    <row r="609" spans="1:3">
      <c r="A609" s="3001" t="s">
        <v>4694</v>
      </c>
      <c r="B609" s="3000" t="s">
        <v>3757</v>
      </c>
      <c r="C609" s="3000">
        <v>39.19</v>
      </c>
    </row>
    <row r="610" spans="1:3">
      <c r="A610" s="3001" t="s">
        <v>4694</v>
      </c>
      <c r="B610" s="3000" t="s">
        <v>3758</v>
      </c>
      <c r="C610" s="3000">
        <v>39.19</v>
      </c>
    </row>
    <row r="611" spans="1:3">
      <c r="A611" s="3001" t="s">
        <v>4694</v>
      </c>
      <c r="B611" s="3000" t="s">
        <v>3759</v>
      </c>
      <c r="C611" s="3000">
        <v>39.19</v>
      </c>
    </row>
    <row r="612" spans="1:3">
      <c r="A612" s="3001" t="s">
        <v>4694</v>
      </c>
      <c r="B612" s="3000" t="s">
        <v>3760</v>
      </c>
      <c r="C612" s="3000">
        <v>39.19</v>
      </c>
    </row>
    <row r="613" spans="1:3">
      <c r="A613" s="3001" t="s">
        <v>4694</v>
      </c>
      <c r="B613" s="3000" t="s">
        <v>3761</v>
      </c>
      <c r="C613" s="3000">
        <v>39.19</v>
      </c>
    </row>
    <row r="614" spans="1:3">
      <c r="A614" s="3001" t="s">
        <v>4694</v>
      </c>
      <c r="B614" s="3000" t="s">
        <v>3762</v>
      </c>
      <c r="C614" s="3000">
        <v>39.19</v>
      </c>
    </row>
    <row r="615" spans="1:3">
      <c r="A615" s="3001" t="s">
        <v>4694</v>
      </c>
      <c r="B615" s="3000" t="s">
        <v>3763</v>
      </c>
      <c r="C615" s="3000">
        <v>39.19</v>
      </c>
    </row>
    <row r="616" spans="1:3">
      <c r="A616" s="3001" t="s">
        <v>4694</v>
      </c>
      <c r="B616" s="3000" t="s">
        <v>3764</v>
      </c>
      <c r="C616" s="3000">
        <v>39.19</v>
      </c>
    </row>
    <row r="617" spans="1:3">
      <c r="A617" s="3001" t="s">
        <v>4694</v>
      </c>
      <c r="B617" s="3000" t="s">
        <v>3765</v>
      </c>
      <c r="C617" s="3000">
        <v>39.19</v>
      </c>
    </row>
    <row r="618" spans="1:3">
      <c r="A618" s="3001" t="s">
        <v>4694</v>
      </c>
      <c r="B618" s="3000" t="s">
        <v>3766</v>
      </c>
      <c r="C618" s="3000">
        <v>39.19</v>
      </c>
    </row>
    <row r="619" spans="1:3">
      <c r="A619" s="3001" t="s">
        <v>4694</v>
      </c>
      <c r="B619" s="3000" t="s">
        <v>3767</v>
      </c>
      <c r="C619" s="3000">
        <v>39.19</v>
      </c>
    </row>
    <row r="620" spans="1:3">
      <c r="A620" s="3001" t="s">
        <v>4694</v>
      </c>
      <c r="B620" s="3000" t="s">
        <v>3768</v>
      </c>
      <c r="C620" s="3000">
        <v>39.19</v>
      </c>
    </row>
    <row r="621" spans="1:3">
      <c r="A621" s="3001" t="s">
        <v>4694</v>
      </c>
      <c r="B621" s="3000" t="s">
        <v>3769</v>
      </c>
      <c r="C621" s="3000">
        <v>39.19</v>
      </c>
    </row>
    <row r="622" spans="1:3">
      <c r="A622" s="3001" t="s">
        <v>4694</v>
      </c>
      <c r="B622" s="3000" t="s">
        <v>3770</v>
      </c>
      <c r="C622" s="3000">
        <v>39.19</v>
      </c>
    </row>
    <row r="623" spans="1:3">
      <c r="A623" s="3001" t="s">
        <v>4694</v>
      </c>
      <c r="B623" s="3000" t="s">
        <v>3771</v>
      </c>
      <c r="C623" s="3000">
        <v>39.19</v>
      </c>
    </row>
    <row r="624" spans="1:3">
      <c r="A624" s="3001" t="s">
        <v>4694</v>
      </c>
      <c r="B624" s="3000" t="s">
        <v>3772</v>
      </c>
      <c r="C624" s="3000">
        <v>39.19</v>
      </c>
    </row>
    <row r="625" spans="1:3">
      <c r="A625" s="3001" t="s">
        <v>4694</v>
      </c>
      <c r="B625" s="3000" t="s">
        <v>3773</v>
      </c>
      <c r="C625" s="3000">
        <v>39.19</v>
      </c>
    </row>
    <row r="626" spans="1:3">
      <c r="A626" s="3001" t="s">
        <v>4694</v>
      </c>
      <c r="B626" s="3000" t="s">
        <v>3774</v>
      </c>
      <c r="C626" s="3000">
        <v>39.19</v>
      </c>
    </row>
    <row r="627" spans="1:3">
      <c r="A627" s="3001" t="s">
        <v>4694</v>
      </c>
      <c r="B627" s="3000" t="s">
        <v>3775</v>
      </c>
      <c r="C627" s="3000">
        <v>39.19</v>
      </c>
    </row>
    <row r="628" spans="1:3">
      <c r="A628" s="3001" t="s">
        <v>4694</v>
      </c>
      <c r="B628" s="3000" t="s">
        <v>3776</v>
      </c>
      <c r="C628" s="3000">
        <v>39.19</v>
      </c>
    </row>
    <row r="629" spans="1:3">
      <c r="A629" s="3001" t="s">
        <v>4694</v>
      </c>
      <c r="B629" s="3000" t="s">
        <v>3777</v>
      </c>
      <c r="C629" s="3000">
        <v>39.19</v>
      </c>
    </row>
    <row r="630" spans="1:3">
      <c r="A630" s="3001" t="s">
        <v>4694</v>
      </c>
      <c r="B630" s="3000" t="s">
        <v>3778</v>
      </c>
      <c r="C630" s="3000">
        <v>39.19</v>
      </c>
    </row>
    <row r="631" spans="1:3">
      <c r="A631" s="3001" t="s">
        <v>4694</v>
      </c>
      <c r="B631" s="3000" t="s">
        <v>3779</v>
      </c>
      <c r="C631" s="3000">
        <v>39.19</v>
      </c>
    </row>
    <row r="632" spans="1:3">
      <c r="A632" s="3001" t="s">
        <v>4694</v>
      </c>
      <c r="B632" s="3000" t="s">
        <v>3780</v>
      </c>
      <c r="C632" s="3000">
        <v>39.19</v>
      </c>
    </row>
    <row r="633" spans="1:3">
      <c r="A633" s="3001" t="s">
        <v>4694</v>
      </c>
      <c r="B633" s="3000" t="s">
        <v>3781</v>
      </c>
      <c r="C633" s="3000">
        <v>39.19</v>
      </c>
    </row>
    <row r="634" spans="1:3">
      <c r="A634" s="3001" t="s">
        <v>4694</v>
      </c>
      <c r="B634" s="3000" t="s">
        <v>3782</v>
      </c>
      <c r="C634" s="3000">
        <v>39.19</v>
      </c>
    </row>
    <row r="635" spans="1:3">
      <c r="A635" s="3001" t="s">
        <v>4694</v>
      </c>
      <c r="B635" s="3000" t="s">
        <v>3783</v>
      </c>
      <c r="C635" s="3000">
        <v>39.19</v>
      </c>
    </row>
    <row r="636" spans="1:3">
      <c r="A636" s="3001" t="s">
        <v>4694</v>
      </c>
      <c r="B636" s="3000" t="s">
        <v>3784</v>
      </c>
      <c r="C636" s="3000">
        <v>39.19</v>
      </c>
    </row>
    <row r="637" spans="1:3">
      <c r="A637" s="3001" t="s">
        <v>4694</v>
      </c>
      <c r="B637" s="3000" t="s">
        <v>3785</v>
      </c>
      <c r="C637" s="3000">
        <v>39.19</v>
      </c>
    </row>
    <row r="638" spans="1:3">
      <c r="A638" s="3001" t="s">
        <v>4694</v>
      </c>
      <c r="B638" s="3000" t="s">
        <v>3786</v>
      </c>
      <c r="C638" s="3000">
        <v>39.19</v>
      </c>
    </row>
    <row r="639" spans="1:3">
      <c r="A639" s="3001" t="s">
        <v>4694</v>
      </c>
      <c r="B639" s="3000" t="s">
        <v>3787</v>
      </c>
      <c r="C639" s="3000">
        <v>39.19</v>
      </c>
    </row>
    <row r="640" spans="1:3">
      <c r="A640" s="3001" t="s">
        <v>4694</v>
      </c>
      <c r="B640" s="3000" t="s">
        <v>3788</v>
      </c>
      <c r="C640" s="3000">
        <v>39.19</v>
      </c>
    </row>
    <row r="641" spans="1:3">
      <c r="A641" s="3001" t="s">
        <v>4694</v>
      </c>
      <c r="B641" s="3000" t="s">
        <v>3789</v>
      </c>
      <c r="C641" s="3000">
        <v>39.19</v>
      </c>
    </row>
    <row r="642" spans="1:3">
      <c r="A642" s="3001" t="s">
        <v>4694</v>
      </c>
      <c r="B642" s="3000" t="s">
        <v>3790</v>
      </c>
      <c r="C642" s="3000">
        <v>39.19</v>
      </c>
    </row>
    <row r="643" spans="1:3">
      <c r="A643" s="3001" t="s">
        <v>4694</v>
      </c>
      <c r="B643" s="3000" t="s">
        <v>3791</v>
      </c>
      <c r="C643" s="3000">
        <v>39.19</v>
      </c>
    </row>
    <row r="644" spans="1:3">
      <c r="A644" s="3001" t="s">
        <v>4694</v>
      </c>
      <c r="B644" s="3000" t="s">
        <v>3792</v>
      </c>
      <c r="C644" s="3000">
        <v>39.19</v>
      </c>
    </row>
    <row r="645" spans="1:3">
      <c r="A645" s="3001" t="s">
        <v>4694</v>
      </c>
      <c r="B645" s="3000" t="s">
        <v>3793</v>
      </c>
      <c r="C645" s="3000">
        <v>39.19</v>
      </c>
    </row>
    <row r="646" spans="1:3">
      <c r="A646" s="3001" t="s">
        <v>4694</v>
      </c>
      <c r="B646" s="3000" t="s">
        <v>3794</v>
      </c>
      <c r="C646" s="3000">
        <v>39.19</v>
      </c>
    </row>
    <row r="647" spans="1:3">
      <c r="A647" s="3001" t="s">
        <v>4694</v>
      </c>
      <c r="B647" s="3000" t="s">
        <v>3795</v>
      </c>
      <c r="C647" s="3000">
        <v>39.19</v>
      </c>
    </row>
    <row r="648" spans="1:3">
      <c r="A648" s="3001" t="s">
        <v>4694</v>
      </c>
      <c r="B648" s="3000" t="s">
        <v>3796</v>
      </c>
      <c r="C648" s="3000">
        <v>39.19</v>
      </c>
    </row>
    <row r="649" spans="1:3">
      <c r="A649" s="3001" t="s">
        <v>4694</v>
      </c>
      <c r="B649" s="3000" t="s">
        <v>3797</v>
      </c>
      <c r="C649" s="3000">
        <v>39.19</v>
      </c>
    </row>
    <row r="650" spans="1:3">
      <c r="A650" s="3001" t="s">
        <v>4694</v>
      </c>
      <c r="B650" s="3000" t="s">
        <v>3798</v>
      </c>
      <c r="C650" s="3000">
        <v>39.19</v>
      </c>
    </row>
    <row r="651" spans="1:3">
      <c r="A651" s="3001" t="s">
        <v>4694</v>
      </c>
      <c r="B651" s="3000" t="s">
        <v>3799</v>
      </c>
      <c r="C651" s="3000">
        <v>39.19</v>
      </c>
    </row>
    <row r="652" spans="1:3">
      <c r="A652" s="3001" t="s">
        <v>4694</v>
      </c>
      <c r="B652" s="3000" t="s">
        <v>3800</v>
      </c>
      <c r="C652" s="3000">
        <v>39.19</v>
      </c>
    </row>
    <row r="653" spans="1:3">
      <c r="A653" s="3001" t="s">
        <v>4694</v>
      </c>
      <c r="B653" s="3000" t="s">
        <v>3801</v>
      </c>
      <c r="C653" s="3000">
        <v>39.19</v>
      </c>
    </row>
    <row r="654" spans="1:3">
      <c r="A654" s="3001" t="s">
        <v>4694</v>
      </c>
      <c r="B654" s="3000" t="s">
        <v>3802</v>
      </c>
      <c r="C654" s="3000">
        <v>39.19</v>
      </c>
    </row>
    <row r="655" spans="1:3">
      <c r="A655" s="3001" t="s">
        <v>4694</v>
      </c>
      <c r="B655" s="3000" t="s">
        <v>3803</v>
      </c>
      <c r="C655" s="3000">
        <v>39.19</v>
      </c>
    </row>
    <row r="656" spans="1:3">
      <c r="A656" s="3001" t="s">
        <v>4694</v>
      </c>
      <c r="B656" s="3000" t="s">
        <v>3804</v>
      </c>
      <c r="C656" s="3000">
        <v>39.19</v>
      </c>
    </row>
    <row r="657" spans="1:3">
      <c r="A657" s="3001" t="s">
        <v>4694</v>
      </c>
      <c r="B657" s="3000" t="s">
        <v>3805</v>
      </c>
      <c r="C657" s="3000">
        <v>39.19</v>
      </c>
    </row>
    <row r="658" spans="1:3">
      <c r="A658" s="3001" t="s">
        <v>4694</v>
      </c>
      <c r="B658" s="3000" t="s">
        <v>3806</v>
      </c>
      <c r="C658" s="3000">
        <v>39.19</v>
      </c>
    </row>
    <row r="659" spans="1:3">
      <c r="A659" s="3001" t="s">
        <v>4694</v>
      </c>
      <c r="B659" s="3000" t="s">
        <v>3807</v>
      </c>
      <c r="C659" s="3000">
        <v>39.19</v>
      </c>
    </row>
    <row r="660" spans="1:3">
      <c r="A660" s="3001" t="s">
        <v>4694</v>
      </c>
      <c r="B660" s="3000" t="s">
        <v>3808</v>
      </c>
      <c r="C660" s="3000">
        <v>39.19</v>
      </c>
    </row>
    <row r="661" spans="1:3">
      <c r="A661" s="3001" t="s">
        <v>4694</v>
      </c>
      <c r="B661" s="3000" t="s">
        <v>3809</v>
      </c>
      <c r="C661" s="3000">
        <v>39.19</v>
      </c>
    </row>
    <row r="662" spans="1:3">
      <c r="A662" s="3001" t="s">
        <v>4694</v>
      </c>
      <c r="B662" s="3000" t="s">
        <v>3810</v>
      </c>
      <c r="C662" s="3000">
        <v>39.19</v>
      </c>
    </row>
    <row r="663" spans="1:3">
      <c r="A663" s="3001" t="s">
        <v>4694</v>
      </c>
      <c r="B663" s="3000" t="s">
        <v>3811</v>
      </c>
      <c r="C663" s="3000">
        <v>39.19</v>
      </c>
    </row>
    <row r="664" spans="1:3">
      <c r="A664" s="3001" t="s">
        <v>4694</v>
      </c>
      <c r="B664" s="3000" t="s">
        <v>3812</v>
      </c>
      <c r="C664" s="3000">
        <v>39.19</v>
      </c>
    </row>
    <row r="665" spans="1:3">
      <c r="A665" s="3001" t="s">
        <v>4694</v>
      </c>
      <c r="B665" s="3000" t="s">
        <v>3813</v>
      </c>
      <c r="C665" s="3000">
        <v>39.19</v>
      </c>
    </row>
    <row r="666" spans="1:3">
      <c r="A666" s="3001" t="s">
        <v>4694</v>
      </c>
      <c r="B666" s="3000" t="s">
        <v>3814</v>
      </c>
      <c r="C666" s="3000">
        <v>39.19</v>
      </c>
    </row>
    <row r="667" spans="1:3">
      <c r="A667" s="3001" t="s">
        <v>4694</v>
      </c>
      <c r="B667" s="3000" t="s">
        <v>3815</v>
      </c>
      <c r="C667" s="3000">
        <v>39.19</v>
      </c>
    </row>
    <row r="668" spans="1:3">
      <c r="A668" s="3001" t="s">
        <v>4694</v>
      </c>
      <c r="B668" s="3000" t="s">
        <v>3816</v>
      </c>
      <c r="C668" s="3000">
        <v>39.19</v>
      </c>
    </row>
    <row r="669" spans="1:3">
      <c r="A669" s="3001" t="s">
        <v>4694</v>
      </c>
      <c r="B669" s="3000" t="s">
        <v>3817</v>
      </c>
      <c r="C669" s="3000">
        <v>39.19</v>
      </c>
    </row>
    <row r="670" spans="1:3">
      <c r="A670" s="3001" t="s">
        <v>4694</v>
      </c>
      <c r="B670" s="3000" t="s">
        <v>3818</v>
      </c>
      <c r="C670" s="3000">
        <v>39.19</v>
      </c>
    </row>
    <row r="671" spans="1:3">
      <c r="A671" s="3001" t="s">
        <v>4694</v>
      </c>
      <c r="B671" s="3000" t="s">
        <v>3819</v>
      </c>
      <c r="C671" s="3000">
        <v>39.19</v>
      </c>
    </row>
    <row r="672" spans="1:3">
      <c r="A672" s="3001" t="s">
        <v>4694</v>
      </c>
      <c r="B672" s="3000" t="s">
        <v>3820</v>
      </c>
      <c r="C672" s="3000">
        <v>39.19</v>
      </c>
    </row>
    <row r="673" spans="1:3">
      <c r="A673" s="3001" t="s">
        <v>4694</v>
      </c>
      <c r="B673" s="3000" t="s">
        <v>3821</v>
      </c>
      <c r="C673" s="3000">
        <v>39.19</v>
      </c>
    </row>
    <row r="674" spans="1:3">
      <c r="A674" s="3001" t="s">
        <v>4694</v>
      </c>
      <c r="B674" s="3000" t="s">
        <v>3822</v>
      </c>
      <c r="C674" s="3000">
        <v>39.19</v>
      </c>
    </row>
    <row r="675" spans="1:3">
      <c r="A675" s="3001" t="s">
        <v>4694</v>
      </c>
      <c r="B675" s="3000" t="s">
        <v>3823</v>
      </c>
      <c r="C675" s="3000">
        <v>39.19</v>
      </c>
    </row>
    <row r="676" spans="1:3">
      <c r="A676" s="3001" t="s">
        <v>4694</v>
      </c>
      <c r="B676" s="3000" t="s">
        <v>3824</v>
      </c>
      <c r="C676" s="3000">
        <v>39.19</v>
      </c>
    </row>
    <row r="677" spans="1:3">
      <c r="A677" s="3001" t="s">
        <v>4694</v>
      </c>
      <c r="B677" s="3000" t="s">
        <v>3825</v>
      </c>
      <c r="C677" s="3000">
        <v>39.19</v>
      </c>
    </row>
    <row r="678" spans="1:3">
      <c r="A678" s="3001" t="s">
        <v>4694</v>
      </c>
      <c r="B678" s="3000" t="s">
        <v>3826</v>
      </c>
      <c r="C678" s="3000">
        <v>39.19</v>
      </c>
    </row>
    <row r="679" spans="1:3">
      <c r="A679" s="3001" t="s">
        <v>4694</v>
      </c>
      <c r="B679" s="3000" t="s">
        <v>3827</v>
      </c>
      <c r="C679" s="3000">
        <v>58</v>
      </c>
    </row>
    <row r="680" spans="1:3">
      <c r="A680" s="3001" t="s">
        <v>4694</v>
      </c>
      <c r="B680" s="3000" t="s">
        <v>3828</v>
      </c>
      <c r="C680" s="3000">
        <v>39.19</v>
      </c>
    </row>
    <row r="681" spans="1:3">
      <c r="A681" s="3001" t="s">
        <v>4694</v>
      </c>
      <c r="B681" s="3000" t="s">
        <v>3829</v>
      </c>
      <c r="C681" s="3000">
        <v>39.19</v>
      </c>
    </row>
    <row r="682" spans="1:3">
      <c r="A682" s="3001" t="s">
        <v>4694</v>
      </c>
      <c r="B682" s="3000" t="s">
        <v>3830</v>
      </c>
      <c r="C682" s="3000">
        <v>39.19</v>
      </c>
    </row>
    <row r="683" spans="1:3">
      <c r="A683" s="3001" t="s">
        <v>4694</v>
      </c>
      <c r="B683" s="3000" t="s">
        <v>3831</v>
      </c>
      <c r="C683" s="3000">
        <v>39.19</v>
      </c>
    </row>
    <row r="684" spans="1:3">
      <c r="A684" s="3001" t="s">
        <v>4694</v>
      </c>
      <c r="B684" s="3000" t="s">
        <v>3832</v>
      </c>
      <c r="C684" s="3000">
        <v>39.19</v>
      </c>
    </row>
    <row r="685" spans="1:3">
      <c r="A685" s="3001" t="s">
        <v>4694</v>
      </c>
      <c r="B685" s="3000" t="s">
        <v>3833</v>
      </c>
      <c r="C685" s="3000">
        <v>39.19</v>
      </c>
    </row>
    <row r="686" spans="1:3">
      <c r="A686" s="3001" t="s">
        <v>4694</v>
      </c>
      <c r="B686" s="3000" t="s">
        <v>3834</v>
      </c>
      <c r="C686" s="3000">
        <v>39.19</v>
      </c>
    </row>
    <row r="687" spans="1:3">
      <c r="A687" s="3001" t="s">
        <v>4694</v>
      </c>
      <c r="B687" s="3000" t="s">
        <v>3835</v>
      </c>
      <c r="C687" s="3000">
        <v>39.19</v>
      </c>
    </row>
    <row r="688" spans="1:3">
      <c r="A688" s="3001" t="s">
        <v>4694</v>
      </c>
      <c r="B688" s="3000" t="s">
        <v>3836</v>
      </c>
      <c r="C688" s="3000">
        <v>39.19</v>
      </c>
    </row>
    <row r="689" spans="1:3">
      <c r="A689" s="3001" t="s">
        <v>4694</v>
      </c>
      <c r="B689" s="3000" t="s">
        <v>3837</v>
      </c>
      <c r="C689" s="3000">
        <v>39.19</v>
      </c>
    </row>
    <row r="690" spans="1:3">
      <c r="A690" s="3001" t="s">
        <v>4694</v>
      </c>
      <c r="B690" s="3000" t="s">
        <v>3838</v>
      </c>
      <c r="C690" s="3000">
        <v>39.19</v>
      </c>
    </row>
    <row r="691" spans="1:3">
      <c r="A691" s="3001" t="s">
        <v>4694</v>
      </c>
      <c r="B691" s="3000" t="s">
        <v>3839</v>
      </c>
      <c r="C691" s="3000">
        <v>39.19</v>
      </c>
    </row>
    <row r="692" spans="1:3">
      <c r="A692" s="3001" t="s">
        <v>4694</v>
      </c>
      <c r="B692" s="3000" t="s">
        <v>3840</v>
      </c>
      <c r="C692" s="3000">
        <v>39.19</v>
      </c>
    </row>
    <row r="693" spans="1:3">
      <c r="A693" s="3001" t="s">
        <v>4694</v>
      </c>
      <c r="B693" s="3000" t="s">
        <v>3841</v>
      </c>
      <c r="C693" s="3000">
        <v>39.19</v>
      </c>
    </row>
    <row r="694" spans="1:3">
      <c r="A694" s="3001" t="s">
        <v>4694</v>
      </c>
      <c r="B694" s="3000" t="s">
        <v>3842</v>
      </c>
      <c r="C694" s="3000">
        <v>39.19</v>
      </c>
    </row>
    <row r="695" spans="1:3">
      <c r="A695" s="3001" t="s">
        <v>4694</v>
      </c>
      <c r="B695" s="3000" t="s">
        <v>3843</v>
      </c>
      <c r="C695" s="3000">
        <v>39.19</v>
      </c>
    </row>
    <row r="696" spans="1:3">
      <c r="A696" s="3001" t="s">
        <v>4694</v>
      </c>
      <c r="B696" s="3000" t="s">
        <v>3844</v>
      </c>
      <c r="C696" s="3000">
        <v>39.19</v>
      </c>
    </row>
    <row r="697" spans="1:3">
      <c r="A697" s="3001" t="s">
        <v>4694</v>
      </c>
      <c r="B697" s="3000" t="s">
        <v>3845</v>
      </c>
      <c r="C697" s="3000">
        <v>39.19</v>
      </c>
    </row>
    <row r="698" spans="1:3">
      <c r="A698" s="3001" t="s">
        <v>4694</v>
      </c>
      <c r="B698" s="3000" t="s">
        <v>3846</v>
      </c>
      <c r="C698" s="3000">
        <v>39.19</v>
      </c>
    </row>
    <row r="699" spans="1:3">
      <c r="A699" s="3001" t="s">
        <v>4694</v>
      </c>
      <c r="B699" s="3000" t="s">
        <v>3847</v>
      </c>
      <c r="C699" s="3000">
        <v>39.19</v>
      </c>
    </row>
    <row r="700" spans="1:3">
      <c r="A700" s="3001" t="s">
        <v>4694</v>
      </c>
      <c r="B700" s="3000" t="s">
        <v>3848</v>
      </c>
      <c r="C700" s="3000">
        <v>39.19</v>
      </c>
    </row>
    <row r="701" spans="1:3">
      <c r="A701" s="3001" t="s">
        <v>4694</v>
      </c>
      <c r="B701" s="3000" t="s">
        <v>3849</v>
      </c>
      <c r="C701" s="3000">
        <v>39.19</v>
      </c>
    </row>
    <row r="702" spans="1:3">
      <c r="A702" s="3001" t="s">
        <v>4694</v>
      </c>
      <c r="B702" s="3000" t="s">
        <v>3850</v>
      </c>
      <c r="C702" s="3000">
        <v>39.19</v>
      </c>
    </row>
    <row r="703" spans="1:3">
      <c r="A703" s="3001" t="s">
        <v>4694</v>
      </c>
      <c r="B703" s="3000" t="s">
        <v>3851</v>
      </c>
      <c r="C703" s="3000">
        <v>39.19</v>
      </c>
    </row>
    <row r="704" spans="1:3">
      <c r="A704" s="3001" t="s">
        <v>4694</v>
      </c>
      <c r="B704" s="3000" t="s">
        <v>3852</v>
      </c>
      <c r="C704" s="3000">
        <v>39.19</v>
      </c>
    </row>
    <row r="705" spans="1:3">
      <c r="A705" s="3001" t="s">
        <v>4694</v>
      </c>
      <c r="B705" s="3000" t="s">
        <v>3853</v>
      </c>
      <c r="C705" s="3000">
        <v>39.19</v>
      </c>
    </row>
    <row r="706" spans="1:3">
      <c r="A706" s="3001" t="s">
        <v>4694</v>
      </c>
      <c r="B706" s="3000" t="s">
        <v>3854</v>
      </c>
      <c r="C706" s="3000">
        <v>39.19</v>
      </c>
    </row>
    <row r="707" spans="1:3">
      <c r="A707" s="3001" t="s">
        <v>4694</v>
      </c>
      <c r="B707" s="3000" t="s">
        <v>3855</v>
      </c>
      <c r="C707" s="3000">
        <v>39.19</v>
      </c>
    </row>
    <row r="708" spans="1:3">
      <c r="A708" s="3001" t="s">
        <v>4694</v>
      </c>
      <c r="B708" s="3000" t="s">
        <v>3856</v>
      </c>
      <c r="C708" s="3000">
        <v>39.19</v>
      </c>
    </row>
    <row r="709" spans="1:3">
      <c r="A709" s="3001" t="s">
        <v>4694</v>
      </c>
      <c r="B709" s="3000" t="s">
        <v>3857</v>
      </c>
      <c r="C709" s="3000">
        <v>39.19</v>
      </c>
    </row>
    <row r="710" spans="1:3">
      <c r="A710" s="3001" t="s">
        <v>4694</v>
      </c>
      <c r="B710" s="3000" t="s">
        <v>3858</v>
      </c>
      <c r="C710" s="3000">
        <v>39.19</v>
      </c>
    </row>
    <row r="711" spans="1:3">
      <c r="A711" s="3001" t="s">
        <v>4694</v>
      </c>
      <c r="B711" s="3000" t="s">
        <v>3859</v>
      </c>
      <c r="C711" s="3000">
        <v>39.19</v>
      </c>
    </row>
    <row r="712" spans="1:3">
      <c r="A712" s="3001" t="s">
        <v>4694</v>
      </c>
      <c r="B712" s="3000" t="s">
        <v>3860</v>
      </c>
      <c r="C712" s="3000">
        <v>39.19</v>
      </c>
    </row>
    <row r="713" spans="1:3">
      <c r="A713" s="3001" t="s">
        <v>4694</v>
      </c>
      <c r="B713" s="3000" t="s">
        <v>3861</v>
      </c>
      <c r="C713" s="3000">
        <v>39.19</v>
      </c>
    </row>
    <row r="714" spans="1:3">
      <c r="A714" s="3001" t="s">
        <v>4694</v>
      </c>
      <c r="B714" s="3000" t="s">
        <v>3862</v>
      </c>
      <c r="C714" s="3000">
        <v>39.19</v>
      </c>
    </row>
    <row r="715" spans="1:3">
      <c r="A715" s="3001" t="s">
        <v>4694</v>
      </c>
      <c r="B715" s="3000" t="s">
        <v>3863</v>
      </c>
      <c r="C715" s="3000">
        <v>39.19</v>
      </c>
    </row>
    <row r="716" spans="1:3">
      <c r="A716" s="3001" t="s">
        <v>4694</v>
      </c>
      <c r="B716" s="3000" t="s">
        <v>3864</v>
      </c>
      <c r="C716" s="3000">
        <v>39.19</v>
      </c>
    </row>
    <row r="717" spans="1:3">
      <c r="A717" s="3001" t="s">
        <v>4694</v>
      </c>
      <c r="B717" s="3000" t="s">
        <v>3865</v>
      </c>
      <c r="C717" s="3000">
        <v>39.19</v>
      </c>
    </row>
    <row r="718" spans="1:3">
      <c r="A718" s="3001" t="s">
        <v>4694</v>
      </c>
      <c r="B718" s="3000" t="s">
        <v>3866</v>
      </c>
      <c r="C718" s="3000">
        <v>39.19</v>
      </c>
    </row>
    <row r="719" spans="1:3">
      <c r="A719" s="3001" t="s">
        <v>4694</v>
      </c>
      <c r="B719" s="3000" t="s">
        <v>3867</v>
      </c>
      <c r="C719" s="3000">
        <v>39.19</v>
      </c>
    </row>
    <row r="720" spans="1:3">
      <c r="A720" s="3001" t="s">
        <v>4694</v>
      </c>
      <c r="B720" s="3000" t="s">
        <v>3868</v>
      </c>
      <c r="C720" s="3000">
        <v>39.19</v>
      </c>
    </row>
    <row r="721" spans="1:3">
      <c r="A721" s="3001" t="s">
        <v>4694</v>
      </c>
      <c r="B721" s="3000" t="s">
        <v>3869</v>
      </c>
      <c r="C721" s="3000">
        <v>39.19</v>
      </c>
    </row>
    <row r="722" spans="1:3">
      <c r="A722" s="3001" t="s">
        <v>4694</v>
      </c>
      <c r="B722" s="3000" t="s">
        <v>3870</v>
      </c>
      <c r="C722" s="3000">
        <v>39.19</v>
      </c>
    </row>
    <row r="723" spans="1:3">
      <c r="A723" s="3001" t="s">
        <v>4694</v>
      </c>
      <c r="B723" s="3000" t="s">
        <v>3871</v>
      </c>
      <c r="C723" s="3000">
        <v>39.19</v>
      </c>
    </row>
    <row r="724" spans="1:3">
      <c r="A724" s="3001" t="s">
        <v>4694</v>
      </c>
      <c r="B724" s="3000" t="s">
        <v>3872</v>
      </c>
      <c r="C724" s="3000">
        <v>39.19</v>
      </c>
    </row>
    <row r="725" spans="1:3">
      <c r="A725" s="3001" t="s">
        <v>4694</v>
      </c>
      <c r="B725" s="3000" t="s">
        <v>3873</v>
      </c>
      <c r="C725" s="3000">
        <v>39.19</v>
      </c>
    </row>
    <row r="726" spans="1:3">
      <c r="A726" s="3001" t="s">
        <v>4694</v>
      </c>
      <c r="B726" s="3000" t="s">
        <v>3874</v>
      </c>
      <c r="C726" s="3000">
        <v>39.19</v>
      </c>
    </row>
    <row r="727" spans="1:3">
      <c r="A727" s="3001" t="s">
        <v>4694</v>
      </c>
      <c r="B727" s="3000" t="s">
        <v>3875</v>
      </c>
      <c r="C727" s="3000">
        <v>39.19</v>
      </c>
    </row>
    <row r="728" spans="1:3">
      <c r="A728" s="3001" t="s">
        <v>4694</v>
      </c>
      <c r="B728" s="3000" t="s">
        <v>3876</v>
      </c>
      <c r="C728" s="3000">
        <v>39.19</v>
      </c>
    </row>
    <row r="729" spans="1:3">
      <c r="A729" s="3001" t="s">
        <v>4694</v>
      </c>
      <c r="B729" s="3000" t="s">
        <v>3877</v>
      </c>
      <c r="C729" s="3000">
        <v>39.19</v>
      </c>
    </row>
    <row r="730" spans="1:3">
      <c r="A730" s="3001" t="s">
        <v>4694</v>
      </c>
      <c r="B730" s="3000" t="s">
        <v>3878</v>
      </c>
      <c r="C730" s="3000">
        <v>39.19</v>
      </c>
    </row>
    <row r="731" spans="1:3">
      <c r="A731" s="3001" t="s">
        <v>4694</v>
      </c>
      <c r="B731" s="3000" t="s">
        <v>3879</v>
      </c>
      <c r="C731" s="3000">
        <v>39.19</v>
      </c>
    </row>
    <row r="732" spans="1:3">
      <c r="A732" s="3001" t="s">
        <v>4694</v>
      </c>
      <c r="B732" s="3000" t="s">
        <v>3880</v>
      </c>
      <c r="C732" s="3000">
        <v>39.19</v>
      </c>
    </row>
    <row r="733" spans="1:3">
      <c r="A733" s="3001" t="s">
        <v>4694</v>
      </c>
      <c r="B733" s="3000" t="s">
        <v>3881</v>
      </c>
      <c r="C733" s="3000">
        <v>39.19</v>
      </c>
    </row>
    <row r="734" spans="1:3">
      <c r="A734" s="3001" t="s">
        <v>4694</v>
      </c>
      <c r="B734" s="3000" t="s">
        <v>3882</v>
      </c>
      <c r="C734" s="3000">
        <v>39.19</v>
      </c>
    </row>
    <row r="735" spans="1:3">
      <c r="A735" s="3001" t="s">
        <v>4694</v>
      </c>
      <c r="B735" s="3000" t="s">
        <v>3883</v>
      </c>
      <c r="C735" s="3000">
        <v>39.19</v>
      </c>
    </row>
    <row r="736" spans="1:3">
      <c r="A736" s="3001" t="s">
        <v>4694</v>
      </c>
      <c r="B736" s="3000" t="s">
        <v>3884</v>
      </c>
      <c r="C736" s="3000">
        <v>39.19</v>
      </c>
    </row>
    <row r="737" spans="1:3">
      <c r="A737" s="3001" t="s">
        <v>4694</v>
      </c>
      <c r="B737" s="3000" t="s">
        <v>3885</v>
      </c>
      <c r="C737" s="3000">
        <v>39.19</v>
      </c>
    </row>
    <row r="738" spans="1:3">
      <c r="A738" s="3001" t="s">
        <v>4694</v>
      </c>
      <c r="B738" s="3000" t="s">
        <v>3886</v>
      </c>
      <c r="C738" s="3000">
        <v>39.19</v>
      </c>
    </row>
    <row r="739" spans="1:3">
      <c r="A739" s="3001" t="s">
        <v>4694</v>
      </c>
      <c r="B739" s="3000" t="s">
        <v>3887</v>
      </c>
      <c r="C739" s="3000">
        <v>39.19</v>
      </c>
    </row>
    <row r="740" spans="1:3">
      <c r="A740" s="3001" t="s">
        <v>4694</v>
      </c>
      <c r="B740" s="3000" t="s">
        <v>3888</v>
      </c>
      <c r="C740" s="3000">
        <v>58</v>
      </c>
    </row>
    <row r="741" spans="1:3">
      <c r="A741" s="3001" t="s">
        <v>4694</v>
      </c>
      <c r="B741" s="3000" t="s">
        <v>3889</v>
      </c>
      <c r="C741" s="3000">
        <v>39.19</v>
      </c>
    </row>
    <row r="742" spans="1:3">
      <c r="A742" s="3001" t="s">
        <v>4694</v>
      </c>
      <c r="B742" s="3000" t="s">
        <v>3890</v>
      </c>
      <c r="C742" s="3000">
        <v>39.19</v>
      </c>
    </row>
    <row r="743" spans="1:3">
      <c r="A743" s="3001" t="s">
        <v>4694</v>
      </c>
      <c r="B743" s="3000" t="s">
        <v>3891</v>
      </c>
      <c r="C743" s="3000">
        <v>39.19</v>
      </c>
    </row>
    <row r="744" spans="1:3">
      <c r="A744" s="3001" t="s">
        <v>4694</v>
      </c>
      <c r="B744" s="3000" t="s">
        <v>3892</v>
      </c>
      <c r="C744" s="3000">
        <v>39.19</v>
      </c>
    </row>
    <row r="745" spans="1:3">
      <c r="A745" s="3001" t="s">
        <v>4694</v>
      </c>
      <c r="B745" s="3000" t="s">
        <v>3893</v>
      </c>
      <c r="C745" s="3000">
        <v>39.19</v>
      </c>
    </row>
    <row r="746" spans="1:3">
      <c r="A746" s="3001" t="s">
        <v>4694</v>
      </c>
      <c r="B746" s="3000" t="s">
        <v>3894</v>
      </c>
      <c r="C746" s="3000">
        <v>39.19</v>
      </c>
    </row>
    <row r="747" spans="1:3">
      <c r="A747" s="3001" t="s">
        <v>4694</v>
      </c>
      <c r="B747" s="3000" t="s">
        <v>3895</v>
      </c>
      <c r="C747" s="3000">
        <v>39.19</v>
      </c>
    </row>
    <row r="748" spans="1:3">
      <c r="A748" s="3001" t="s">
        <v>4694</v>
      </c>
      <c r="B748" s="3000" t="s">
        <v>3896</v>
      </c>
      <c r="C748" s="3000">
        <v>39.19</v>
      </c>
    </row>
    <row r="749" spans="1:3">
      <c r="A749" s="3001" t="s">
        <v>4694</v>
      </c>
      <c r="B749" s="3000" t="s">
        <v>3897</v>
      </c>
      <c r="C749" s="3000">
        <v>39.19</v>
      </c>
    </row>
    <row r="750" spans="1:3">
      <c r="A750" s="3001" t="s">
        <v>4694</v>
      </c>
      <c r="B750" s="3000" t="s">
        <v>3898</v>
      </c>
      <c r="C750" s="3000">
        <v>39.19</v>
      </c>
    </row>
    <row r="751" spans="1:3">
      <c r="A751" s="3001" t="s">
        <v>4694</v>
      </c>
      <c r="B751" s="3000" t="s">
        <v>3899</v>
      </c>
      <c r="C751" s="3000">
        <v>39.19</v>
      </c>
    </row>
    <row r="752" spans="1:3">
      <c r="A752" s="3001" t="s">
        <v>4694</v>
      </c>
      <c r="B752" s="3000" t="s">
        <v>3900</v>
      </c>
      <c r="C752" s="3000">
        <v>39.19</v>
      </c>
    </row>
    <row r="753" spans="1:3">
      <c r="A753" s="3001" t="s">
        <v>4694</v>
      </c>
      <c r="B753" s="3000" t="s">
        <v>3901</v>
      </c>
      <c r="C753" s="3000">
        <v>39.19</v>
      </c>
    </row>
    <row r="754" spans="1:3">
      <c r="A754" s="3001" t="s">
        <v>4694</v>
      </c>
      <c r="B754" s="3000" t="s">
        <v>3902</v>
      </c>
      <c r="C754" s="3000">
        <v>39.19</v>
      </c>
    </row>
    <row r="755" spans="1:3">
      <c r="A755" s="3001" t="s">
        <v>4694</v>
      </c>
      <c r="B755" s="3000" t="s">
        <v>3903</v>
      </c>
      <c r="C755" s="3000">
        <v>39.19</v>
      </c>
    </row>
    <row r="756" spans="1:3">
      <c r="A756" s="3001" t="s">
        <v>4694</v>
      </c>
      <c r="B756" s="3000" t="s">
        <v>3904</v>
      </c>
      <c r="C756" s="3000">
        <v>39.19</v>
      </c>
    </row>
    <row r="757" spans="1:3">
      <c r="A757" s="3001" t="s">
        <v>4694</v>
      </c>
      <c r="B757" s="3000" t="s">
        <v>3905</v>
      </c>
      <c r="C757" s="3000">
        <v>39.19</v>
      </c>
    </row>
    <row r="758" spans="1:3">
      <c r="A758" s="3001" t="s">
        <v>4694</v>
      </c>
      <c r="B758" s="3000" t="s">
        <v>3906</v>
      </c>
      <c r="C758" s="3000">
        <v>39.19</v>
      </c>
    </row>
    <row r="759" spans="1:3">
      <c r="A759" s="3001" t="s">
        <v>4694</v>
      </c>
      <c r="B759" s="3000" t="s">
        <v>3907</v>
      </c>
      <c r="C759" s="3000">
        <v>39.19</v>
      </c>
    </row>
    <row r="760" spans="1:3">
      <c r="A760" s="3001" t="s">
        <v>4694</v>
      </c>
      <c r="B760" s="3000" t="s">
        <v>3908</v>
      </c>
      <c r="C760" s="3000">
        <v>39.19</v>
      </c>
    </row>
    <row r="761" spans="1:3">
      <c r="A761" s="3001" t="s">
        <v>4694</v>
      </c>
      <c r="B761" s="3000" t="s">
        <v>3909</v>
      </c>
      <c r="C761" s="3000">
        <v>39.19</v>
      </c>
    </row>
    <row r="762" spans="1:3">
      <c r="A762" s="3001" t="s">
        <v>4694</v>
      </c>
      <c r="B762" s="3000" t="s">
        <v>3910</v>
      </c>
      <c r="C762" s="3000">
        <v>39.19</v>
      </c>
    </row>
    <row r="763" spans="1:3">
      <c r="A763" s="3001" t="s">
        <v>4694</v>
      </c>
      <c r="B763" s="3000" t="s">
        <v>3911</v>
      </c>
      <c r="C763" s="3000">
        <v>39.19</v>
      </c>
    </row>
    <row r="764" spans="1:3">
      <c r="A764" s="3001" t="s">
        <v>4694</v>
      </c>
      <c r="B764" s="3000" t="s">
        <v>3912</v>
      </c>
      <c r="C764" s="3000">
        <v>39.19</v>
      </c>
    </row>
    <row r="765" spans="1:3">
      <c r="A765" s="3001" t="s">
        <v>4694</v>
      </c>
      <c r="B765" s="3000" t="s">
        <v>3913</v>
      </c>
      <c r="C765" s="3000">
        <v>39.19</v>
      </c>
    </row>
    <row r="766" spans="1:3">
      <c r="A766" s="3001" t="s">
        <v>4694</v>
      </c>
      <c r="B766" s="3000" t="s">
        <v>3914</v>
      </c>
      <c r="C766" s="3000">
        <v>39.19</v>
      </c>
    </row>
    <row r="767" spans="1:3">
      <c r="A767" s="3001" t="s">
        <v>4694</v>
      </c>
      <c r="B767" s="3000" t="s">
        <v>3915</v>
      </c>
      <c r="C767" s="3000">
        <v>39.19</v>
      </c>
    </row>
    <row r="768" spans="1:3">
      <c r="A768" s="3001" t="s">
        <v>4694</v>
      </c>
      <c r="B768" s="3000" t="s">
        <v>3916</v>
      </c>
      <c r="C768" s="3000">
        <v>39.19</v>
      </c>
    </row>
    <row r="769" spans="1:3">
      <c r="A769" s="3001" t="s">
        <v>4694</v>
      </c>
      <c r="B769" s="3000" t="s">
        <v>3917</v>
      </c>
      <c r="C769" s="3000">
        <v>39.19</v>
      </c>
    </row>
    <row r="770" spans="1:3">
      <c r="A770" s="3001" t="s">
        <v>4694</v>
      </c>
      <c r="B770" s="3000" t="s">
        <v>3918</v>
      </c>
      <c r="C770" s="3000">
        <v>39.19</v>
      </c>
    </row>
    <row r="771" spans="1:3">
      <c r="A771" s="3001" t="s">
        <v>4694</v>
      </c>
      <c r="B771" s="3000" t="s">
        <v>3919</v>
      </c>
      <c r="C771" s="3000">
        <v>39.19</v>
      </c>
    </row>
    <row r="772" spans="1:3">
      <c r="A772" s="3001" t="s">
        <v>4694</v>
      </c>
      <c r="B772" s="3000" t="s">
        <v>3920</v>
      </c>
      <c r="C772" s="3000">
        <v>39.19</v>
      </c>
    </row>
    <row r="773" spans="1:3">
      <c r="A773" s="3001" t="s">
        <v>4694</v>
      </c>
      <c r="B773" s="3000" t="s">
        <v>3921</v>
      </c>
      <c r="C773" s="3000">
        <v>39.19</v>
      </c>
    </row>
    <row r="774" spans="1:3">
      <c r="A774" s="3001" t="s">
        <v>4694</v>
      </c>
      <c r="B774" s="3000" t="s">
        <v>3922</v>
      </c>
      <c r="C774" s="3000">
        <v>39.19</v>
      </c>
    </row>
    <row r="775" spans="1:3">
      <c r="A775" s="3001" t="s">
        <v>4694</v>
      </c>
      <c r="B775" s="3000" t="s">
        <v>3923</v>
      </c>
      <c r="C775" s="3000">
        <v>39.19</v>
      </c>
    </row>
    <row r="776" spans="1:3">
      <c r="A776" s="3001" t="s">
        <v>4694</v>
      </c>
      <c r="B776" s="3000" t="s">
        <v>3924</v>
      </c>
      <c r="C776" s="3000">
        <v>39.19</v>
      </c>
    </row>
    <row r="777" spans="1:3">
      <c r="A777" s="3001" t="s">
        <v>4694</v>
      </c>
      <c r="B777" s="3000" t="s">
        <v>3925</v>
      </c>
      <c r="C777" s="3000">
        <v>39.19</v>
      </c>
    </row>
    <row r="778" spans="1:3">
      <c r="A778" s="3001" t="s">
        <v>4694</v>
      </c>
      <c r="B778" s="3000" t="s">
        <v>3926</v>
      </c>
      <c r="C778" s="3000">
        <v>39.19</v>
      </c>
    </row>
    <row r="779" spans="1:3">
      <c r="A779" s="3001" t="s">
        <v>4694</v>
      </c>
      <c r="B779" s="3000" t="s">
        <v>3927</v>
      </c>
      <c r="C779" s="3000">
        <v>39.19</v>
      </c>
    </row>
    <row r="780" spans="1:3">
      <c r="A780" s="3001" t="s">
        <v>4694</v>
      </c>
      <c r="B780" s="3000" t="s">
        <v>3928</v>
      </c>
      <c r="C780" s="3000">
        <v>36.049999999999997</v>
      </c>
    </row>
    <row r="781" spans="1:3">
      <c r="A781" s="3001" t="s">
        <v>4694</v>
      </c>
      <c r="B781" s="3000" t="s">
        <v>3929</v>
      </c>
      <c r="C781" s="3000">
        <v>39.19</v>
      </c>
    </row>
    <row r="782" spans="1:3">
      <c r="A782" s="3001" t="s">
        <v>4694</v>
      </c>
      <c r="B782" s="3000" t="s">
        <v>3930</v>
      </c>
      <c r="C782" s="3000">
        <v>39.19</v>
      </c>
    </row>
    <row r="783" spans="1:3">
      <c r="A783" s="3001" t="s">
        <v>4694</v>
      </c>
      <c r="B783" s="3000" t="s">
        <v>3931</v>
      </c>
      <c r="C783" s="3000">
        <v>39.19</v>
      </c>
    </row>
    <row r="784" spans="1:3">
      <c r="A784" s="3001" t="s">
        <v>4694</v>
      </c>
      <c r="B784" s="3000" t="s">
        <v>3932</v>
      </c>
      <c r="C784" s="3000">
        <v>39.19</v>
      </c>
    </row>
    <row r="785" spans="1:3">
      <c r="A785" s="3001" t="s">
        <v>4694</v>
      </c>
      <c r="B785" s="3000" t="s">
        <v>3933</v>
      </c>
      <c r="C785" s="3000">
        <v>39.19</v>
      </c>
    </row>
    <row r="786" spans="1:3">
      <c r="A786" s="3001" t="s">
        <v>4694</v>
      </c>
      <c r="B786" s="3000" t="s">
        <v>3934</v>
      </c>
      <c r="C786" s="3000">
        <v>39.19</v>
      </c>
    </row>
    <row r="787" spans="1:3">
      <c r="A787" s="3001" t="s">
        <v>4694</v>
      </c>
      <c r="B787" s="3000" t="s">
        <v>3935</v>
      </c>
      <c r="C787" s="3000">
        <v>39.19</v>
      </c>
    </row>
    <row r="788" spans="1:3">
      <c r="A788" s="3001" t="s">
        <v>4694</v>
      </c>
      <c r="B788" s="3000" t="s">
        <v>3936</v>
      </c>
      <c r="C788" s="3000">
        <v>39.19</v>
      </c>
    </row>
    <row r="789" spans="1:3">
      <c r="A789" s="3001" t="s">
        <v>4694</v>
      </c>
      <c r="B789" s="3000" t="s">
        <v>3937</v>
      </c>
      <c r="C789" s="3000">
        <v>39.19</v>
      </c>
    </row>
    <row r="790" spans="1:3">
      <c r="A790" s="3001" t="s">
        <v>4694</v>
      </c>
      <c r="B790" s="3000" t="s">
        <v>3938</v>
      </c>
      <c r="C790" s="3000">
        <v>39.19</v>
      </c>
    </row>
    <row r="791" spans="1:3">
      <c r="A791" s="3001" t="s">
        <v>4694</v>
      </c>
      <c r="B791" s="3000" t="s">
        <v>3939</v>
      </c>
      <c r="C791" s="3000">
        <v>39.19</v>
      </c>
    </row>
    <row r="792" spans="1:3">
      <c r="A792" s="3001" t="s">
        <v>4694</v>
      </c>
      <c r="B792" s="3000" t="s">
        <v>3940</v>
      </c>
      <c r="C792" s="3000">
        <v>39.19</v>
      </c>
    </row>
    <row r="793" spans="1:3">
      <c r="A793" s="3001" t="s">
        <v>4694</v>
      </c>
      <c r="B793" s="3000" t="s">
        <v>3941</v>
      </c>
      <c r="C793" s="3000">
        <v>39.19</v>
      </c>
    </row>
    <row r="794" spans="1:3">
      <c r="A794" s="3001" t="s">
        <v>4694</v>
      </c>
      <c r="B794" s="3000" t="s">
        <v>3942</v>
      </c>
      <c r="C794" s="3000">
        <v>39.19</v>
      </c>
    </row>
    <row r="795" spans="1:3">
      <c r="A795" s="3001" t="s">
        <v>4694</v>
      </c>
      <c r="B795" s="3000" t="s">
        <v>3943</v>
      </c>
      <c r="C795" s="3000">
        <v>39.19</v>
      </c>
    </row>
    <row r="796" spans="1:3">
      <c r="A796" s="3001" t="s">
        <v>4694</v>
      </c>
      <c r="B796" s="3000" t="s">
        <v>3944</v>
      </c>
      <c r="C796" s="3000">
        <v>39.19</v>
      </c>
    </row>
    <row r="797" spans="1:3">
      <c r="A797" s="3001" t="s">
        <v>4694</v>
      </c>
      <c r="B797" s="3000" t="s">
        <v>3945</v>
      </c>
      <c r="C797" s="3000">
        <v>39.19</v>
      </c>
    </row>
    <row r="798" spans="1:3">
      <c r="A798" s="3001" t="s">
        <v>4694</v>
      </c>
      <c r="B798" s="3000" t="s">
        <v>3946</v>
      </c>
      <c r="C798" s="3000">
        <v>39.19</v>
      </c>
    </row>
    <row r="799" spans="1:3">
      <c r="A799" s="3001" t="s">
        <v>4694</v>
      </c>
      <c r="B799" s="3000" t="s">
        <v>3947</v>
      </c>
      <c r="C799" s="3000">
        <v>39.19</v>
      </c>
    </row>
    <row r="800" spans="1:3">
      <c r="A800" s="3001" t="s">
        <v>4694</v>
      </c>
      <c r="B800" s="3000" t="s">
        <v>3948</v>
      </c>
      <c r="C800" s="3000">
        <v>39.19</v>
      </c>
    </row>
    <row r="801" spans="1:3">
      <c r="A801" s="3001" t="s">
        <v>4694</v>
      </c>
      <c r="B801" s="3000" t="s">
        <v>3949</v>
      </c>
      <c r="C801" s="3000">
        <v>39.19</v>
      </c>
    </row>
    <row r="802" spans="1:3">
      <c r="A802" s="3001" t="s">
        <v>4694</v>
      </c>
      <c r="B802" s="3000" t="s">
        <v>3950</v>
      </c>
      <c r="C802" s="3000">
        <v>39.19</v>
      </c>
    </row>
    <row r="803" spans="1:3">
      <c r="A803" s="3001" t="s">
        <v>4694</v>
      </c>
      <c r="B803" s="3000" t="s">
        <v>3951</v>
      </c>
      <c r="C803" s="3000">
        <v>39.19</v>
      </c>
    </row>
    <row r="804" spans="1:3">
      <c r="A804" s="3001" t="s">
        <v>4694</v>
      </c>
      <c r="B804" s="3000" t="s">
        <v>3952</v>
      </c>
      <c r="C804" s="3000">
        <v>39.19</v>
      </c>
    </row>
    <row r="805" spans="1:3">
      <c r="A805" s="3001" t="s">
        <v>4694</v>
      </c>
      <c r="B805" s="3000" t="s">
        <v>3953</v>
      </c>
      <c r="C805" s="3000">
        <v>39.19</v>
      </c>
    </row>
    <row r="806" spans="1:3">
      <c r="A806" s="3001" t="s">
        <v>4694</v>
      </c>
      <c r="B806" s="3000" t="s">
        <v>3954</v>
      </c>
      <c r="C806" s="3000">
        <v>39.19</v>
      </c>
    </row>
    <row r="807" spans="1:3">
      <c r="A807" s="3001" t="s">
        <v>4694</v>
      </c>
      <c r="B807" s="3000" t="s">
        <v>3955</v>
      </c>
      <c r="C807" s="3000">
        <v>39.19</v>
      </c>
    </row>
    <row r="808" spans="1:3">
      <c r="A808" s="3001" t="s">
        <v>4694</v>
      </c>
      <c r="B808" s="3000" t="s">
        <v>3956</v>
      </c>
      <c r="C808" s="3000">
        <v>39.19</v>
      </c>
    </row>
    <row r="809" spans="1:3">
      <c r="A809" s="3001" t="s">
        <v>4694</v>
      </c>
      <c r="B809" s="3000" t="s">
        <v>3957</v>
      </c>
      <c r="C809" s="3000">
        <v>39.19</v>
      </c>
    </row>
    <row r="810" spans="1:3">
      <c r="A810" s="3001" t="s">
        <v>4694</v>
      </c>
      <c r="B810" s="3000" t="s">
        <v>3958</v>
      </c>
      <c r="C810" s="3000">
        <v>39.19</v>
      </c>
    </row>
    <row r="811" spans="1:3">
      <c r="A811" s="3001" t="s">
        <v>4694</v>
      </c>
      <c r="B811" s="3000" t="s">
        <v>3959</v>
      </c>
      <c r="C811" s="3000">
        <v>39.19</v>
      </c>
    </row>
    <row r="812" spans="1:3">
      <c r="A812" s="3001" t="s">
        <v>4694</v>
      </c>
      <c r="B812" s="3000" t="s">
        <v>3960</v>
      </c>
      <c r="C812" s="3000">
        <v>39.19</v>
      </c>
    </row>
    <row r="813" spans="1:3">
      <c r="A813" s="3001" t="s">
        <v>4694</v>
      </c>
      <c r="B813" s="3000" t="s">
        <v>3961</v>
      </c>
      <c r="C813" s="3000">
        <v>39.19</v>
      </c>
    </row>
    <row r="814" spans="1:3">
      <c r="A814" s="3001" t="s">
        <v>4694</v>
      </c>
      <c r="B814" s="3000" t="s">
        <v>3962</v>
      </c>
      <c r="C814" s="3000">
        <v>58</v>
      </c>
    </row>
    <row r="815" spans="1:3">
      <c r="A815" s="3001" t="s">
        <v>4694</v>
      </c>
      <c r="B815" s="3000" t="s">
        <v>3963</v>
      </c>
      <c r="C815" s="3000">
        <v>58</v>
      </c>
    </row>
    <row r="816" spans="1:3">
      <c r="A816" s="3001" t="s">
        <v>4694</v>
      </c>
      <c r="B816" s="3000" t="s">
        <v>3964</v>
      </c>
      <c r="C816" s="3000">
        <v>39.19</v>
      </c>
    </row>
    <row r="817" spans="1:3">
      <c r="A817" s="3001" t="s">
        <v>4694</v>
      </c>
      <c r="B817" s="3000" t="s">
        <v>3965</v>
      </c>
      <c r="C817" s="3000">
        <v>39.19</v>
      </c>
    </row>
    <row r="818" spans="1:3">
      <c r="A818" s="3001" t="s">
        <v>4694</v>
      </c>
      <c r="B818" s="3000" t="s">
        <v>3966</v>
      </c>
      <c r="C818" s="3000">
        <v>39.19</v>
      </c>
    </row>
    <row r="819" spans="1:3">
      <c r="A819" s="3001" t="s">
        <v>4694</v>
      </c>
      <c r="B819" s="3000" t="s">
        <v>3967</v>
      </c>
      <c r="C819" s="3000">
        <v>39.19</v>
      </c>
    </row>
    <row r="820" spans="1:3">
      <c r="A820" s="3001" t="s">
        <v>4694</v>
      </c>
      <c r="B820" s="3000" t="s">
        <v>3968</v>
      </c>
      <c r="C820" s="3000">
        <v>39.19</v>
      </c>
    </row>
    <row r="821" spans="1:3">
      <c r="A821" s="3001" t="s">
        <v>4694</v>
      </c>
      <c r="B821" s="3000" t="s">
        <v>3969</v>
      </c>
      <c r="C821" s="3000">
        <v>39.19</v>
      </c>
    </row>
    <row r="822" spans="1:3">
      <c r="A822" s="3001" t="s">
        <v>4694</v>
      </c>
      <c r="B822" s="3000" t="s">
        <v>3970</v>
      </c>
      <c r="C822" s="3000">
        <v>39.19</v>
      </c>
    </row>
    <row r="823" spans="1:3">
      <c r="A823" s="3001" t="s">
        <v>4694</v>
      </c>
      <c r="B823" s="3000" t="s">
        <v>3971</v>
      </c>
      <c r="C823" s="3000">
        <v>39.19</v>
      </c>
    </row>
    <row r="824" spans="1:3">
      <c r="A824" s="3001" t="s">
        <v>4694</v>
      </c>
      <c r="B824" s="3000" t="s">
        <v>3972</v>
      </c>
      <c r="C824" s="3000">
        <v>39.19</v>
      </c>
    </row>
    <row r="825" spans="1:3">
      <c r="A825" s="3001" t="s">
        <v>4694</v>
      </c>
      <c r="B825" s="3000" t="s">
        <v>3973</v>
      </c>
      <c r="C825" s="3000">
        <v>39.19</v>
      </c>
    </row>
    <row r="826" spans="1:3">
      <c r="A826" s="3001" t="s">
        <v>4694</v>
      </c>
      <c r="B826" s="3000" t="s">
        <v>3974</v>
      </c>
      <c r="C826" s="3000">
        <v>39.19</v>
      </c>
    </row>
    <row r="827" spans="1:3">
      <c r="A827" s="3001" t="s">
        <v>4694</v>
      </c>
      <c r="B827" s="3000" t="s">
        <v>3975</v>
      </c>
      <c r="C827" s="3000">
        <v>39.19</v>
      </c>
    </row>
    <row r="828" spans="1:3">
      <c r="A828" s="3001" t="s">
        <v>4694</v>
      </c>
      <c r="B828" s="3000" t="s">
        <v>3976</v>
      </c>
      <c r="C828" s="3000">
        <v>39.19</v>
      </c>
    </row>
    <row r="829" spans="1:3">
      <c r="A829" s="3001" t="s">
        <v>4694</v>
      </c>
      <c r="B829" s="3000" t="s">
        <v>3977</v>
      </c>
      <c r="C829" s="3000">
        <v>39.19</v>
      </c>
    </row>
    <row r="830" spans="1:3">
      <c r="A830" s="3001" t="s">
        <v>4694</v>
      </c>
      <c r="B830" s="3000" t="s">
        <v>3978</v>
      </c>
      <c r="C830" s="3000">
        <v>39.19</v>
      </c>
    </row>
    <row r="831" spans="1:3">
      <c r="A831" s="3001" t="s">
        <v>4694</v>
      </c>
      <c r="B831" s="3000" t="s">
        <v>3979</v>
      </c>
      <c r="C831" s="3000">
        <v>39.19</v>
      </c>
    </row>
    <row r="832" spans="1:3">
      <c r="A832" s="3001" t="s">
        <v>4694</v>
      </c>
      <c r="B832" s="3000" t="s">
        <v>3980</v>
      </c>
      <c r="C832" s="3000">
        <v>39.19</v>
      </c>
    </row>
    <row r="833" spans="1:3">
      <c r="A833" s="3001" t="s">
        <v>4694</v>
      </c>
      <c r="B833" s="3000" t="s">
        <v>3981</v>
      </c>
      <c r="C833" s="3000">
        <v>39.19</v>
      </c>
    </row>
    <row r="834" spans="1:3">
      <c r="A834" s="3001" t="s">
        <v>4694</v>
      </c>
      <c r="B834" s="3000" t="s">
        <v>3982</v>
      </c>
      <c r="C834" s="3000">
        <v>39.19</v>
      </c>
    </row>
    <row r="835" spans="1:3">
      <c r="A835" s="3001" t="s">
        <v>4694</v>
      </c>
      <c r="B835" s="3000" t="s">
        <v>3983</v>
      </c>
      <c r="C835" s="3000">
        <v>39.19</v>
      </c>
    </row>
    <row r="836" spans="1:3">
      <c r="A836" s="3001" t="s">
        <v>4694</v>
      </c>
      <c r="B836" s="3000" t="s">
        <v>3984</v>
      </c>
      <c r="C836" s="3000">
        <v>39.19</v>
      </c>
    </row>
    <row r="837" spans="1:3">
      <c r="A837" s="3001" t="s">
        <v>4694</v>
      </c>
      <c r="B837" s="3000" t="s">
        <v>3985</v>
      </c>
      <c r="C837" s="3000">
        <v>39.19</v>
      </c>
    </row>
    <row r="838" spans="1:3">
      <c r="A838" s="3001" t="s">
        <v>4694</v>
      </c>
      <c r="B838" s="3000" t="s">
        <v>3986</v>
      </c>
      <c r="C838" s="3000">
        <v>39.19</v>
      </c>
    </row>
    <row r="839" spans="1:3">
      <c r="A839" s="3001" t="s">
        <v>4694</v>
      </c>
      <c r="B839" s="3000" t="s">
        <v>3987</v>
      </c>
      <c r="C839" s="3000">
        <v>39.19</v>
      </c>
    </row>
    <row r="840" spans="1:3">
      <c r="A840" s="3001" t="s">
        <v>4694</v>
      </c>
      <c r="B840" s="3000" t="s">
        <v>3988</v>
      </c>
      <c r="C840" s="3000">
        <v>39.19</v>
      </c>
    </row>
    <row r="841" spans="1:3">
      <c r="A841" s="3001" t="s">
        <v>4694</v>
      </c>
      <c r="B841" s="3000" t="s">
        <v>3989</v>
      </c>
      <c r="C841" s="3000">
        <v>39.19</v>
      </c>
    </row>
    <row r="842" spans="1:3">
      <c r="A842" s="3001" t="s">
        <v>4694</v>
      </c>
      <c r="B842" s="3000" t="s">
        <v>3990</v>
      </c>
      <c r="C842" s="3000">
        <v>39.19</v>
      </c>
    </row>
    <row r="843" spans="1:3">
      <c r="A843" s="3001" t="s">
        <v>4694</v>
      </c>
      <c r="B843" s="3000" t="s">
        <v>3991</v>
      </c>
      <c r="C843" s="3000">
        <v>39.19</v>
      </c>
    </row>
    <row r="844" spans="1:3">
      <c r="A844" s="3001" t="s">
        <v>4694</v>
      </c>
      <c r="B844" s="3000" t="s">
        <v>3992</v>
      </c>
      <c r="C844" s="3000">
        <v>39.19</v>
      </c>
    </row>
    <row r="845" spans="1:3">
      <c r="A845" s="3001" t="s">
        <v>4694</v>
      </c>
      <c r="B845" s="3000" t="s">
        <v>3993</v>
      </c>
      <c r="C845" s="3000">
        <v>39.19</v>
      </c>
    </row>
    <row r="846" spans="1:3">
      <c r="A846" s="3001" t="s">
        <v>4694</v>
      </c>
      <c r="B846" s="3000" t="s">
        <v>3994</v>
      </c>
      <c r="C846" s="3000">
        <v>39.19</v>
      </c>
    </row>
    <row r="847" spans="1:3">
      <c r="A847" s="3001" t="s">
        <v>4694</v>
      </c>
      <c r="B847" s="3000" t="s">
        <v>3995</v>
      </c>
      <c r="C847" s="3000">
        <v>39.19</v>
      </c>
    </row>
    <row r="848" spans="1:3">
      <c r="A848" s="3001" t="s">
        <v>4694</v>
      </c>
      <c r="B848" s="3000" t="s">
        <v>3996</v>
      </c>
      <c r="C848" s="3000">
        <v>39.19</v>
      </c>
    </row>
    <row r="849" spans="1:3">
      <c r="A849" s="3001" t="s">
        <v>4694</v>
      </c>
      <c r="B849" s="3000" t="s">
        <v>3997</v>
      </c>
      <c r="C849" s="3000">
        <v>39.19</v>
      </c>
    </row>
    <row r="850" spans="1:3">
      <c r="A850" s="3001" t="s">
        <v>4694</v>
      </c>
      <c r="B850" s="3000" t="s">
        <v>3998</v>
      </c>
      <c r="C850" s="3000">
        <v>39.19</v>
      </c>
    </row>
    <row r="851" spans="1:3">
      <c r="A851" s="3001" t="s">
        <v>4694</v>
      </c>
      <c r="B851" s="3000" t="s">
        <v>3999</v>
      </c>
      <c r="C851" s="3000">
        <v>39.19</v>
      </c>
    </row>
    <row r="852" spans="1:3">
      <c r="A852" s="3001" t="s">
        <v>4694</v>
      </c>
      <c r="B852" s="3000" t="s">
        <v>4000</v>
      </c>
      <c r="C852" s="3000">
        <v>39.19</v>
      </c>
    </row>
    <row r="853" spans="1:3">
      <c r="A853" s="3001" t="s">
        <v>4694</v>
      </c>
      <c r="B853" s="3000" t="s">
        <v>4001</v>
      </c>
      <c r="C853" s="3000">
        <v>39.19</v>
      </c>
    </row>
    <row r="854" spans="1:3">
      <c r="A854" s="3001" t="s">
        <v>4694</v>
      </c>
      <c r="B854" s="3000" t="s">
        <v>4002</v>
      </c>
      <c r="C854" s="3000">
        <v>39.19</v>
      </c>
    </row>
    <row r="855" spans="1:3">
      <c r="A855" s="3001" t="s">
        <v>4694</v>
      </c>
      <c r="B855" s="3000" t="s">
        <v>4003</v>
      </c>
      <c r="C855" s="3000">
        <v>39.19</v>
      </c>
    </row>
    <row r="856" spans="1:3">
      <c r="A856" s="3001" t="s">
        <v>4694</v>
      </c>
      <c r="B856" s="3000" t="s">
        <v>4004</v>
      </c>
      <c r="C856" s="3000">
        <v>39.19</v>
      </c>
    </row>
    <row r="857" spans="1:3">
      <c r="A857" s="3001" t="s">
        <v>4694</v>
      </c>
      <c r="B857" s="3000" t="s">
        <v>4005</v>
      </c>
      <c r="C857" s="3000">
        <v>39.19</v>
      </c>
    </row>
    <row r="858" spans="1:3">
      <c r="A858" s="3001" t="s">
        <v>4694</v>
      </c>
      <c r="B858" s="3000" t="s">
        <v>4006</v>
      </c>
      <c r="C858" s="3000">
        <v>39.19</v>
      </c>
    </row>
    <row r="859" spans="1:3">
      <c r="A859" s="3001" t="s">
        <v>4694</v>
      </c>
      <c r="B859" s="3000" t="s">
        <v>4007</v>
      </c>
      <c r="C859" s="3000">
        <v>39.19</v>
      </c>
    </row>
    <row r="860" spans="1:3">
      <c r="A860" s="3001" t="s">
        <v>4694</v>
      </c>
      <c r="B860" s="3000" t="s">
        <v>4008</v>
      </c>
      <c r="C860" s="3000">
        <v>39.19</v>
      </c>
    </row>
    <row r="861" spans="1:3">
      <c r="A861" s="3001" t="s">
        <v>4694</v>
      </c>
      <c r="B861" s="3000" t="s">
        <v>4009</v>
      </c>
      <c r="C861" s="3000">
        <v>39.19</v>
      </c>
    </row>
    <row r="862" spans="1:3">
      <c r="A862" s="3001" t="s">
        <v>4694</v>
      </c>
      <c r="B862" s="3000" t="s">
        <v>4010</v>
      </c>
      <c r="C862" s="3000">
        <v>39.19</v>
      </c>
    </row>
    <row r="863" spans="1:3">
      <c r="A863" s="3001" t="s">
        <v>4694</v>
      </c>
      <c r="B863" s="3000" t="s">
        <v>4011</v>
      </c>
      <c r="C863" s="3000">
        <v>39.19</v>
      </c>
    </row>
    <row r="864" spans="1:3">
      <c r="A864" s="3001" t="s">
        <v>4694</v>
      </c>
      <c r="B864" s="3000" t="s">
        <v>4012</v>
      </c>
      <c r="C864" s="3000">
        <v>39.19</v>
      </c>
    </row>
    <row r="865" spans="1:3">
      <c r="A865" s="3001" t="s">
        <v>4694</v>
      </c>
      <c r="B865" s="3000" t="s">
        <v>4013</v>
      </c>
      <c r="C865" s="3000">
        <v>39.19</v>
      </c>
    </row>
    <row r="866" spans="1:3">
      <c r="A866" s="3001" t="s">
        <v>4694</v>
      </c>
      <c r="B866" s="3000" t="s">
        <v>4014</v>
      </c>
      <c r="C866" s="3000">
        <v>39.19</v>
      </c>
    </row>
    <row r="867" spans="1:3">
      <c r="A867" s="3001" t="s">
        <v>4694</v>
      </c>
      <c r="B867" s="3000" t="s">
        <v>4015</v>
      </c>
      <c r="C867" s="3000">
        <v>39.19</v>
      </c>
    </row>
    <row r="868" spans="1:3">
      <c r="A868" s="3001" t="s">
        <v>4694</v>
      </c>
      <c r="B868" s="3000" t="s">
        <v>4016</v>
      </c>
      <c r="C868" s="3000">
        <v>39.19</v>
      </c>
    </row>
    <row r="869" spans="1:3">
      <c r="A869" s="3001" t="s">
        <v>4694</v>
      </c>
      <c r="B869" s="3000" t="s">
        <v>4017</v>
      </c>
      <c r="C869" s="3000">
        <v>39.19</v>
      </c>
    </row>
    <row r="870" spans="1:3">
      <c r="A870" s="3001" t="s">
        <v>4694</v>
      </c>
      <c r="B870" s="3000" t="s">
        <v>4018</v>
      </c>
      <c r="C870" s="3000">
        <v>39.19</v>
      </c>
    </row>
    <row r="871" spans="1:3">
      <c r="A871" s="3001" t="s">
        <v>4694</v>
      </c>
      <c r="B871" s="3000" t="s">
        <v>4019</v>
      </c>
      <c r="C871" s="3000">
        <v>39.19</v>
      </c>
    </row>
    <row r="872" spans="1:3">
      <c r="A872" s="3001" t="s">
        <v>4694</v>
      </c>
      <c r="B872" s="3000" t="s">
        <v>4020</v>
      </c>
      <c r="C872" s="3000">
        <v>39.19</v>
      </c>
    </row>
    <row r="873" spans="1:3">
      <c r="A873" s="3001" t="s">
        <v>4694</v>
      </c>
      <c r="B873" s="3000" t="s">
        <v>4021</v>
      </c>
      <c r="C873" s="3000">
        <v>39.19</v>
      </c>
    </row>
    <row r="874" spans="1:3">
      <c r="A874" s="3001" t="s">
        <v>4694</v>
      </c>
      <c r="B874" s="3000" t="s">
        <v>4022</v>
      </c>
      <c r="C874" s="3000">
        <v>39.19</v>
      </c>
    </row>
    <row r="875" spans="1:3">
      <c r="A875" s="3001" t="s">
        <v>4694</v>
      </c>
      <c r="B875" s="3000" t="s">
        <v>4023</v>
      </c>
      <c r="C875" s="3000">
        <v>39.19</v>
      </c>
    </row>
    <row r="876" spans="1:3">
      <c r="A876" s="3001" t="s">
        <v>4694</v>
      </c>
      <c r="B876" s="3000" t="s">
        <v>4024</v>
      </c>
      <c r="C876" s="3000">
        <v>39.19</v>
      </c>
    </row>
    <row r="877" spans="1:3">
      <c r="A877" s="3001" t="s">
        <v>4694</v>
      </c>
      <c r="B877" s="3000" t="s">
        <v>4025</v>
      </c>
      <c r="C877" s="3000">
        <v>39.19</v>
      </c>
    </row>
    <row r="878" spans="1:3">
      <c r="A878" s="3001" t="s">
        <v>4694</v>
      </c>
      <c r="B878" s="3000" t="s">
        <v>4026</v>
      </c>
      <c r="C878" s="3000">
        <v>39.19</v>
      </c>
    </row>
    <row r="879" spans="1:3">
      <c r="A879" s="3001" t="s">
        <v>4694</v>
      </c>
      <c r="B879" s="3000" t="s">
        <v>4027</v>
      </c>
      <c r="C879" s="3000">
        <v>39.19</v>
      </c>
    </row>
    <row r="880" spans="1:3">
      <c r="A880" s="3001" t="s">
        <v>4694</v>
      </c>
      <c r="B880" s="3000" t="s">
        <v>4028</v>
      </c>
      <c r="C880" s="3000">
        <v>39.19</v>
      </c>
    </row>
    <row r="881" spans="1:3">
      <c r="A881" s="3001" t="s">
        <v>4694</v>
      </c>
      <c r="B881" s="3000" t="s">
        <v>4029</v>
      </c>
      <c r="C881" s="3000">
        <v>39.19</v>
      </c>
    </row>
    <row r="882" spans="1:3">
      <c r="A882" s="3001" t="s">
        <v>4694</v>
      </c>
      <c r="B882" s="3000" t="s">
        <v>4030</v>
      </c>
      <c r="C882" s="3000">
        <v>39.19</v>
      </c>
    </row>
    <row r="883" spans="1:3">
      <c r="A883" s="3001" t="s">
        <v>4694</v>
      </c>
      <c r="B883" s="3000" t="s">
        <v>4031</v>
      </c>
      <c r="C883" s="3000">
        <v>39.19</v>
      </c>
    </row>
    <row r="884" spans="1:3">
      <c r="A884" s="3001" t="s">
        <v>4694</v>
      </c>
      <c r="B884" s="3000" t="s">
        <v>4032</v>
      </c>
      <c r="C884" s="3000">
        <v>39.19</v>
      </c>
    </row>
    <row r="885" spans="1:3">
      <c r="A885" s="3001" t="s">
        <v>4694</v>
      </c>
      <c r="B885" s="3000" t="s">
        <v>4033</v>
      </c>
      <c r="C885" s="3000">
        <v>39.19</v>
      </c>
    </row>
    <row r="886" spans="1:3">
      <c r="A886" s="3001" t="s">
        <v>4694</v>
      </c>
      <c r="B886" s="3000" t="s">
        <v>4034</v>
      </c>
      <c r="C886" s="3000">
        <v>39.19</v>
      </c>
    </row>
    <row r="887" spans="1:3">
      <c r="A887" s="3001" t="s">
        <v>4694</v>
      </c>
      <c r="B887" s="3000" t="s">
        <v>4035</v>
      </c>
      <c r="C887" s="3000">
        <v>39.19</v>
      </c>
    </row>
    <row r="888" spans="1:3">
      <c r="A888" s="3001" t="s">
        <v>4694</v>
      </c>
      <c r="B888" s="3000" t="s">
        <v>4036</v>
      </c>
      <c r="C888" s="3000">
        <v>39.19</v>
      </c>
    </row>
    <row r="889" spans="1:3">
      <c r="A889" s="3001" t="s">
        <v>4694</v>
      </c>
      <c r="B889" s="3000" t="s">
        <v>4037</v>
      </c>
      <c r="C889" s="3000">
        <v>39.19</v>
      </c>
    </row>
    <row r="890" spans="1:3">
      <c r="A890" s="3001" t="s">
        <v>4694</v>
      </c>
      <c r="B890" s="3000" t="s">
        <v>4038</v>
      </c>
      <c r="C890" s="3000">
        <v>39.19</v>
      </c>
    </row>
    <row r="891" spans="1:3">
      <c r="A891" s="3001" t="s">
        <v>4694</v>
      </c>
      <c r="B891" s="3000" t="s">
        <v>4039</v>
      </c>
      <c r="C891" s="3000">
        <v>39.19</v>
      </c>
    </row>
    <row r="892" spans="1:3">
      <c r="A892" s="3001" t="s">
        <v>4694</v>
      </c>
      <c r="B892" s="3000" t="s">
        <v>4040</v>
      </c>
      <c r="C892" s="3000">
        <v>39.19</v>
      </c>
    </row>
    <row r="893" spans="1:3">
      <c r="A893" s="3001" t="s">
        <v>4694</v>
      </c>
      <c r="B893" s="3000" t="s">
        <v>4041</v>
      </c>
      <c r="C893" s="3000">
        <v>39.19</v>
      </c>
    </row>
    <row r="894" spans="1:3">
      <c r="A894" s="3001" t="s">
        <v>4694</v>
      </c>
      <c r="B894" s="3000" t="s">
        <v>4042</v>
      </c>
      <c r="C894" s="3000">
        <v>39.19</v>
      </c>
    </row>
    <row r="895" spans="1:3">
      <c r="A895" s="3001" t="s">
        <v>4694</v>
      </c>
      <c r="B895" s="3000" t="s">
        <v>4043</v>
      </c>
      <c r="C895" s="3000">
        <v>39.19</v>
      </c>
    </row>
    <row r="896" spans="1:3">
      <c r="A896" s="3001" t="s">
        <v>4694</v>
      </c>
      <c r="B896" s="3000" t="s">
        <v>4044</v>
      </c>
      <c r="C896" s="3000">
        <v>39.19</v>
      </c>
    </row>
    <row r="897" spans="1:3">
      <c r="A897" s="3001" t="s">
        <v>4694</v>
      </c>
      <c r="B897" s="3000" t="s">
        <v>4045</v>
      </c>
      <c r="C897" s="3000">
        <v>39.19</v>
      </c>
    </row>
    <row r="898" spans="1:3">
      <c r="A898" s="3001" t="s">
        <v>4694</v>
      </c>
      <c r="B898" s="3000" t="s">
        <v>4046</v>
      </c>
      <c r="C898" s="3000">
        <v>39.19</v>
      </c>
    </row>
    <row r="899" spans="1:3">
      <c r="A899" s="3001" t="s">
        <v>4694</v>
      </c>
      <c r="B899" s="3000" t="s">
        <v>4047</v>
      </c>
      <c r="C899" s="3000">
        <v>39.19</v>
      </c>
    </row>
    <row r="900" spans="1:3">
      <c r="A900" s="3001" t="s">
        <v>4694</v>
      </c>
      <c r="B900" s="3000" t="s">
        <v>4048</v>
      </c>
      <c r="C900" s="3000">
        <v>39.19</v>
      </c>
    </row>
    <row r="901" spans="1:3">
      <c r="A901" s="3001" t="s">
        <v>4694</v>
      </c>
      <c r="B901" s="3000" t="s">
        <v>4049</v>
      </c>
      <c r="C901" s="3000">
        <v>39.19</v>
      </c>
    </row>
    <row r="902" spans="1:3">
      <c r="A902" s="3001" t="s">
        <v>4694</v>
      </c>
      <c r="B902" s="3000" t="s">
        <v>4050</v>
      </c>
      <c r="C902" s="3000">
        <v>39.19</v>
      </c>
    </row>
    <row r="903" spans="1:3">
      <c r="A903" s="3001" t="s">
        <v>4694</v>
      </c>
      <c r="B903" s="3000" t="s">
        <v>4051</v>
      </c>
      <c r="C903" s="3000">
        <v>39.19</v>
      </c>
    </row>
    <row r="904" spans="1:3">
      <c r="A904" s="3001" t="s">
        <v>4694</v>
      </c>
      <c r="B904" s="3000" t="s">
        <v>4052</v>
      </c>
      <c r="C904" s="3000">
        <v>39.19</v>
      </c>
    </row>
    <row r="905" spans="1:3">
      <c r="A905" s="3001" t="s">
        <v>4694</v>
      </c>
      <c r="B905" s="3000" t="s">
        <v>4053</v>
      </c>
      <c r="C905" s="3000">
        <v>39.19</v>
      </c>
    </row>
    <row r="906" spans="1:3">
      <c r="A906" s="3001" t="s">
        <v>4694</v>
      </c>
      <c r="B906" s="3000" t="s">
        <v>4054</v>
      </c>
      <c r="C906" s="3000">
        <v>39.19</v>
      </c>
    </row>
    <row r="907" spans="1:3">
      <c r="A907" s="3001" t="s">
        <v>4694</v>
      </c>
      <c r="B907" s="3000" t="s">
        <v>4055</v>
      </c>
      <c r="C907" s="3000">
        <v>39.19</v>
      </c>
    </row>
    <row r="908" spans="1:3">
      <c r="A908" s="3001" t="s">
        <v>4694</v>
      </c>
      <c r="B908" s="3000" t="s">
        <v>4056</v>
      </c>
      <c r="C908" s="3000">
        <v>39.19</v>
      </c>
    </row>
    <row r="909" spans="1:3">
      <c r="A909" s="3001" t="s">
        <v>4694</v>
      </c>
      <c r="B909" s="3000" t="s">
        <v>4057</v>
      </c>
      <c r="C909" s="3000">
        <v>39.19</v>
      </c>
    </row>
    <row r="910" spans="1:3">
      <c r="A910" s="3001" t="s">
        <v>4694</v>
      </c>
      <c r="B910" s="3000" t="s">
        <v>4058</v>
      </c>
      <c r="C910" s="3000">
        <v>39.19</v>
      </c>
    </row>
    <row r="911" spans="1:3">
      <c r="A911" s="3001" t="s">
        <v>4694</v>
      </c>
      <c r="B911" s="3000" t="s">
        <v>4059</v>
      </c>
      <c r="C911" s="3000">
        <v>39.19</v>
      </c>
    </row>
    <row r="912" spans="1:3">
      <c r="A912" s="3001" t="s">
        <v>4694</v>
      </c>
      <c r="B912" s="3000" t="s">
        <v>4060</v>
      </c>
      <c r="C912" s="3000">
        <v>39.19</v>
      </c>
    </row>
    <row r="913" spans="1:3">
      <c r="A913" s="3001" t="s">
        <v>4694</v>
      </c>
      <c r="B913" s="3000" t="s">
        <v>4061</v>
      </c>
      <c r="C913" s="3000">
        <v>39.19</v>
      </c>
    </row>
    <row r="914" spans="1:3">
      <c r="A914" s="3001" t="s">
        <v>4694</v>
      </c>
      <c r="B914" s="3000" t="s">
        <v>4062</v>
      </c>
      <c r="C914" s="3000">
        <v>39.19</v>
      </c>
    </row>
    <row r="915" spans="1:3">
      <c r="A915" s="3001" t="s">
        <v>4694</v>
      </c>
      <c r="B915" s="3000" t="s">
        <v>4063</v>
      </c>
      <c r="C915" s="3000">
        <v>39.19</v>
      </c>
    </row>
    <row r="916" spans="1:3">
      <c r="A916" s="3001" t="s">
        <v>4694</v>
      </c>
      <c r="B916" s="3000" t="s">
        <v>4064</v>
      </c>
      <c r="C916" s="3000">
        <v>39.19</v>
      </c>
    </row>
    <row r="917" spans="1:3">
      <c r="A917" s="3001" t="s">
        <v>4694</v>
      </c>
      <c r="B917" s="3000" t="s">
        <v>4065</v>
      </c>
      <c r="C917" s="3000">
        <v>39.19</v>
      </c>
    </row>
    <row r="918" spans="1:3">
      <c r="A918" s="3001" t="s">
        <v>4694</v>
      </c>
      <c r="B918" s="3000" t="s">
        <v>4066</v>
      </c>
      <c r="C918" s="3000">
        <v>39.19</v>
      </c>
    </row>
    <row r="919" spans="1:3">
      <c r="A919" s="3001" t="s">
        <v>4694</v>
      </c>
      <c r="B919" s="3000" t="s">
        <v>4067</v>
      </c>
      <c r="C919" s="3000">
        <v>39.19</v>
      </c>
    </row>
    <row r="920" spans="1:3">
      <c r="A920" s="3001" t="s">
        <v>4694</v>
      </c>
      <c r="B920" s="3000" t="s">
        <v>4068</v>
      </c>
      <c r="C920" s="3000">
        <v>39.19</v>
      </c>
    </row>
    <row r="921" spans="1:3">
      <c r="A921" s="3001" t="s">
        <v>4694</v>
      </c>
      <c r="B921" s="3000" t="s">
        <v>4069</v>
      </c>
      <c r="C921" s="3000">
        <v>39.19</v>
      </c>
    </row>
    <row r="922" spans="1:3">
      <c r="A922" s="3001" t="s">
        <v>4694</v>
      </c>
      <c r="B922" s="3000" t="s">
        <v>4070</v>
      </c>
      <c r="C922" s="3000">
        <v>39.19</v>
      </c>
    </row>
    <row r="923" spans="1:3">
      <c r="A923" s="3001" t="s">
        <v>4694</v>
      </c>
      <c r="B923" s="3000" t="s">
        <v>4071</v>
      </c>
      <c r="C923" s="3000">
        <v>39.19</v>
      </c>
    </row>
    <row r="924" spans="1:3">
      <c r="A924" s="3001" t="s">
        <v>4694</v>
      </c>
      <c r="B924" s="3000" t="s">
        <v>4072</v>
      </c>
      <c r="C924" s="3000">
        <v>39.19</v>
      </c>
    </row>
    <row r="925" spans="1:3">
      <c r="A925" s="3001" t="s">
        <v>4694</v>
      </c>
      <c r="B925" s="3000" t="s">
        <v>4073</v>
      </c>
      <c r="C925" s="3000">
        <v>39.19</v>
      </c>
    </row>
    <row r="926" spans="1:3">
      <c r="A926" s="3001" t="s">
        <v>4694</v>
      </c>
      <c r="B926" s="3000" t="s">
        <v>4074</v>
      </c>
      <c r="C926" s="3000">
        <v>39.19</v>
      </c>
    </row>
    <row r="927" spans="1:3">
      <c r="A927" s="3001" t="s">
        <v>4694</v>
      </c>
      <c r="B927" s="3000" t="s">
        <v>4075</v>
      </c>
      <c r="C927" s="3000">
        <v>39.19</v>
      </c>
    </row>
    <row r="928" spans="1:3">
      <c r="A928" s="3001" t="s">
        <v>4694</v>
      </c>
      <c r="B928" s="3000" t="s">
        <v>4076</v>
      </c>
      <c r="C928" s="3000">
        <v>39.19</v>
      </c>
    </row>
    <row r="929" spans="1:3">
      <c r="A929" s="3001" t="s">
        <v>4694</v>
      </c>
      <c r="B929" s="3000" t="s">
        <v>4077</v>
      </c>
      <c r="C929" s="3000">
        <v>39.19</v>
      </c>
    </row>
    <row r="930" spans="1:3">
      <c r="A930" s="3001" t="s">
        <v>4694</v>
      </c>
      <c r="B930" s="3000" t="s">
        <v>4078</v>
      </c>
      <c r="C930" s="3000">
        <v>39.19</v>
      </c>
    </row>
    <row r="931" spans="1:3">
      <c r="A931" s="3001" t="s">
        <v>4694</v>
      </c>
      <c r="B931" s="3000" t="s">
        <v>4079</v>
      </c>
      <c r="C931" s="3000">
        <v>39.19</v>
      </c>
    </row>
    <row r="932" spans="1:3">
      <c r="A932" s="3001" t="s">
        <v>4694</v>
      </c>
      <c r="B932" s="3000" t="s">
        <v>4080</v>
      </c>
      <c r="C932" s="3000">
        <v>39.19</v>
      </c>
    </row>
    <row r="933" spans="1:3">
      <c r="A933" s="3001" t="s">
        <v>4694</v>
      </c>
      <c r="B933" s="3000" t="s">
        <v>4081</v>
      </c>
      <c r="C933" s="3000">
        <v>39.19</v>
      </c>
    </row>
    <row r="934" spans="1:3">
      <c r="A934" s="3001" t="s">
        <v>4694</v>
      </c>
      <c r="B934" s="3000" t="s">
        <v>4082</v>
      </c>
      <c r="C934" s="3000">
        <v>39.19</v>
      </c>
    </row>
    <row r="935" spans="1:3">
      <c r="A935" s="3001" t="s">
        <v>4694</v>
      </c>
      <c r="B935" s="3000" t="s">
        <v>4083</v>
      </c>
      <c r="C935" s="3000">
        <v>39.19</v>
      </c>
    </row>
    <row r="936" spans="1:3">
      <c r="A936" s="3001" t="s">
        <v>4694</v>
      </c>
      <c r="B936" s="3000" t="s">
        <v>4084</v>
      </c>
      <c r="C936" s="3000">
        <v>39.19</v>
      </c>
    </row>
    <row r="937" spans="1:3">
      <c r="A937" s="3001" t="s">
        <v>4694</v>
      </c>
      <c r="B937" s="3000" t="s">
        <v>4085</v>
      </c>
      <c r="C937" s="3000">
        <v>39.19</v>
      </c>
    </row>
    <row r="938" spans="1:3">
      <c r="A938" s="3001" t="s">
        <v>4694</v>
      </c>
      <c r="B938" s="3000" t="s">
        <v>4086</v>
      </c>
      <c r="C938" s="3000">
        <v>39.19</v>
      </c>
    </row>
    <row r="939" spans="1:3">
      <c r="A939" s="3001" t="s">
        <v>4694</v>
      </c>
      <c r="B939" s="3000" t="s">
        <v>4087</v>
      </c>
      <c r="C939" s="3000">
        <v>39.19</v>
      </c>
    </row>
    <row r="940" spans="1:3">
      <c r="A940" s="3001" t="s">
        <v>4694</v>
      </c>
      <c r="B940" s="3000" t="s">
        <v>4088</v>
      </c>
      <c r="C940" s="3000">
        <v>39.19</v>
      </c>
    </row>
    <row r="941" spans="1:3">
      <c r="A941" s="3001" t="s">
        <v>4694</v>
      </c>
      <c r="B941" s="3000" t="s">
        <v>4089</v>
      </c>
      <c r="C941" s="3000">
        <v>39.19</v>
      </c>
    </row>
    <row r="942" spans="1:3">
      <c r="A942" s="3001" t="s">
        <v>4694</v>
      </c>
      <c r="B942" s="3000" t="s">
        <v>4090</v>
      </c>
      <c r="C942" s="3000">
        <v>39.19</v>
      </c>
    </row>
    <row r="943" spans="1:3">
      <c r="A943" s="3001" t="s">
        <v>4694</v>
      </c>
      <c r="B943" s="3000" t="s">
        <v>4091</v>
      </c>
      <c r="C943" s="3000">
        <v>39.19</v>
      </c>
    </row>
    <row r="944" spans="1:3">
      <c r="A944" s="3001" t="s">
        <v>4694</v>
      </c>
      <c r="B944" s="3000" t="s">
        <v>4092</v>
      </c>
      <c r="C944" s="3000">
        <v>39.19</v>
      </c>
    </row>
    <row r="945" spans="1:3">
      <c r="A945" s="3001" t="s">
        <v>4694</v>
      </c>
      <c r="B945" s="3000" t="s">
        <v>4093</v>
      </c>
      <c r="C945" s="3000">
        <v>39.19</v>
      </c>
    </row>
    <row r="946" spans="1:3">
      <c r="A946" s="3001" t="s">
        <v>4694</v>
      </c>
      <c r="B946" s="3000" t="s">
        <v>4094</v>
      </c>
      <c r="C946" s="3000">
        <v>39.19</v>
      </c>
    </row>
    <row r="947" spans="1:3">
      <c r="A947" s="3001" t="s">
        <v>4694</v>
      </c>
      <c r="B947" s="3000" t="s">
        <v>4095</v>
      </c>
      <c r="C947" s="3000">
        <v>39.19</v>
      </c>
    </row>
    <row r="948" spans="1:3">
      <c r="A948" s="3001" t="s">
        <v>4694</v>
      </c>
      <c r="B948" s="3000" t="s">
        <v>4096</v>
      </c>
      <c r="C948" s="3000">
        <v>39.19</v>
      </c>
    </row>
    <row r="949" spans="1:3">
      <c r="A949" s="3001" t="s">
        <v>4694</v>
      </c>
      <c r="B949" s="3000" t="s">
        <v>4097</v>
      </c>
      <c r="C949" s="3000">
        <v>39.19</v>
      </c>
    </row>
    <row r="950" spans="1:3">
      <c r="A950" s="3001" t="s">
        <v>4694</v>
      </c>
      <c r="B950" s="3000" t="s">
        <v>4098</v>
      </c>
      <c r="C950" s="3000">
        <v>39.19</v>
      </c>
    </row>
    <row r="951" spans="1:3">
      <c r="A951" s="3001" t="s">
        <v>4694</v>
      </c>
      <c r="B951" s="3000" t="s">
        <v>4099</v>
      </c>
      <c r="C951" s="3000">
        <v>39.19</v>
      </c>
    </row>
    <row r="952" spans="1:3">
      <c r="A952" s="3001" t="s">
        <v>4694</v>
      </c>
      <c r="B952" s="3000" t="s">
        <v>4100</v>
      </c>
      <c r="C952" s="3000">
        <v>39.19</v>
      </c>
    </row>
    <row r="953" spans="1:3">
      <c r="A953" s="3001" t="s">
        <v>4694</v>
      </c>
      <c r="B953" s="3000" t="s">
        <v>4101</v>
      </c>
      <c r="C953" s="3000">
        <v>39.19</v>
      </c>
    </row>
    <row r="954" spans="1:3">
      <c r="A954" s="3001" t="s">
        <v>4694</v>
      </c>
      <c r="B954" s="3000" t="s">
        <v>4102</v>
      </c>
      <c r="C954" s="3000">
        <v>39.19</v>
      </c>
    </row>
    <row r="955" spans="1:3">
      <c r="A955" s="3001" t="s">
        <v>4694</v>
      </c>
      <c r="B955" s="3000" t="s">
        <v>4103</v>
      </c>
      <c r="C955" s="3000">
        <v>39.19</v>
      </c>
    </row>
    <row r="956" spans="1:3">
      <c r="A956" s="3001" t="s">
        <v>4694</v>
      </c>
      <c r="B956" s="3000" t="s">
        <v>4104</v>
      </c>
      <c r="C956" s="3000">
        <v>39.19</v>
      </c>
    </row>
    <row r="957" spans="1:3">
      <c r="A957" s="3001" t="s">
        <v>4694</v>
      </c>
      <c r="B957" s="3000" t="s">
        <v>4105</v>
      </c>
      <c r="C957" s="3000">
        <v>39.19</v>
      </c>
    </row>
    <row r="958" spans="1:3">
      <c r="A958" s="3001" t="s">
        <v>4694</v>
      </c>
      <c r="B958" s="3000" t="s">
        <v>4106</v>
      </c>
      <c r="C958" s="3000">
        <v>39.19</v>
      </c>
    </row>
    <row r="959" spans="1:3">
      <c r="A959" s="3001" t="s">
        <v>4694</v>
      </c>
      <c r="B959" s="3000" t="s">
        <v>4107</v>
      </c>
      <c r="C959" s="3000">
        <v>39.19</v>
      </c>
    </row>
    <row r="960" spans="1:3">
      <c r="A960" s="3001" t="s">
        <v>4694</v>
      </c>
      <c r="B960" s="3000" t="s">
        <v>4108</v>
      </c>
      <c r="C960" s="3000">
        <v>39.19</v>
      </c>
    </row>
    <row r="961" spans="1:3">
      <c r="A961" s="3001" t="s">
        <v>4694</v>
      </c>
      <c r="B961" s="3000" t="s">
        <v>4109</v>
      </c>
      <c r="C961" s="3000">
        <v>39.19</v>
      </c>
    </row>
    <row r="962" spans="1:3">
      <c r="A962" s="3001" t="s">
        <v>4694</v>
      </c>
      <c r="B962" s="3000" t="s">
        <v>4110</v>
      </c>
      <c r="C962" s="3000">
        <v>39.19</v>
      </c>
    </row>
    <row r="963" spans="1:3">
      <c r="A963" s="3001" t="s">
        <v>4694</v>
      </c>
      <c r="B963" s="3000" t="s">
        <v>4111</v>
      </c>
      <c r="C963" s="3000">
        <v>39.19</v>
      </c>
    </row>
    <row r="964" spans="1:3">
      <c r="A964" s="3001" t="s">
        <v>4694</v>
      </c>
      <c r="B964" s="3000" t="s">
        <v>4112</v>
      </c>
      <c r="C964" s="3000">
        <v>39.19</v>
      </c>
    </row>
    <row r="965" spans="1:3">
      <c r="A965" s="3001" t="s">
        <v>4694</v>
      </c>
      <c r="B965" s="3000" t="s">
        <v>4113</v>
      </c>
      <c r="C965" s="3000">
        <v>39.19</v>
      </c>
    </row>
    <row r="966" spans="1:3">
      <c r="A966" s="3001" t="s">
        <v>4694</v>
      </c>
      <c r="B966" s="3000" t="s">
        <v>4114</v>
      </c>
      <c r="C966" s="3000">
        <v>39.19</v>
      </c>
    </row>
    <row r="967" spans="1:3">
      <c r="A967" s="3001" t="s">
        <v>4694</v>
      </c>
      <c r="B967" s="3000" t="s">
        <v>4115</v>
      </c>
      <c r="C967" s="3000">
        <v>39.19</v>
      </c>
    </row>
    <row r="968" spans="1:3">
      <c r="A968" s="3001" t="s">
        <v>4694</v>
      </c>
      <c r="B968" s="3000" t="s">
        <v>4116</v>
      </c>
      <c r="C968" s="3000">
        <v>39.19</v>
      </c>
    </row>
    <row r="969" spans="1:3">
      <c r="A969" s="3001" t="s">
        <v>4694</v>
      </c>
      <c r="B969" s="3000" t="s">
        <v>4117</v>
      </c>
      <c r="C969" s="3000">
        <v>39.19</v>
      </c>
    </row>
    <row r="970" spans="1:3">
      <c r="A970" s="3001" t="s">
        <v>4694</v>
      </c>
      <c r="B970" s="3000" t="s">
        <v>4118</v>
      </c>
      <c r="C970" s="3000">
        <v>39.19</v>
      </c>
    </row>
    <row r="971" spans="1:3">
      <c r="A971" s="3001" t="s">
        <v>4694</v>
      </c>
      <c r="B971" s="3000" t="s">
        <v>4119</v>
      </c>
      <c r="C971" s="3000">
        <v>39.19</v>
      </c>
    </row>
    <row r="972" spans="1:3">
      <c r="A972" s="3001" t="s">
        <v>4694</v>
      </c>
      <c r="B972" s="3000" t="s">
        <v>4120</v>
      </c>
      <c r="C972" s="3000">
        <v>39.19</v>
      </c>
    </row>
    <row r="973" spans="1:3">
      <c r="A973" s="3001" t="s">
        <v>4694</v>
      </c>
      <c r="B973" s="3000" t="s">
        <v>4121</v>
      </c>
      <c r="C973" s="3000">
        <v>39.19</v>
      </c>
    </row>
    <row r="974" spans="1:3">
      <c r="A974" s="3001" t="s">
        <v>4694</v>
      </c>
      <c r="B974" s="3000" t="s">
        <v>4122</v>
      </c>
      <c r="C974" s="3000">
        <v>39.19</v>
      </c>
    </row>
    <row r="975" spans="1:3">
      <c r="A975" s="3001" t="s">
        <v>4694</v>
      </c>
      <c r="B975" s="3000" t="s">
        <v>4123</v>
      </c>
      <c r="C975" s="3000">
        <v>39.19</v>
      </c>
    </row>
    <row r="976" spans="1:3">
      <c r="A976" s="3001" t="s">
        <v>4694</v>
      </c>
      <c r="B976" s="3000" t="s">
        <v>4124</v>
      </c>
      <c r="C976" s="3000">
        <v>39.19</v>
      </c>
    </row>
    <row r="977" spans="1:3">
      <c r="A977" s="3001" t="s">
        <v>4694</v>
      </c>
      <c r="B977" s="3000" t="s">
        <v>4125</v>
      </c>
      <c r="C977" s="3000">
        <v>39.19</v>
      </c>
    </row>
    <row r="978" spans="1:3">
      <c r="A978" s="3001" t="s">
        <v>4694</v>
      </c>
      <c r="B978" s="3000" t="s">
        <v>4126</v>
      </c>
      <c r="C978" s="3000">
        <v>39.19</v>
      </c>
    </row>
    <row r="979" spans="1:3">
      <c r="A979" s="3001" t="s">
        <v>4694</v>
      </c>
      <c r="B979" s="3000" t="s">
        <v>4127</v>
      </c>
      <c r="C979" s="3000">
        <v>39.19</v>
      </c>
    </row>
    <row r="980" spans="1:3">
      <c r="A980" s="3001" t="s">
        <v>4694</v>
      </c>
      <c r="B980" s="3000" t="s">
        <v>4128</v>
      </c>
      <c r="C980" s="3000">
        <v>39.19</v>
      </c>
    </row>
    <row r="981" spans="1:3">
      <c r="A981" s="3001" t="s">
        <v>4694</v>
      </c>
      <c r="B981" s="3000" t="s">
        <v>4129</v>
      </c>
      <c r="C981" s="3000">
        <v>39.19</v>
      </c>
    </row>
    <row r="982" spans="1:3">
      <c r="A982" s="3001" t="s">
        <v>4694</v>
      </c>
      <c r="B982" s="3000" t="s">
        <v>4130</v>
      </c>
      <c r="C982" s="3000">
        <v>39.19</v>
      </c>
    </row>
    <row r="983" spans="1:3">
      <c r="A983" s="3001" t="s">
        <v>4694</v>
      </c>
      <c r="B983" s="3000" t="s">
        <v>4131</v>
      </c>
      <c r="C983" s="3000">
        <v>39.19</v>
      </c>
    </row>
    <row r="984" spans="1:3">
      <c r="A984" s="3001" t="s">
        <v>4694</v>
      </c>
      <c r="B984" s="3000" t="s">
        <v>4132</v>
      </c>
      <c r="C984" s="3000">
        <v>39.19</v>
      </c>
    </row>
    <row r="985" spans="1:3">
      <c r="A985" s="3001" t="s">
        <v>4694</v>
      </c>
      <c r="B985" s="3000" t="s">
        <v>4133</v>
      </c>
      <c r="C985" s="3000">
        <v>39.19</v>
      </c>
    </row>
    <row r="986" spans="1:3">
      <c r="A986" s="3001" t="s">
        <v>4694</v>
      </c>
      <c r="B986" s="3000" t="s">
        <v>4134</v>
      </c>
      <c r="C986" s="3000">
        <v>39.19</v>
      </c>
    </row>
    <row r="987" spans="1:3">
      <c r="A987" s="3001" t="s">
        <v>4694</v>
      </c>
      <c r="B987" s="3000" t="s">
        <v>4135</v>
      </c>
      <c r="C987" s="3000">
        <v>39.19</v>
      </c>
    </row>
    <row r="988" spans="1:3">
      <c r="A988" s="3001" t="s">
        <v>4694</v>
      </c>
      <c r="B988" s="3000" t="s">
        <v>4136</v>
      </c>
      <c r="C988" s="3000">
        <v>39.1</v>
      </c>
    </row>
    <row r="989" spans="1:3">
      <c r="A989" s="3001" t="s">
        <v>4694</v>
      </c>
      <c r="B989" s="3000" t="s">
        <v>4137</v>
      </c>
      <c r="C989" s="3000">
        <v>39.1</v>
      </c>
    </row>
    <row r="990" spans="1:3">
      <c r="A990" s="3001" t="s">
        <v>4694</v>
      </c>
      <c r="B990" s="3000" t="s">
        <v>4138</v>
      </c>
      <c r="C990" s="3000">
        <v>39.1</v>
      </c>
    </row>
    <row r="991" spans="1:3">
      <c r="A991" s="3001" t="s">
        <v>4694</v>
      </c>
      <c r="B991" s="3000" t="s">
        <v>4139</v>
      </c>
      <c r="C991" s="3000">
        <v>39.1</v>
      </c>
    </row>
    <row r="992" spans="1:3">
      <c r="A992" s="3001" t="s">
        <v>4694</v>
      </c>
      <c r="B992" s="3000" t="s">
        <v>4140</v>
      </c>
      <c r="C992" s="3000">
        <v>39.1</v>
      </c>
    </row>
    <row r="993" spans="1:3">
      <c r="A993" s="3001" t="s">
        <v>4694</v>
      </c>
      <c r="B993" s="3000" t="s">
        <v>4141</v>
      </c>
      <c r="C993" s="3000">
        <v>39.1</v>
      </c>
    </row>
    <row r="994" spans="1:3">
      <c r="A994" s="3001" t="s">
        <v>4694</v>
      </c>
      <c r="B994" s="3000" t="s">
        <v>4142</v>
      </c>
      <c r="C994" s="3000">
        <v>39.1</v>
      </c>
    </row>
    <row r="995" spans="1:3">
      <c r="A995" s="3001" t="s">
        <v>4694</v>
      </c>
      <c r="B995" s="3000" t="s">
        <v>4143</v>
      </c>
      <c r="C995" s="3000">
        <v>39.1</v>
      </c>
    </row>
    <row r="996" spans="1:3">
      <c r="A996" s="3001" t="s">
        <v>4694</v>
      </c>
      <c r="B996" s="3000" t="s">
        <v>4144</v>
      </c>
      <c r="C996" s="3000">
        <v>39.1</v>
      </c>
    </row>
    <row r="997" spans="1:3">
      <c r="A997" s="3001" t="s">
        <v>4694</v>
      </c>
      <c r="B997" s="3000" t="s">
        <v>4145</v>
      </c>
      <c r="C997" s="3000">
        <v>39.1</v>
      </c>
    </row>
    <row r="998" spans="1:3">
      <c r="A998" s="3001" t="s">
        <v>4694</v>
      </c>
      <c r="B998" s="3000" t="s">
        <v>4146</v>
      </c>
      <c r="C998" s="3000">
        <v>39.1</v>
      </c>
    </row>
    <row r="999" spans="1:3">
      <c r="A999" s="3001" t="s">
        <v>4694</v>
      </c>
      <c r="B999" s="3000" t="s">
        <v>4147</v>
      </c>
      <c r="C999" s="3000">
        <v>39.1</v>
      </c>
    </row>
    <row r="1000" spans="1:3">
      <c r="A1000" s="3001" t="s">
        <v>4694</v>
      </c>
      <c r="B1000" s="3000" t="s">
        <v>4148</v>
      </c>
      <c r="C1000" s="3000">
        <v>39.1</v>
      </c>
    </row>
    <row r="1001" spans="1:3">
      <c r="A1001" s="3001" t="s">
        <v>4694</v>
      </c>
      <c r="B1001" s="3000" t="s">
        <v>4149</v>
      </c>
      <c r="C1001" s="3000">
        <v>39.1</v>
      </c>
    </row>
    <row r="1002" spans="1:3">
      <c r="A1002" s="3001" t="s">
        <v>4694</v>
      </c>
      <c r="B1002" s="3000" t="s">
        <v>4150</v>
      </c>
      <c r="C1002" s="3000">
        <v>39.1</v>
      </c>
    </row>
    <row r="1003" spans="1:3">
      <c r="A1003" s="3001" t="s">
        <v>4694</v>
      </c>
      <c r="B1003" s="3000" t="s">
        <v>4151</v>
      </c>
      <c r="C1003" s="3000">
        <v>39.1</v>
      </c>
    </row>
    <row r="1004" spans="1:3">
      <c r="A1004" s="3001" t="s">
        <v>4694</v>
      </c>
      <c r="B1004" s="3000" t="s">
        <v>4152</v>
      </c>
      <c r="C1004" s="3000">
        <v>39.1</v>
      </c>
    </row>
    <row r="1005" spans="1:3">
      <c r="A1005" s="3001" t="s">
        <v>4694</v>
      </c>
      <c r="B1005" s="3000" t="s">
        <v>4153</v>
      </c>
      <c r="C1005" s="3000">
        <v>39.1</v>
      </c>
    </row>
    <row r="1006" spans="1:3">
      <c r="A1006" s="3001" t="s">
        <v>4694</v>
      </c>
      <c r="B1006" s="3000" t="s">
        <v>4154</v>
      </c>
      <c r="C1006" s="3000">
        <v>39.1</v>
      </c>
    </row>
    <row r="1007" spans="1:3">
      <c r="A1007" s="3001" t="s">
        <v>4694</v>
      </c>
      <c r="B1007" s="3000" t="s">
        <v>4155</v>
      </c>
      <c r="C1007" s="3000">
        <v>39.1</v>
      </c>
    </row>
    <row r="1008" spans="1:3">
      <c r="A1008" s="3001" t="s">
        <v>4694</v>
      </c>
      <c r="B1008" s="3000" t="s">
        <v>4156</v>
      </c>
      <c r="C1008" s="3000">
        <v>39.1</v>
      </c>
    </row>
    <row r="1009" spans="1:3">
      <c r="A1009" s="3001" t="s">
        <v>4694</v>
      </c>
      <c r="B1009" s="3000" t="s">
        <v>4157</v>
      </c>
      <c r="C1009" s="3000">
        <v>39.1</v>
      </c>
    </row>
    <row r="1010" spans="1:3">
      <c r="A1010" s="3001" t="s">
        <v>4694</v>
      </c>
      <c r="B1010" s="3000" t="s">
        <v>4158</v>
      </c>
      <c r="C1010" s="3000">
        <v>39.1</v>
      </c>
    </row>
    <row r="1011" spans="1:3">
      <c r="A1011" s="3001" t="s">
        <v>4694</v>
      </c>
      <c r="B1011" s="3000" t="s">
        <v>4159</v>
      </c>
      <c r="C1011" s="3000">
        <v>39.1</v>
      </c>
    </row>
    <row r="1012" spans="1:3">
      <c r="A1012" s="3001" t="s">
        <v>4694</v>
      </c>
      <c r="B1012" s="3000" t="s">
        <v>4160</v>
      </c>
      <c r="C1012" s="3000">
        <v>39.1</v>
      </c>
    </row>
    <row r="1013" spans="1:3">
      <c r="A1013" s="3001" t="s">
        <v>4694</v>
      </c>
      <c r="B1013" s="3000" t="s">
        <v>4161</v>
      </c>
      <c r="C1013" s="3000">
        <v>39.1</v>
      </c>
    </row>
    <row r="1014" spans="1:3">
      <c r="A1014" s="3001" t="s">
        <v>4694</v>
      </c>
      <c r="B1014" s="3000" t="s">
        <v>4162</v>
      </c>
      <c r="C1014" s="3000">
        <v>39.1</v>
      </c>
    </row>
    <row r="1015" spans="1:3">
      <c r="A1015" s="3001" t="s">
        <v>4694</v>
      </c>
      <c r="B1015" s="3000" t="s">
        <v>4163</v>
      </c>
      <c r="C1015" s="3000">
        <v>39.1</v>
      </c>
    </row>
    <row r="1016" spans="1:3">
      <c r="A1016" s="3001" t="s">
        <v>4694</v>
      </c>
      <c r="B1016" s="3000" t="s">
        <v>4164</v>
      </c>
      <c r="C1016" s="3000">
        <v>39.1</v>
      </c>
    </row>
    <row r="1017" spans="1:3">
      <c r="A1017" s="3001" t="s">
        <v>4694</v>
      </c>
      <c r="B1017" s="3000" t="s">
        <v>4165</v>
      </c>
      <c r="C1017" s="3000">
        <v>39.1</v>
      </c>
    </row>
    <row r="1018" spans="1:3">
      <c r="A1018" s="3001" t="s">
        <v>4694</v>
      </c>
      <c r="B1018" s="3000" t="s">
        <v>4166</v>
      </c>
      <c r="C1018" s="3000">
        <v>39.1</v>
      </c>
    </row>
    <row r="1019" spans="1:3">
      <c r="A1019" s="3001" t="s">
        <v>4694</v>
      </c>
      <c r="B1019" s="3000" t="s">
        <v>4167</v>
      </c>
      <c r="C1019" s="3000">
        <v>39.1</v>
      </c>
    </row>
    <row r="1020" spans="1:3">
      <c r="A1020" s="3001" t="s">
        <v>4694</v>
      </c>
      <c r="B1020" s="3000" t="s">
        <v>4168</v>
      </c>
      <c r="C1020" s="3000">
        <v>39.1</v>
      </c>
    </row>
    <row r="1021" spans="1:3">
      <c r="A1021" s="3001" t="s">
        <v>4694</v>
      </c>
      <c r="B1021" s="3000" t="s">
        <v>4169</v>
      </c>
      <c r="C1021" s="3000">
        <v>39.1</v>
      </c>
    </row>
    <row r="1022" spans="1:3">
      <c r="A1022" s="3001" t="s">
        <v>4694</v>
      </c>
      <c r="B1022" s="3000" t="s">
        <v>4170</v>
      </c>
      <c r="C1022" s="3000">
        <v>39.1</v>
      </c>
    </row>
    <row r="1023" spans="1:3">
      <c r="A1023" s="3001" t="s">
        <v>4694</v>
      </c>
      <c r="B1023" s="3000" t="s">
        <v>4171</v>
      </c>
      <c r="C1023" s="3000">
        <v>39.1</v>
      </c>
    </row>
    <row r="1024" spans="1:3">
      <c r="A1024" s="3001" t="s">
        <v>4694</v>
      </c>
      <c r="B1024" s="3000" t="s">
        <v>4172</v>
      </c>
      <c r="C1024" s="3000">
        <v>39.1</v>
      </c>
    </row>
    <row r="1025" spans="1:3">
      <c r="A1025" s="3001" t="s">
        <v>4694</v>
      </c>
      <c r="B1025" s="3000" t="s">
        <v>4173</v>
      </c>
      <c r="C1025" s="3000">
        <v>39.1</v>
      </c>
    </row>
    <row r="1026" spans="1:3">
      <c r="A1026" s="3001" t="s">
        <v>4694</v>
      </c>
      <c r="B1026" s="3000" t="s">
        <v>4174</v>
      </c>
      <c r="C1026" s="3000">
        <v>39.1</v>
      </c>
    </row>
    <row r="1027" spans="1:3">
      <c r="A1027" s="3001" t="s">
        <v>4694</v>
      </c>
      <c r="B1027" s="3000" t="s">
        <v>4175</v>
      </c>
      <c r="C1027" s="3000">
        <v>39.1</v>
      </c>
    </row>
    <row r="1028" spans="1:3">
      <c r="A1028" s="3001" t="s">
        <v>4694</v>
      </c>
      <c r="B1028" s="3000" t="s">
        <v>4176</v>
      </c>
      <c r="C1028" s="3000">
        <v>39.1</v>
      </c>
    </row>
    <row r="1029" spans="1:3">
      <c r="A1029" s="3001" t="s">
        <v>4694</v>
      </c>
      <c r="B1029" s="3000" t="s">
        <v>4177</v>
      </c>
      <c r="C1029" s="3000">
        <v>39.1</v>
      </c>
    </row>
    <row r="1030" spans="1:3">
      <c r="A1030" s="3001" t="s">
        <v>4694</v>
      </c>
      <c r="B1030" s="3000" t="s">
        <v>4178</v>
      </c>
      <c r="C1030" s="3000">
        <v>39.1</v>
      </c>
    </row>
    <row r="1031" spans="1:3">
      <c r="A1031" s="3001" t="s">
        <v>4694</v>
      </c>
      <c r="B1031" s="3000" t="s">
        <v>4179</v>
      </c>
      <c r="C1031" s="3000">
        <v>39.1</v>
      </c>
    </row>
    <row r="1032" spans="1:3">
      <c r="A1032" s="3001" t="s">
        <v>4694</v>
      </c>
      <c r="B1032" s="3000" t="s">
        <v>4180</v>
      </c>
      <c r="C1032" s="3000">
        <v>39.1</v>
      </c>
    </row>
    <row r="1033" spans="1:3">
      <c r="A1033" s="3001" t="s">
        <v>4694</v>
      </c>
      <c r="B1033" s="3000" t="s">
        <v>4181</v>
      </c>
      <c r="C1033" s="3000">
        <v>39.1</v>
      </c>
    </row>
    <row r="1034" spans="1:3">
      <c r="A1034" s="3001" t="s">
        <v>4694</v>
      </c>
      <c r="B1034" s="3000" t="s">
        <v>4182</v>
      </c>
      <c r="C1034" s="3000">
        <v>39.1</v>
      </c>
    </row>
    <row r="1035" spans="1:3">
      <c r="A1035" s="3001" t="s">
        <v>4694</v>
      </c>
      <c r="B1035" s="3000" t="s">
        <v>4183</v>
      </c>
      <c r="C1035" s="3000">
        <v>39.1</v>
      </c>
    </row>
    <row r="1036" spans="1:3">
      <c r="A1036" s="3001" t="s">
        <v>4694</v>
      </c>
      <c r="B1036" s="3000" t="s">
        <v>4184</v>
      </c>
      <c r="C1036" s="3000">
        <v>39.1</v>
      </c>
    </row>
    <row r="1037" spans="1:3">
      <c r="A1037" s="3001" t="s">
        <v>4694</v>
      </c>
      <c r="B1037" s="3000" t="s">
        <v>4185</v>
      </c>
      <c r="C1037" s="3000">
        <v>39.1</v>
      </c>
    </row>
    <row r="1038" spans="1:3">
      <c r="A1038" s="3001" t="s">
        <v>4694</v>
      </c>
      <c r="B1038" s="3000" t="s">
        <v>4186</v>
      </c>
      <c r="C1038" s="3000">
        <v>39.1</v>
      </c>
    </row>
    <row r="1039" spans="1:3">
      <c r="A1039" s="3001" t="s">
        <v>4694</v>
      </c>
      <c r="B1039" s="3000" t="s">
        <v>4187</v>
      </c>
      <c r="C1039" s="3000">
        <v>39.1</v>
      </c>
    </row>
    <row r="1040" spans="1:3">
      <c r="A1040" s="3001" t="s">
        <v>4694</v>
      </c>
      <c r="B1040" s="3000" t="s">
        <v>4188</v>
      </c>
      <c r="C1040" s="3000">
        <v>39.1</v>
      </c>
    </row>
    <row r="1041" spans="1:3">
      <c r="A1041" s="3001" t="s">
        <v>4694</v>
      </c>
      <c r="B1041" s="3000" t="s">
        <v>4189</v>
      </c>
      <c r="C1041" s="3000">
        <v>39.1</v>
      </c>
    </row>
    <row r="1042" spans="1:3">
      <c r="A1042" s="3001" t="s">
        <v>4694</v>
      </c>
      <c r="B1042" s="3000" t="s">
        <v>4190</v>
      </c>
      <c r="C1042" s="3000">
        <v>39.1</v>
      </c>
    </row>
    <row r="1043" spans="1:3">
      <c r="A1043" s="3001" t="s">
        <v>4694</v>
      </c>
      <c r="B1043" s="3000" t="s">
        <v>4191</v>
      </c>
      <c r="C1043" s="3000">
        <v>39.1</v>
      </c>
    </row>
    <row r="1044" spans="1:3">
      <c r="A1044" s="3001" t="s">
        <v>4694</v>
      </c>
      <c r="B1044" s="3000" t="s">
        <v>4192</v>
      </c>
      <c r="C1044" s="3000">
        <v>39.1</v>
      </c>
    </row>
    <row r="1045" spans="1:3">
      <c r="A1045" s="3001" t="s">
        <v>4694</v>
      </c>
      <c r="B1045" s="3000" t="s">
        <v>4193</v>
      </c>
      <c r="C1045" s="3000">
        <v>39.1</v>
      </c>
    </row>
    <row r="1046" spans="1:3">
      <c r="A1046" s="3001" t="s">
        <v>4694</v>
      </c>
      <c r="B1046" s="3000" t="s">
        <v>4194</v>
      </c>
      <c r="C1046" s="3000">
        <v>39.1</v>
      </c>
    </row>
    <row r="1047" spans="1:3">
      <c r="A1047" s="3001" t="s">
        <v>4694</v>
      </c>
      <c r="B1047" s="3000" t="s">
        <v>4195</v>
      </c>
      <c r="C1047" s="3000">
        <v>39.1</v>
      </c>
    </row>
    <row r="1048" spans="1:3">
      <c r="A1048" s="3001" t="s">
        <v>4694</v>
      </c>
      <c r="B1048" s="3000" t="s">
        <v>4196</v>
      </c>
      <c r="C1048" s="3000">
        <v>39.1</v>
      </c>
    </row>
    <row r="1049" spans="1:3">
      <c r="A1049" s="3001" t="s">
        <v>4694</v>
      </c>
      <c r="B1049" s="3000" t="s">
        <v>4197</v>
      </c>
      <c r="C1049" s="3000">
        <v>39.1</v>
      </c>
    </row>
    <row r="1050" spans="1:3">
      <c r="A1050" s="3001" t="s">
        <v>4694</v>
      </c>
      <c r="B1050" s="3000" t="s">
        <v>4198</v>
      </c>
      <c r="C1050" s="3000">
        <v>39.1</v>
      </c>
    </row>
    <row r="1051" spans="1:3">
      <c r="A1051" s="3001" t="s">
        <v>4694</v>
      </c>
      <c r="B1051" s="3000" t="s">
        <v>4199</v>
      </c>
      <c r="C1051" s="3000">
        <v>39.1</v>
      </c>
    </row>
    <row r="1052" spans="1:3">
      <c r="A1052" s="3001" t="s">
        <v>4694</v>
      </c>
      <c r="B1052" s="3000" t="s">
        <v>4201</v>
      </c>
      <c r="C1052" s="3000">
        <v>39.19</v>
      </c>
    </row>
    <row r="1053" spans="1:3">
      <c r="A1053" s="3001" t="s">
        <v>4694</v>
      </c>
      <c r="B1053" s="3000" t="s">
        <v>4202</v>
      </c>
      <c r="C1053" s="3000">
        <v>39.19</v>
      </c>
    </row>
    <row r="1054" spans="1:3">
      <c r="A1054" s="3001" t="s">
        <v>4694</v>
      </c>
      <c r="B1054" s="3000" t="s">
        <v>4203</v>
      </c>
      <c r="C1054" s="3000">
        <v>39.19</v>
      </c>
    </row>
    <row r="1055" spans="1:3">
      <c r="A1055" s="3001" t="s">
        <v>4694</v>
      </c>
      <c r="B1055" s="3000" t="s">
        <v>4204</v>
      </c>
      <c r="C1055" s="3000">
        <v>39.19</v>
      </c>
    </row>
    <row r="1056" spans="1:3">
      <c r="A1056" s="3001" t="s">
        <v>4694</v>
      </c>
      <c r="B1056" s="3000" t="s">
        <v>4205</v>
      </c>
      <c r="C1056" s="3000">
        <v>39.19</v>
      </c>
    </row>
    <row r="1057" spans="1:3">
      <c r="A1057" s="3001" t="s">
        <v>4694</v>
      </c>
      <c r="B1057" s="3000" t="s">
        <v>4206</v>
      </c>
      <c r="C1057" s="3000">
        <v>39.19</v>
      </c>
    </row>
    <row r="1058" spans="1:3">
      <c r="A1058" s="3001" t="s">
        <v>4694</v>
      </c>
      <c r="B1058" s="3000" t="s">
        <v>4207</v>
      </c>
      <c r="C1058" s="3000">
        <v>39.19</v>
      </c>
    </row>
    <row r="1059" spans="1:3">
      <c r="A1059" s="3001" t="s">
        <v>4694</v>
      </c>
      <c r="B1059" s="3000" t="s">
        <v>4208</v>
      </c>
      <c r="C1059" s="3000">
        <v>39.19</v>
      </c>
    </row>
    <row r="1060" spans="1:3">
      <c r="A1060" s="3001" t="s">
        <v>4694</v>
      </c>
      <c r="B1060" s="3000" t="s">
        <v>4209</v>
      </c>
      <c r="C1060" s="3000">
        <v>39.19</v>
      </c>
    </row>
    <row r="1061" spans="1:3">
      <c r="A1061" s="3001" t="s">
        <v>4694</v>
      </c>
      <c r="B1061" s="3000" t="s">
        <v>4210</v>
      </c>
      <c r="C1061" s="3000">
        <v>39.19</v>
      </c>
    </row>
    <row r="1062" spans="1:3">
      <c r="A1062" s="3001" t="s">
        <v>4694</v>
      </c>
      <c r="B1062" s="3000" t="s">
        <v>4211</v>
      </c>
      <c r="C1062" s="3000">
        <v>39.19</v>
      </c>
    </row>
    <row r="1063" spans="1:3">
      <c r="A1063" s="3001" t="s">
        <v>4694</v>
      </c>
      <c r="B1063" s="3000" t="s">
        <v>4212</v>
      </c>
      <c r="C1063" s="3000">
        <v>39.19</v>
      </c>
    </row>
    <row r="1064" spans="1:3">
      <c r="A1064" s="3001" t="s">
        <v>4694</v>
      </c>
      <c r="B1064" s="3000" t="s">
        <v>4213</v>
      </c>
      <c r="C1064" s="3000">
        <v>39.19</v>
      </c>
    </row>
    <row r="1065" spans="1:3">
      <c r="A1065" s="3001" t="s">
        <v>4694</v>
      </c>
      <c r="B1065" s="3000" t="s">
        <v>4214</v>
      </c>
      <c r="C1065" s="3000">
        <v>39.19</v>
      </c>
    </row>
    <row r="1066" spans="1:3">
      <c r="A1066" s="3001" t="s">
        <v>4694</v>
      </c>
      <c r="B1066" s="3000" t="s">
        <v>4215</v>
      </c>
      <c r="C1066" s="3000">
        <v>39.19</v>
      </c>
    </row>
    <row r="1067" spans="1:3">
      <c r="A1067" s="3001" t="s">
        <v>4694</v>
      </c>
      <c r="B1067" s="3000" t="s">
        <v>4216</v>
      </c>
      <c r="C1067" s="3000">
        <v>39.19</v>
      </c>
    </row>
    <row r="1068" spans="1:3">
      <c r="A1068" s="3001" t="s">
        <v>4694</v>
      </c>
      <c r="B1068" s="3000" t="s">
        <v>4217</v>
      </c>
      <c r="C1068" s="3000">
        <v>39.19</v>
      </c>
    </row>
    <row r="1069" spans="1:3">
      <c r="A1069" s="3001" t="s">
        <v>4694</v>
      </c>
      <c r="B1069" s="3000" t="s">
        <v>4218</v>
      </c>
      <c r="C1069" s="3000">
        <v>39.19</v>
      </c>
    </row>
    <row r="1070" spans="1:3">
      <c r="A1070" s="3001" t="s">
        <v>4694</v>
      </c>
      <c r="B1070" s="3000" t="s">
        <v>4219</v>
      </c>
      <c r="C1070" s="3000">
        <v>39.19</v>
      </c>
    </row>
    <row r="1071" spans="1:3">
      <c r="A1071" s="3001" t="s">
        <v>4694</v>
      </c>
      <c r="B1071" s="3000" t="s">
        <v>4220</v>
      </c>
      <c r="C1071" s="3000">
        <v>39.19</v>
      </c>
    </row>
    <row r="1072" spans="1:3">
      <c r="A1072" s="3001" t="s">
        <v>4694</v>
      </c>
      <c r="B1072" s="3000" t="s">
        <v>4221</v>
      </c>
      <c r="C1072" s="3000">
        <v>39.19</v>
      </c>
    </row>
    <row r="1073" spans="1:3">
      <c r="A1073" s="3001" t="s">
        <v>4694</v>
      </c>
      <c r="B1073" s="3000" t="s">
        <v>4222</v>
      </c>
      <c r="C1073" s="3000">
        <v>39.19</v>
      </c>
    </row>
    <row r="1074" spans="1:3">
      <c r="A1074" s="3001" t="s">
        <v>4694</v>
      </c>
      <c r="B1074" s="3000" t="s">
        <v>4223</v>
      </c>
      <c r="C1074" s="3000">
        <v>39.19</v>
      </c>
    </row>
    <row r="1075" spans="1:3">
      <c r="A1075" s="3001" t="s">
        <v>4694</v>
      </c>
      <c r="B1075" s="3000" t="s">
        <v>4224</v>
      </c>
      <c r="C1075" s="3000">
        <v>39.19</v>
      </c>
    </row>
    <row r="1076" spans="1:3">
      <c r="A1076" s="3001" t="s">
        <v>4694</v>
      </c>
      <c r="B1076" s="3000" t="s">
        <v>4225</v>
      </c>
      <c r="C1076" s="3000">
        <v>39.19</v>
      </c>
    </row>
    <row r="1077" spans="1:3">
      <c r="A1077" s="3001" t="s">
        <v>4694</v>
      </c>
      <c r="B1077" s="3000" t="s">
        <v>4226</v>
      </c>
      <c r="C1077" s="3000">
        <v>39.19</v>
      </c>
    </row>
    <row r="1078" spans="1:3">
      <c r="A1078" s="3001" t="s">
        <v>4694</v>
      </c>
      <c r="B1078" s="3000" t="s">
        <v>4227</v>
      </c>
      <c r="C1078" s="3000">
        <v>39.19</v>
      </c>
    </row>
    <row r="1079" spans="1:3">
      <c r="A1079" s="3001" t="s">
        <v>4694</v>
      </c>
      <c r="B1079" s="3000" t="s">
        <v>4228</v>
      </c>
      <c r="C1079" s="3000">
        <v>39.19</v>
      </c>
    </row>
    <row r="1080" spans="1:3">
      <c r="A1080" s="3001" t="s">
        <v>4694</v>
      </c>
      <c r="B1080" s="3000" t="s">
        <v>4229</v>
      </c>
      <c r="C1080" s="3000">
        <v>39.19</v>
      </c>
    </row>
    <row r="1081" spans="1:3">
      <c r="A1081" s="3001" t="s">
        <v>4694</v>
      </c>
      <c r="B1081" s="3000" t="s">
        <v>4230</v>
      </c>
      <c r="C1081" s="3000">
        <v>39.19</v>
      </c>
    </row>
    <row r="1082" spans="1:3">
      <c r="A1082" s="3001" t="s">
        <v>4694</v>
      </c>
      <c r="B1082" s="3000" t="s">
        <v>4231</v>
      </c>
      <c r="C1082" s="3000">
        <v>39.19</v>
      </c>
    </row>
    <row r="1083" spans="1:3">
      <c r="A1083" s="3001" t="s">
        <v>4694</v>
      </c>
      <c r="B1083" s="3000" t="s">
        <v>4232</v>
      </c>
      <c r="C1083" s="3000">
        <v>39.19</v>
      </c>
    </row>
    <row r="1084" spans="1:3">
      <c r="A1084" s="3001" t="s">
        <v>4694</v>
      </c>
      <c r="B1084" s="3000" t="s">
        <v>4233</v>
      </c>
      <c r="C1084" s="3000">
        <v>39.19</v>
      </c>
    </row>
    <row r="1085" spans="1:3">
      <c r="A1085" s="3001" t="s">
        <v>4694</v>
      </c>
      <c r="B1085" s="3000" t="s">
        <v>4234</v>
      </c>
      <c r="C1085" s="3000">
        <v>39.19</v>
      </c>
    </row>
    <row r="1086" spans="1:3">
      <c r="A1086" s="3001" t="s">
        <v>4694</v>
      </c>
      <c r="B1086" s="3000" t="s">
        <v>4235</v>
      </c>
      <c r="C1086" s="3000">
        <v>39.19</v>
      </c>
    </row>
    <row r="1087" spans="1:3">
      <c r="A1087" s="3001" t="s">
        <v>4694</v>
      </c>
      <c r="B1087" s="3000" t="s">
        <v>4236</v>
      </c>
      <c r="C1087" s="3000">
        <v>39.19</v>
      </c>
    </row>
    <row r="1088" spans="1:3">
      <c r="A1088" s="3001" t="s">
        <v>4694</v>
      </c>
      <c r="B1088" s="3000" t="s">
        <v>4237</v>
      </c>
      <c r="C1088" s="3000">
        <v>39.19</v>
      </c>
    </row>
    <row r="1089" spans="1:3">
      <c r="A1089" s="3001" t="s">
        <v>4694</v>
      </c>
      <c r="B1089" s="3000" t="s">
        <v>4238</v>
      </c>
      <c r="C1089" s="3000">
        <v>39.19</v>
      </c>
    </row>
    <row r="1090" spans="1:3">
      <c r="A1090" s="3001" t="s">
        <v>4694</v>
      </c>
      <c r="B1090" s="3000" t="s">
        <v>4239</v>
      </c>
      <c r="C1090" s="3000">
        <v>39.19</v>
      </c>
    </row>
    <row r="1091" spans="1:3">
      <c r="A1091" s="3001" t="s">
        <v>4694</v>
      </c>
      <c r="B1091" s="3000" t="s">
        <v>4240</v>
      </c>
      <c r="C1091" s="3000">
        <v>39.19</v>
      </c>
    </row>
    <row r="1092" spans="1:3">
      <c r="A1092" s="3001" t="s">
        <v>4694</v>
      </c>
      <c r="B1092" s="3000" t="s">
        <v>4241</v>
      </c>
      <c r="C1092" s="3000">
        <v>39.19</v>
      </c>
    </row>
    <row r="1093" spans="1:3">
      <c r="A1093" s="3001" t="s">
        <v>4694</v>
      </c>
      <c r="B1093" s="3000" t="s">
        <v>4242</v>
      </c>
      <c r="C1093" s="3000">
        <v>39.19</v>
      </c>
    </row>
    <row r="1094" spans="1:3">
      <c r="A1094" s="3001" t="s">
        <v>4694</v>
      </c>
      <c r="B1094" s="3000" t="s">
        <v>4243</v>
      </c>
      <c r="C1094" s="3000">
        <v>39.19</v>
      </c>
    </row>
    <row r="1095" spans="1:3">
      <c r="A1095" s="3001" t="s">
        <v>4694</v>
      </c>
      <c r="B1095" s="3000" t="s">
        <v>4244</v>
      </c>
      <c r="C1095" s="3000">
        <v>39.19</v>
      </c>
    </row>
    <row r="1096" spans="1:3">
      <c r="A1096" s="3001" t="s">
        <v>4694</v>
      </c>
      <c r="B1096" s="3000" t="s">
        <v>4245</v>
      </c>
      <c r="C1096" s="3000">
        <v>39.19</v>
      </c>
    </row>
    <row r="1097" spans="1:3">
      <c r="A1097" s="3001" t="s">
        <v>4694</v>
      </c>
      <c r="B1097" s="3000" t="s">
        <v>4246</v>
      </c>
      <c r="C1097" s="3000">
        <v>39.19</v>
      </c>
    </row>
    <row r="1098" spans="1:3">
      <c r="A1098" s="3001" t="s">
        <v>4694</v>
      </c>
      <c r="B1098" s="3000" t="s">
        <v>4247</v>
      </c>
      <c r="C1098" s="3000">
        <v>39.19</v>
      </c>
    </row>
    <row r="1099" spans="1:3">
      <c r="A1099" s="3001" t="s">
        <v>4694</v>
      </c>
      <c r="B1099" s="3000" t="s">
        <v>4248</v>
      </c>
      <c r="C1099" s="3000">
        <v>39.19</v>
      </c>
    </row>
    <row r="1100" spans="1:3">
      <c r="A1100" s="3001" t="s">
        <v>4694</v>
      </c>
      <c r="B1100" s="3000" t="s">
        <v>4249</v>
      </c>
      <c r="C1100" s="3000">
        <v>39.19</v>
      </c>
    </row>
    <row r="1101" spans="1:3">
      <c r="A1101" s="3001" t="s">
        <v>4694</v>
      </c>
      <c r="B1101" s="3000" t="s">
        <v>4250</v>
      </c>
      <c r="C1101" s="3000">
        <v>39.19</v>
      </c>
    </row>
    <row r="1102" spans="1:3">
      <c r="A1102" s="3001" t="s">
        <v>4694</v>
      </c>
      <c r="B1102" s="3000" t="s">
        <v>4251</v>
      </c>
      <c r="C1102" s="3000">
        <v>39.19</v>
      </c>
    </row>
    <row r="1103" spans="1:3">
      <c r="A1103" s="3001" t="s">
        <v>4694</v>
      </c>
      <c r="B1103" s="3000" t="s">
        <v>4252</v>
      </c>
      <c r="C1103" s="3000">
        <v>39.19</v>
      </c>
    </row>
    <row r="1104" spans="1:3">
      <c r="A1104" s="3001" t="s">
        <v>4694</v>
      </c>
      <c r="B1104" s="3000" t="s">
        <v>4253</v>
      </c>
      <c r="C1104" s="3000">
        <v>39.19</v>
      </c>
    </row>
    <row r="1105" spans="1:3">
      <c r="A1105" s="3001" t="s">
        <v>4694</v>
      </c>
      <c r="B1105" s="3000" t="s">
        <v>4254</v>
      </c>
      <c r="C1105" s="3000">
        <v>39.19</v>
      </c>
    </row>
    <row r="1106" spans="1:3">
      <c r="A1106" s="3001" t="s">
        <v>4694</v>
      </c>
      <c r="B1106" s="3000" t="s">
        <v>4255</v>
      </c>
      <c r="C1106" s="3000">
        <v>39.19</v>
      </c>
    </row>
    <row r="1107" spans="1:3">
      <c r="A1107" s="3001" t="s">
        <v>4694</v>
      </c>
      <c r="B1107" s="3000" t="s">
        <v>4256</v>
      </c>
      <c r="C1107" s="3000">
        <v>39.19</v>
      </c>
    </row>
    <row r="1108" spans="1:3">
      <c r="A1108" s="3001" t="s">
        <v>4694</v>
      </c>
      <c r="B1108" s="3000" t="s">
        <v>4257</v>
      </c>
      <c r="C1108" s="3000">
        <v>39.19</v>
      </c>
    </row>
    <row r="1109" spans="1:3">
      <c r="A1109" s="3001" t="s">
        <v>4694</v>
      </c>
      <c r="B1109" s="3000" t="s">
        <v>4258</v>
      </c>
      <c r="C1109" s="3000">
        <v>39.19</v>
      </c>
    </row>
    <row r="1110" spans="1:3">
      <c r="A1110" s="3001" t="s">
        <v>4694</v>
      </c>
      <c r="B1110" s="3000" t="s">
        <v>4259</v>
      </c>
      <c r="C1110" s="3000">
        <v>39.19</v>
      </c>
    </row>
    <row r="1111" spans="1:3">
      <c r="A1111" s="3001" t="s">
        <v>4694</v>
      </c>
      <c r="B1111" s="3000" t="s">
        <v>4260</v>
      </c>
      <c r="C1111" s="3000">
        <v>39.19</v>
      </c>
    </row>
    <row r="1112" spans="1:3">
      <c r="A1112" s="3001" t="s">
        <v>4694</v>
      </c>
      <c r="B1112" s="3000" t="s">
        <v>4261</v>
      </c>
      <c r="C1112" s="3000">
        <v>39.19</v>
      </c>
    </row>
    <row r="1113" spans="1:3">
      <c r="A1113" s="3001" t="s">
        <v>4694</v>
      </c>
      <c r="B1113" s="3000" t="s">
        <v>4262</v>
      </c>
      <c r="C1113" s="3000">
        <v>39.19</v>
      </c>
    </row>
    <row r="1114" spans="1:3">
      <c r="A1114" s="3001" t="s">
        <v>4694</v>
      </c>
      <c r="B1114" s="3000" t="s">
        <v>4263</v>
      </c>
      <c r="C1114" s="3000">
        <v>39.19</v>
      </c>
    </row>
    <row r="1115" spans="1:3">
      <c r="A1115" s="3001" t="s">
        <v>4694</v>
      </c>
      <c r="B1115" s="3000" t="s">
        <v>4264</v>
      </c>
      <c r="C1115" s="3000">
        <v>39.19</v>
      </c>
    </row>
    <row r="1116" spans="1:3">
      <c r="A1116" s="3001" t="s">
        <v>4694</v>
      </c>
      <c r="B1116" s="3000" t="s">
        <v>4265</v>
      </c>
      <c r="C1116" s="3000">
        <v>39.19</v>
      </c>
    </row>
    <row r="1117" spans="1:3">
      <c r="A1117" s="3001" t="s">
        <v>4694</v>
      </c>
      <c r="B1117" s="3000" t="s">
        <v>4266</v>
      </c>
      <c r="C1117" s="3000">
        <v>39.19</v>
      </c>
    </row>
    <row r="1118" spans="1:3">
      <c r="A1118" s="3001" t="s">
        <v>4694</v>
      </c>
      <c r="B1118" s="3000" t="s">
        <v>4267</v>
      </c>
      <c r="C1118" s="3000">
        <v>39.19</v>
      </c>
    </row>
    <row r="1119" spans="1:3">
      <c r="A1119" s="3001" t="s">
        <v>4694</v>
      </c>
      <c r="B1119" s="3000" t="s">
        <v>4268</v>
      </c>
      <c r="C1119" s="3000">
        <v>39.19</v>
      </c>
    </row>
    <row r="1120" spans="1:3">
      <c r="A1120" s="3001" t="s">
        <v>4694</v>
      </c>
      <c r="B1120" s="3000" t="s">
        <v>4269</v>
      </c>
      <c r="C1120" s="3000">
        <v>39.19</v>
      </c>
    </row>
    <row r="1121" spans="1:3">
      <c r="A1121" s="3001" t="s">
        <v>4694</v>
      </c>
      <c r="B1121" s="3000" t="s">
        <v>4270</v>
      </c>
      <c r="C1121" s="3000">
        <v>39.19</v>
      </c>
    </row>
    <row r="1122" spans="1:3">
      <c r="A1122" s="3001" t="s">
        <v>4694</v>
      </c>
      <c r="B1122" s="3000" t="s">
        <v>4271</v>
      </c>
      <c r="C1122" s="3000">
        <v>39.19</v>
      </c>
    </row>
    <row r="1123" spans="1:3">
      <c r="A1123" s="3001" t="s">
        <v>4694</v>
      </c>
      <c r="B1123" s="3000" t="s">
        <v>4272</v>
      </c>
      <c r="C1123" s="3000">
        <v>39.19</v>
      </c>
    </row>
    <row r="1124" spans="1:3">
      <c r="A1124" s="3000" t="s">
        <v>4695</v>
      </c>
      <c r="B1124" s="3000" t="s">
        <v>4274</v>
      </c>
      <c r="C1124" s="3000">
        <v>43.77</v>
      </c>
    </row>
    <row r="1125" spans="1:3">
      <c r="A1125" s="3000" t="s">
        <v>4695</v>
      </c>
      <c r="B1125" s="3000" t="s">
        <v>4275</v>
      </c>
      <c r="C1125" s="3000">
        <v>43.77</v>
      </c>
    </row>
    <row r="1126" spans="1:3">
      <c r="A1126" s="3000" t="s">
        <v>4695</v>
      </c>
      <c r="B1126" s="3000" t="s">
        <v>4276</v>
      </c>
      <c r="C1126" s="3000">
        <v>43.77</v>
      </c>
    </row>
    <row r="1127" spans="1:3">
      <c r="A1127" s="3000" t="s">
        <v>4695</v>
      </c>
      <c r="B1127" s="3000" t="s">
        <v>4277</v>
      </c>
      <c r="C1127" s="3000">
        <v>43.77</v>
      </c>
    </row>
    <row r="1128" spans="1:3">
      <c r="A1128" s="3000" t="s">
        <v>4695</v>
      </c>
      <c r="B1128" s="3000" t="s">
        <v>4278</v>
      </c>
      <c r="C1128" s="3000">
        <v>43.77</v>
      </c>
    </row>
    <row r="1129" spans="1:3">
      <c r="A1129" s="3000" t="s">
        <v>4695</v>
      </c>
      <c r="B1129" s="3000" t="s">
        <v>4279</v>
      </c>
      <c r="C1129" s="3000">
        <v>43.77</v>
      </c>
    </row>
    <row r="1130" spans="1:3">
      <c r="A1130" s="3000" t="s">
        <v>4695</v>
      </c>
      <c r="B1130" s="3000" t="s">
        <v>4280</v>
      </c>
      <c r="C1130" s="3000">
        <v>43.77</v>
      </c>
    </row>
    <row r="1131" spans="1:3">
      <c r="A1131" s="3000" t="s">
        <v>4695</v>
      </c>
      <c r="B1131" s="3000" t="s">
        <v>4281</v>
      </c>
      <c r="C1131" s="3000">
        <v>43.77</v>
      </c>
    </row>
    <row r="1132" spans="1:3">
      <c r="A1132" s="3000" t="s">
        <v>4695</v>
      </c>
      <c r="B1132" s="3000" t="s">
        <v>4282</v>
      </c>
      <c r="C1132" s="3000">
        <v>43.77</v>
      </c>
    </row>
    <row r="1133" spans="1:3">
      <c r="A1133" s="3000" t="s">
        <v>4695</v>
      </c>
      <c r="B1133" s="3000" t="s">
        <v>4283</v>
      </c>
      <c r="C1133" s="3000">
        <v>43.77</v>
      </c>
    </row>
    <row r="1134" spans="1:3">
      <c r="A1134" s="3000" t="s">
        <v>4695</v>
      </c>
      <c r="B1134" s="3000" t="s">
        <v>4284</v>
      </c>
      <c r="C1134" s="3000">
        <v>43.77</v>
      </c>
    </row>
    <row r="1135" spans="1:3">
      <c r="A1135" s="3000" t="s">
        <v>4695</v>
      </c>
      <c r="B1135" s="3000" t="s">
        <v>4285</v>
      </c>
      <c r="C1135" s="3000">
        <v>43.77</v>
      </c>
    </row>
    <row r="1136" spans="1:3">
      <c r="A1136" s="3000" t="s">
        <v>4695</v>
      </c>
      <c r="B1136" s="3000" t="s">
        <v>4286</v>
      </c>
      <c r="C1136" s="3000">
        <v>43.77</v>
      </c>
    </row>
    <row r="1137" spans="1:3">
      <c r="A1137" s="3000" t="s">
        <v>4695</v>
      </c>
      <c r="B1137" s="3000" t="s">
        <v>4287</v>
      </c>
      <c r="C1137" s="3000">
        <v>43.77</v>
      </c>
    </row>
    <row r="1138" spans="1:3">
      <c r="A1138" s="3000" t="s">
        <v>4695</v>
      </c>
      <c r="B1138" s="3000" t="s">
        <v>4288</v>
      </c>
      <c r="C1138" s="3000">
        <v>43.77</v>
      </c>
    </row>
    <row r="1139" spans="1:3">
      <c r="A1139" s="3000" t="s">
        <v>4695</v>
      </c>
      <c r="B1139" s="3000" t="s">
        <v>4289</v>
      </c>
      <c r="C1139" s="3000">
        <v>43.77</v>
      </c>
    </row>
    <row r="1140" spans="1:3">
      <c r="A1140" s="3000" t="s">
        <v>4695</v>
      </c>
      <c r="B1140" s="3000" t="s">
        <v>4290</v>
      </c>
      <c r="C1140" s="3000">
        <v>43.77</v>
      </c>
    </row>
    <row r="1141" spans="1:3">
      <c r="A1141" s="3000" t="s">
        <v>4695</v>
      </c>
      <c r="B1141" s="3000" t="s">
        <v>4291</v>
      </c>
      <c r="C1141" s="3000">
        <v>43.77</v>
      </c>
    </row>
    <row r="1142" spans="1:3">
      <c r="A1142" s="3000" t="s">
        <v>4695</v>
      </c>
      <c r="B1142" s="3000" t="s">
        <v>4292</v>
      </c>
      <c r="C1142" s="3000">
        <v>43.77</v>
      </c>
    </row>
    <row r="1143" spans="1:3">
      <c r="A1143" s="3000" t="s">
        <v>4695</v>
      </c>
      <c r="B1143" s="3000" t="s">
        <v>4293</v>
      </c>
      <c r="C1143" s="3000">
        <v>43.77</v>
      </c>
    </row>
    <row r="1144" spans="1:3">
      <c r="A1144" s="3000" t="s">
        <v>4695</v>
      </c>
      <c r="B1144" s="3000" t="s">
        <v>4294</v>
      </c>
      <c r="C1144" s="3000">
        <v>43.77</v>
      </c>
    </row>
    <row r="1145" spans="1:3">
      <c r="A1145" s="3000" t="s">
        <v>4695</v>
      </c>
      <c r="B1145" s="3000" t="s">
        <v>4295</v>
      </c>
      <c r="C1145" s="3000">
        <v>43.77</v>
      </c>
    </row>
    <row r="1146" spans="1:3">
      <c r="A1146" s="3000" t="s">
        <v>4695</v>
      </c>
      <c r="B1146" s="3000" t="s">
        <v>4296</v>
      </c>
      <c r="C1146" s="3000">
        <v>43.77</v>
      </c>
    </row>
    <row r="1147" spans="1:3">
      <c r="A1147" s="3000" t="s">
        <v>4695</v>
      </c>
      <c r="B1147" s="3000" t="s">
        <v>4297</v>
      </c>
      <c r="C1147" s="3000">
        <v>43.77</v>
      </c>
    </row>
    <row r="1148" spans="1:3">
      <c r="A1148" s="3000" t="s">
        <v>4695</v>
      </c>
      <c r="B1148" s="3000" t="s">
        <v>4298</v>
      </c>
      <c r="C1148" s="3000">
        <v>43.77</v>
      </c>
    </row>
    <row r="1149" spans="1:3">
      <c r="A1149" s="3000" t="s">
        <v>4695</v>
      </c>
      <c r="B1149" s="3000" t="s">
        <v>4299</v>
      </c>
      <c r="C1149" s="3000">
        <v>43.77</v>
      </c>
    </row>
    <row r="1150" spans="1:3">
      <c r="A1150" s="3000" t="s">
        <v>4695</v>
      </c>
      <c r="B1150" s="3000" t="s">
        <v>4300</v>
      </c>
      <c r="C1150" s="3000">
        <v>43.77</v>
      </c>
    </row>
    <row r="1151" spans="1:3">
      <c r="A1151" s="3000" t="s">
        <v>4695</v>
      </c>
      <c r="B1151" s="3000" t="s">
        <v>4301</v>
      </c>
      <c r="C1151" s="3000">
        <v>43.77</v>
      </c>
    </row>
    <row r="1152" spans="1:3">
      <c r="A1152" s="3000" t="s">
        <v>4695</v>
      </c>
      <c r="B1152" s="3000" t="s">
        <v>4302</v>
      </c>
      <c r="C1152" s="3000">
        <v>43.77</v>
      </c>
    </row>
    <row r="1153" spans="1:3">
      <c r="A1153" s="3000" t="s">
        <v>4695</v>
      </c>
      <c r="B1153" s="3000" t="s">
        <v>4303</v>
      </c>
      <c r="C1153" s="3000">
        <v>43.77</v>
      </c>
    </row>
    <row r="1154" spans="1:3">
      <c r="A1154" s="3000" t="s">
        <v>4695</v>
      </c>
      <c r="B1154" s="3000" t="s">
        <v>4304</v>
      </c>
      <c r="C1154" s="3000">
        <v>43.77</v>
      </c>
    </row>
    <row r="1155" spans="1:3">
      <c r="A1155" s="3000" t="s">
        <v>4695</v>
      </c>
      <c r="B1155" s="3000" t="s">
        <v>4305</v>
      </c>
      <c r="C1155" s="3000">
        <v>43.77</v>
      </c>
    </row>
    <row r="1156" spans="1:3">
      <c r="A1156" s="3000" t="s">
        <v>4695</v>
      </c>
      <c r="B1156" s="3000" t="s">
        <v>4306</v>
      </c>
      <c r="C1156" s="3000">
        <v>43.77</v>
      </c>
    </row>
    <row r="1157" spans="1:3">
      <c r="A1157" s="3000" t="s">
        <v>4695</v>
      </c>
      <c r="B1157" s="3000" t="s">
        <v>4307</v>
      </c>
      <c r="C1157" s="3000">
        <v>43.77</v>
      </c>
    </row>
    <row r="1158" spans="1:3">
      <c r="A1158" s="3000" t="s">
        <v>4695</v>
      </c>
      <c r="B1158" s="3000" t="s">
        <v>4308</v>
      </c>
      <c r="C1158" s="3000">
        <v>43.77</v>
      </c>
    </row>
    <row r="1159" spans="1:3">
      <c r="A1159" s="3000" t="s">
        <v>4695</v>
      </c>
      <c r="B1159" s="3000" t="s">
        <v>4309</v>
      </c>
      <c r="C1159" s="3000">
        <v>43.77</v>
      </c>
    </row>
    <row r="1160" spans="1:3">
      <c r="A1160" s="3000" t="s">
        <v>4695</v>
      </c>
      <c r="B1160" s="3000" t="s">
        <v>4310</v>
      </c>
      <c r="C1160" s="3000">
        <v>43.77</v>
      </c>
    </row>
    <row r="1161" spans="1:3">
      <c r="A1161" s="3000" t="s">
        <v>4695</v>
      </c>
      <c r="B1161" s="3000" t="s">
        <v>4311</v>
      </c>
      <c r="C1161" s="3000">
        <v>43.77</v>
      </c>
    </row>
    <row r="1162" spans="1:3">
      <c r="A1162" s="3000" t="s">
        <v>4695</v>
      </c>
      <c r="B1162" s="3000" t="s">
        <v>4312</v>
      </c>
      <c r="C1162" s="3000">
        <v>43.77</v>
      </c>
    </row>
    <row r="1163" spans="1:3">
      <c r="A1163" s="3000" t="s">
        <v>4695</v>
      </c>
      <c r="B1163" s="3000" t="s">
        <v>4313</v>
      </c>
      <c r="C1163" s="3000">
        <v>43.77</v>
      </c>
    </row>
    <row r="1164" spans="1:3">
      <c r="A1164" s="3000" t="s">
        <v>4695</v>
      </c>
      <c r="B1164" s="3000" t="s">
        <v>4314</v>
      </c>
      <c r="C1164" s="3000">
        <v>43.77</v>
      </c>
    </row>
    <row r="1165" spans="1:3">
      <c r="A1165" s="3000" t="s">
        <v>4695</v>
      </c>
      <c r="B1165" s="3000" t="s">
        <v>4315</v>
      </c>
      <c r="C1165" s="3000">
        <v>43.77</v>
      </c>
    </row>
    <row r="1166" spans="1:3">
      <c r="A1166" s="3000" t="s">
        <v>4695</v>
      </c>
      <c r="B1166" s="3000" t="s">
        <v>4316</v>
      </c>
      <c r="C1166" s="3000">
        <v>43.77</v>
      </c>
    </row>
    <row r="1167" spans="1:3">
      <c r="A1167" s="3000" t="s">
        <v>4695</v>
      </c>
      <c r="B1167" s="3000" t="s">
        <v>4317</v>
      </c>
      <c r="C1167" s="3000">
        <v>43.77</v>
      </c>
    </row>
    <row r="1168" spans="1:3">
      <c r="A1168" s="3000" t="s">
        <v>4695</v>
      </c>
      <c r="B1168" s="3000" t="s">
        <v>4318</v>
      </c>
      <c r="C1168" s="3000">
        <v>43.77</v>
      </c>
    </row>
    <row r="1169" spans="1:3">
      <c r="A1169" s="3000" t="s">
        <v>4695</v>
      </c>
      <c r="B1169" s="3000" t="s">
        <v>4319</v>
      </c>
      <c r="C1169" s="3000">
        <v>43.77</v>
      </c>
    </row>
    <row r="1170" spans="1:3">
      <c r="A1170" s="3000" t="s">
        <v>4695</v>
      </c>
      <c r="B1170" s="3000" t="s">
        <v>4320</v>
      </c>
      <c r="C1170" s="3000">
        <v>43.77</v>
      </c>
    </row>
    <row r="1171" spans="1:3">
      <c r="A1171" s="3000" t="s">
        <v>4695</v>
      </c>
      <c r="B1171" s="3000" t="s">
        <v>4321</v>
      </c>
      <c r="C1171" s="3000">
        <v>43.77</v>
      </c>
    </row>
    <row r="1172" spans="1:3">
      <c r="A1172" s="3000" t="s">
        <v>4695</v>
      </c>
      <c r="B1172" s="3000" t="s">
        <v>4322</v>
      </c>
      <c r="C1172" s="3000">
        <v>43.77</v>
      </c>
    </row>
    <row r="1173" spans="1:3">
      <c r="A1173" s="3000" t="s">
        <v>4695</v>
      </c>
      <c r="B1173" s="3000" t="s">
        <v>4323</v>
      </c>
      <c r="C1173" s="3000">
        <v>43.77</v>
      </c>
    </row>
    <row r="1174" spans="1:3">
      <c r="A1174" s="3000" t="s">
        <v>4695</v>
      </c>
      <c r="B1174" s="3000" t="s">
        <v>4324</v>
      </c>
      <c r="C1174" s="3000">
        <v>43.77</v>
      </c>
    </row>
    <row r="1175" spans="1:3">
      <c r="A1175" s="3000" t="s">
        <v>4695</v>
      </c>
      <c r="B1175" s="3000" t="s">
        <v>4325</v>
      </c>
      <c r="C1175" s="3000">
        <v>43.77</v>
      </c>
    </row>
    <row r="1176" spans="1:3">
      <c r="A1176" s="3000" t="s">
        <v>4695</v>
      </c>
      <c r="B1176" s="3000" t="s">
        <v>4326</v>
      </c>
      <c r="C1176" s="3000">
        <v>43.77</v>
      </c>
    </row>
    <row r="1177" spans="1:3">
      <c r="A1177" s="3000" t="s">
        <v>4695</v>
      </c>
      <c r="B1177" s="3000" t="s">
        <v>4327</v>
      </c>
      <c r="C1177" s="3000">
        <v>43.77</v>
      </c>
    </row>
    <row r="1178" spans="1:3">
      <c r="A1178" s="3000" t="s">
        <v>4695</v>
      </c>
      <c r="B1178" s="3000" t="s">
        <v>4328</v>
      </c>
      <c r="C1178" s="3000">
        <v>43.77</v>
      </c>
    </row>
    <row r="1179" spans="1:3">
      <c r="A1179" s="3000" t="s">
        <v>4695</v>
      </c>
      <c r="B1179" s="3000" t="s">
        <v>4329</v>
      </c>
      <c r="C1179" s="3000">
        <v>43.77</v>
      </c>
    </row>
    <row r="1180" spans="1:3">
      <c r="A1180" s="3000" t="s">
        <v>4695</v>
      </c>
      <c r="B1180" s="3000" t="s">
        <v>4330</v>
      </c>
      <c r="C1180" s="3000">
        <v>43.77</v>
      </c>
    </row>
    <row r="1181" spans="1:3">
      <c r="A1181" s="3000" t="s">
        <v>4695</v>
      </c>
      <c r="B1181" s="3000" t="s">
        <v>4331</v>
      </c>
      <c r="C1181" s="3000">
        <v>43.77</v>
      </c>
    </row>
    <row r="1182" spans="1:3">
      <c r="A1182" s="3000" t="s">
        <v>4695</v>
      </c>
      <c r="B1182" s="3000" t="s">
        <v>4332</v>
      </c>
      <c r="C1182" s="3000">
        <v>43.77</v>
      </c>
    </row>
    <row r="1183" spans="1:3">
      <c r="A1183" s="3000" t="s">
        <v>4695</v>
      </c>
      <c r="B1183" s="3000" t="s">
        <v>4333</v>
      </c>
      <c r="C1183" s="3000">
        <v>43.77</v>
      </c>
    </row>
    <row r="1184" spans="1:3">
      <c r="A1184" s="3000" t="s">
        <v>4695</v>
      </c>
      <c r="B1184" s="3000" t="s">
        <v>4334</v>
      </c>
      <c r="C1184" s="3000">
        <v>43.77</v>
      </c>
    </row>
    <row r="1185" spans="1:3">
      <c r="A1185" s="3000" t="s">
        <v>4695</v>
      </c>
      <c r="B1185" s="3000" t="s">
        <v>4335</v>
      </c>
      <c r="C1185" s="3000">
        <v>43.77</v>
      </c>
    </row>
    <row r="1186" spans="1:3">
      <c r="A1186" s="3000" t="s">
        <v>4695</v>
      </c>
      <c r="B1186" s="3000" t="s">
        <v>4336</v>
      </c>
      <c r="C1186" s="3000">
        <v>43.77</v>
      </c>
    </row>
    <row r="1187" spans="1:3">
      <c r="A1187" s="3000" t="s">
        <v>4695</v>
      </c>
      <c r="B1187" s="3000" t="s">
        <v>4337</v>
      </c>
      <c r="C1187" s="3000">
        <v>43.77</v>
      </c>
    </row>
    <row r="1188" spans="1:3">
      <c r="A1188" s="3000" t="s">
        <v>4695</v>
      </c>
      <c r="B1188" s="3000" t="s">
        <v>4338</v>
      </c>
      <c r="C1188" s="3000">
        <v>43.77</v>
      </c>
    </row>
    <row r="1189" spans="1:3">
      <c r="A1189" s="3000" t="s">
        <v>4695</v>
      </c>
      <c r="B1189" s="3000" t="s">
        <v>4339</v>
      </c>
      <c r="C1189" s="3000">
        <v>43.77</v>
      </c>
    </row>
    <row r="1190" spans="1:3">
      <c r="A1190" s="3000" t="s">
        <v>4695</v>
      </c>
      <c r="B1190" s="3000" t="s">
        <v>4340</v>
      </c>
      <c r="C1190" s="3000">
        <v>43.77</v>
      </c>
    </row>
    <row r="1191" spans="1:3">
      <c r="A1191" s="3000" t="s">
        <v>4695</v>
      </c>
      <c r="B1191" s="3000" t="s">
        <v>4341</v>
      </c>
      <c r="C1191" s="3000">
        <v>43.77</v>
      </c>
    </row>
    <row r="1192" spans="1:3">
      <c r="A1192" s="3000" t="s">
        <v>4695</v>
      </c>
      <c r="B1192" s="3000" t="s">
        <v>4342</v>
      </c>
      <c r="C1192" s="3000">
        <v>43.77</v>
      </c>
    </row>
    <row r="1193" spans="1:3">
      <c r="A1193" s="3000" t="s">
        <v>4695</v>
      </c>
      <c r="B1193" s="3000" t="s">
        <v>4343</v>
      </c>
      <c r="C1193" s="3000">
        <v>43.77</v>
      </c>
    </row>
    <row r="1194" spans="1:3">
      <c r="A1194" s="3000" t="s">
        <v>4695</v>
      </c>
      <c r="B1194" s="3000" t="s">
        <v>4344</v>
      </c>
      <c r="C1194" s="3000">
        <v>43.77</v>
      </c>
    </row>
    <row r="1195" spans="1:3">
      <c r="A1195" s="3000" t="s">
        <v>4695</v>
      </c>
      <c r="B1195" s="3000" t="s">
        <v>4345</v>
      </c>
      <c r="C1195" s="3000">
        <v>43.77</v>
      </c>
    </row>
    <row r="1196" spans="1:3">
      <c r="A1196" s="3000" t="s">
        <v>4695</v>
      </c>
      <c r="B1196" s="3000" t="s">
        <v>4346</v>
      </c>
      <c r="C1196" s="3000">
        <v>43.77</v>
      </c>
    </row>
    <row r="1197" spans="1:3">
      <c r="A1197" s="3000" t="s">
        <v>4695</v>
      </c>
      <c r="B1197" s="3000" t="s">
        <v>4347</v>
      </c>
      <c r="C1197" s="3000">
        <v>43.77</v>
      </c>
    </row>
    <row r="1198" spans="1:3">
      <c r="A1198" s="3000" t="s">
        <v>4695</v>
      </c>
      <c r="B1198" s="3000" t="s">
        <v>4348</v>
      </c>
      <c r="C1198" s="3000">
        <v>87.54</v>
      </c>
    </row>
    <row r="1199" spans="1:3">
      <c r="A1199" s="3000" t="s">
        <v>4695</v>
      </c>
      <c r="B1199" s="3000" t="s">
        <v>4349</v>
      </c>
      <c r="C1199" s="3000">
        <v>43.77</v>
      </c>
    </row>
    <row r="1200" spans="1:3">
      <c r="A1200" s="3000" t="s">
        <v>4695</v>
      </c>
      <c r="B1200" s="3000" t="s">
        <v>4350</v>
      </c>
      <c r="C1200" s="3000">
        <v>43.77</v>
      </c>
    </row>
    <row r="1201" spans="1:3">
      <c r="A1201" s="3000" t="s">
        <v>4695</v>
      </c>
      <c r="B1201" s="3000" t="s">
        <v>4351</v>
      </c>
      <c r="C1201" s="3000">
        <v>43.77</v>
      </c>
    </row>
    <row r="1202" spans="1:3">
      <c r="A1202" s="3000" t="s">
        <v>4695</v>
      </c>
      <c r="B1202" s="3000" t="s">
        <v>4352</v>
      </c>
      <c r="C1202" s="3000">
        <v>43.77</v>
      </c>
    </row>
    <row r="1203" spans="1:3">
      <c r="A1203" s="3000" t="s">
        <v>4695</v>
      </c>
      <c r="B1203" s="3000" t="s">
        <v>4353</v>
      </c>
      <c r="C1203" s="3000">
        <v>43.77</v>
      </c>
    </row>
    <row r="1204" spans="1:3">
      <c r="A1204" s="3000" t="s">
        <v>4695</v>
      </c>
      <c r="B1204" s="3000" t="s">
        <v>4354</v>
      </c>
      <c r="C1204" s="3000">
        <v>43.77</v>
      </c>
    </row>
    <row r="1205" spans="1:3">
      <c r="A1205" s="3000" t="s">
        <v>4695</v>
      </c>
      <c r="B1205" s="3000" t="s">
        <v>4355</v>
      </c>
      <c r="C1205" s="3000">
        <v>43.77</v>
      </c>
    </row>
    <row r="1206" spans="1:3">
      <c r="A1206" s="3000" t="s">
        <v>4695</v>
      </c>
      <c r="B1206" s="3000" t="s">
        <v>4356</v>
      </c>
      <c r="C1206" s="3000">
        <v>43.77</v>
      </c>
    </row>
    <row r="1207" spans="1:3">
      <c r="A1207" s="3000" t="s">
        <v>4695</v>
      </c>
      <c r="B1207" s="3000" t="s">
        <v>4357</v>
      </c>
      <c r="C1207" s="3000">
        <v>43.77</v>
      </c>
    </row>
    <row r="1208" spans="1:3">
      <c r="A1208" s="3000" t="s">
        <v>4695</v>
      </c>
      <c r="B1208" s="3000" t="s">
        <v>4358</v>
      </c>
      <c r="C1208" s="3000">
        <v>43.77</v>
      </c>
    </row>
    <row r="1209" spans="1:3">
      <c r="A1209" s="3000" t="s">
        <v>4695</v>
      </c>
      <c r="B1209" s="3000" t="s">
        <v>4359</v>
      </c>
      <c r="C1209" s="3000">
        <v>43.77</v>
      </c>
    </row>
    <row r="1210" spans="1:3">
      <c r="A1210" s="3000" t="s">
        <v>4695</v>
      </c>
      <c r="B1210" s="3000" t="s">
        <v>4360</v>
      </c>
      <c r="C1210" s="3000">
        <v>43.77</v>
      </c>
    </row>
    <row r="1211" spans="1:3">
      <c r="A1211" s="3000" t="s">
        <v>4695</v>
      </c>
      <c r="B1211" s="3000" t="s">
        <v>4361</v>
      </c>
      <c r="C1211" s="3000">
        <v>43.77</v>
      </c>
    </row>
    <row r="1212" spans="1:3">
      <c r="A1212" s="3000" t="s">
        <v>4695</v>
      </c>
      <c r="B1212" s="3000" t="s">
        <v>4362</v>
      </c>
      <c r="C1212" s="3000">
        <v>43.77</v>
      </c>
    </row>
    <row r="1213" spans="1:3">
      <c r="A1213" s="3000" t="s">
        <v>4695</v>
      </c>
      <c r="B1213" s="3000" t="s">
        <v>4363</v>
      </c>
      <c r="C1213" s="3000">
        <v>43.77</v>
      </c>
    </row>
    <row r="1214" spans="1:3">
      <c r="A1214" s="3000" t="s">
        <v>4695</v>
      </c>
      <c r="B1214" s="3000" t="s">
        <v>4364</v>
      </c>
      <c r="C1214" s="3000">
        <v>43.77</v>
      </c>
    </row>
    <row r="1215" spans="1:3">
      <c r="A1215" s="3000" t="s">
        <v>4695</v>
      </c>
      <c r="B1215" s="3000" t="s">
        <v>4365</v>
      </c>
      <c r="C1215" s="3000">
        <v>43.77</v>
      </c>
    </row>
    <row r="1216" spans="1:3">
      <c r="A1216" s="3000" t="s">
        <v>4695</v>
      </c>
      <c r="B1216" s="3000" t="s">
        <v>4366</v>
      </c>
      <c r="C1216" s="3000">
        <v>43.77</v>
      </c>
    </row>
    <row r="1217" spans="1:3">
      <c r="A1217" s="3000" t="s">
        <v>4695</v>
      </c>
      <c r="B1217" s="3000" t="s">
        <v>4367</v>
      </c>
      <c r="C1217" s="3000">
        <v>43.77</v>
      </c>
    </row>
    <row r="1218" spans="1:3">
      <c r="A1218" s="3000" t="s">
        <v>4695</v>
      </c>
      <c r="B1218" s="3000" t="s">
        <v>4368</v>
      </c>
      <c r="C1218" s="3000">
        <v>43.77</v>
      </c>
    </row>
    <row r="1219" spans="1:3">
      <c r="A1219" s="3000" t="s">
        <v>4695</v>
      </c>
      <c r="B1219" s="3000" t="s">
        <v>4369</v>
      </c>
      <c r="C1219" s="3000">
        <v>43.77</v>
      </c>
    </row>
    <row r="1220" spans="1:3">
      <c r="A1220" s="3000" t="s">
        <v>4695</v>
      </c>
      <c r="B1220" s="3000" t="s">
        <v>4370</v>
      </c>
      <c r="C1220" s="3000">
        <v>43.77</v>
      </c>
    </row>
    <row r="1221" spans="1:3">
      <c r="A1221" s="3000" t="s">
        <v>4695</v>
      </c>
      <c r="B1221" s="3000" t="s">
        <v>4371</v>
      </c>
      <c r="C1221" s="3000">
        <v>43.77</v>
      </c>
    </row>
    <row r="1222" spans="1:3">
      <c r="A1222" s="3000" t="s">
        <v>4695</v>
      </c>
      <c r="B1222" s="3000" t="s">
        <v>4372</v>
      </c>
      <c r="C1222" s="3000">
        <v>43.77</v>
      </c>
    </row>
    <row r="1223" spans="1:3">
      <c r="A1223" s="3000" t="s">
        <v>4695</v>
      </c>
      <c r="B1223" s="3000" t="s">
        <v>4373</v>
      </c>
      <c r="C1223" s="3000">
        <v>43.77</v>
      </c>
    </row>
    <row r="1224" spans="1:3">
      <c r="A1224" s="3000" t="s">
        <v>4695</v>
      </c>
      <c r="B1224" s="3000" t="s">
        <v>4374</v>
      </c>
      <c r="C1224" s="3000">
        <v>43.77</v>
      </c>
    </row>
    <row r="1225" spans="1:3">
      <c r="A1225" s="3000" t="s">
        <v>4695</v>
      </c>
      <c r="B1225" s="3000" t="s">
        <v>4375</v>
      </c>
      <c r="C1225" s="3000">
        <v>43.77</v>
      </c>
    </row>
    <row r="1226" spans="1:3">
      <c r="A1226" s="3000" t="s">
        <v>4695</v>
      </c>
      <c r="B1226" s="3000" t="s">
        <v>4376</v>
      </c>
      <c r="C1226" s="3000">
        <v>43.77</v>
      </c>
    </row>
    <row r="1227" spans="1:3">
      <c r="A1227" s="3000" t="s">
        <v>4695</v>
      </c>
      <c r="B1227" s="3000" t="s">
        <v>4377</v>
      </c>
      <c r="C1227" s="3000">
        <v>43.77</v>
      </c>
    </row>
    <row r="1228" spans="1:3">
      <c r="A1228" s="3000" t="s">
        <v>4695</v>
      </c>
      <c r="B1228" s="3000" t="s">
        <v>4378</v>
      </c>
      <c r="C1228" s="3000">
        <v>43.77</v>
      </c>
    </row>
    <row r="1229" spans="1:3">
      <c r="A1229" s="3000" t="s">
        <v>4695</v>
      </c>
      <c r="B1229" s="3000" t="s">
        <v>4379</v>
      </c>
      <c r="C1229" s="3000">
        <v>43.77</v>
      </c>
    </row>
    <row r="1230" spans="1:3">
      <c r="A1230" s="3000" t="s">
        <v>4695</v>
      </c>
      <c r="B1230" s="3000" t="s">
        <v>4380</v>
      </c>
      <c r="C1230" s="3000">
        <v>43.77</v>
      </c>
    </row>
    <row r="1231" spans="1:3">
      <c r="A1231" s="3000" t="s">
        <v>4695</v>
      </c>
      <c r="B1231" s="3000" t="s">
        <v>4381</v>
      </c>
      <c r="C1231" s="3000">
        <v>43.77</v>
      </c>
    </row>
    <row r="1232" spans="1:3">
      <c r="A1232" s="3000" t="s">
        <v>4695</v>
      </c>
      <c r="B1232" s="3000" t="s">
        <v>4382</v>
      </c>
      <c r="C1232" s="3000">
        <v>43.77</v>
      </c>
    </row>
    <row r="1233" spans="1:3">
      <c r="A1233" s="3000" t="s">
        <v>4695</v>
      </c>
      <c r="B1233" s="3000" t="s">
        <v>4383</v>
      </c>
      <c r="C1233" s="3000">
        <v>43.77</v>
      </c>
    </row>
    <row r="1234" spans="1:3">
      <c r="A1234" s="3000" t="s">
        <v>4695</v>
      </c>
      <c r="B1234" s="3000" t="s">
        <v>4384</v>
      </c>
      <c r="C1234" s="3000">
        <v>43.77</v>
      </c>
    </row>
    <row r="1235" spans="1:3">
      <c r="A1235" s="3000" t="s">
        <v>4695</v>
      </c>
      <c r="B1235" s="3000" t="s">
        <v>4385</v>
      </c>
      <c r="C1235" s="3000">
        <v>43.77</v>
      </c>
    </row>
    <row r="1236" spans="1:3">
      <c r="A1236" s="3000" t="s">
        <v>4695</v>
      </c>
      <c r="B1236" s="3000" t="s">
        <v>4386</v>
      </c>
      <c r="C1236" s="3000">
        <v>43.77</v>
      </c>
    </row>
    <row r="1237" spans="1:3">
      <c r="A1237" s="3000" t="s">
        <v>4695</v>
      </c>
      <c r="B1237" s="3000" t="s">
        <v>4387</v>
      </c>
      <c r="C1237" s="3000">
        <v>43.77</v>
      </c>
    </row>
    <row r="1238" spans="1:3">
      <c r="A1238" s="3000" t="s">
        <v>4695</v>
      </c>
      <c r="B1238" s="3000" t="s">
        <v>4388</v>
      </c>
      <c r="C1238" s="3000">
        <v>43.77</v>
      </c>
    </row>
    <row r="1239" spans="1:3">
      <c r="A1239" s="3000" t="s">
        <v>4695</v>
      </c>
      <c r="B1239" s="3000" t="s">
        <v>4389</v>
      </c>
      <c r="C1239" s="3000">
        <v>43.77</v>
      </c>
    </row>
    <row r="1240" spans="1:3">
      <c r="A1240" s="3000" t="s">
        <v>4695</v>
      </c>
      <c r="B1240" s="3000" t="s">
        <v>4390</v>
      </c>
      <c r="C1240" s="3000">
        <v>43.77</v>
      </c>
    </row>
    <row r="1241" spans="1:3">
      <c r="A1241" s="3000" t="s">
        <v>4695</v>
      </c>
      <c r="B1241" s="3000" t="s">
        <v>4391</v>
      </c>
      <c r="C1241" s="3000">
        <v>43.77</v>
      </c>
    </row>
    <row r="1242" spans="1:3">
      <c r="A1242" s="3000" t="s">
        <v>4695</v>
      </c>
      <c r="B1242" s="3000" t="s">
        <v>4392</v>
      </c>
      <c r="C1242" s="3000">
        <v>43.77</v>
      </c>
    </row>
    <row r="1243" spans="1:3">
      <c r="A1243" s="3000" t="s">
        <v>4695</v>
      </c>
      <c r="B1243" s="3000" t="s">
        <v>4393</v>
      </c>
      <c r="C1243" s="3000">
        <v>43.77</v>
      </c>
    </row>
    <row r="1244" spans="1:3">
      <c r="A1244" s="3000" t="s">
        <v>4695</v>
      </c>
      <c r="B1244" s="3000" t="s">
        <v>4394</v>
      </c>
      <c r="C1244" s="3000">
        <v>43.77</v>
      </c>
    </row>
    <row r="1245" spans="1:3">
      <c r="A1245" s="3000" t="s">
        <v>4695</v>
      </c>
      <c r="B1245" s="3000" t="s">
        <v>4395</v>
      </c>
      <c r="C1245" s="3000">
        <v>43.77</v>
      </c>
    </row>
    <row r="1246" spans="1:3">
      <c r="A1246" s="3000" t="s">
        <v>4695</v>
      </c>
      <c r="B1246" s="3000" t="s">
        <v>4396</v>
      </c>
      <c r="C1246" s="3000">
        <v>43.77</v>
      </c>
    </row>
    <row r="1247" spans="1:3">
      <c r="A1247" s="3000" t="s">
        <v>4695</v>
      </c>
      <c r="B1247" s="3000" t="s">
        <v>4397</v>
      </c>
      <c r="C1247" s="3000">
        <v>43.77</v>
      </c>
    </row>
    <row r="1248" spans="1:3">
      <c r="A1248" s="3000" t="s">
        <v>4695</v>
      </c>
      <c r="B1248" s="3000" t="s">
        <v>4398</v>
      </c>
      <c r="C1248" s="3000">
        <v>43.77</v>
      </c>
    </row>
    <row r="1249" spans="1:3">
      <c r="A1249" s="3000" t="s">
        <v>4695</v>
      </c>
      <c r="B1249" s="3000" t="s">
        <v>4399</v>
      </c>
      <c r="C1249" s="3000">
        <v>43.77</v>
      </c>
    </row>
    <row r="1250" spans="1:3">
      <c r="A1250" s="3000" t="s">
        <v>4695</v>
      </c>
      <c r="B1250" s="3000" t="s">
        <v>4400</v>
      </c>
      <c r="C1250" s="3000">
        <v>43.77</v>
      </c>
    </row>
    <row r="1251" spans="1:3">
      <c r="A1251" s="3000" t="s">
        <v>4695</v>
      </c>
      <c r="B1251" s="3000" t="s">
        <v>4401</v>
      </c>
      <c r="C1251" s="3000">
        <v>43.77</v>
      </c>
    </row>
    <row r="1252" spans="1:3">
      <c r="A1252" s="3000" t="s">
        <v>4695</v>
      </c>
      <c r="B1252" s="3000" t="s">
        <v>4402</v>
      </c>
      <c r="C1252" s="3000">
        <v>43.77</v>
      </c>
    </row>
    <row r="1253" spans="1:3">
      <c r="A1253" s="3000" t="s">
        <v>4695</v>
      </c>
      <c r="B1253" s="3000" t="s">
        <v>4403</v>
      </c>
      <c r="C1253" s="3000">
        <v>43.77</v>
      </c>
    </row>
    <row r="1254" spans="1:3">
      <c r="A1254" s="3000" t="s">
        <v>4695</v>
      </c>
      <c r="B1254" s="3000" t="s">
        <v>4404</v>
      </c>
      <c r="C1254" s="3000">
        <v>43.77</v>
      </c>
    </row>
    <row r="1255" spans="1:3">
      <c r="A1255" s="3000" t="s">
        <v>4695</v>
      </c>
      <c r="B1255" s="3000" t="s">
        <v>4405</v>
      </c>
      <c r="C1255" s="3000">
        <v>43.77</v>
      </c>
    </row>
    <row r="1256" spans="1:3">
      <c r="A1256" s="3000" t="s">
        <v>4695</v>
      </c>
      <c r="B1256" s="3000" t="s">
        <v>4406</v>
      </c>
      <c r="C1256" s="3000">
        <v>43.77</v>
      </c>
    </row>
    <row r="1257" spans="1:3">
      <c r="A1257" s="3000" t="s">
        <v>4695</v>
      </c>
      <c r="B1257" s="3000" t="s">
        <v>4407</v>
      </c>
      <c r="C1257" s="3000">
        <v>43.77</v>
      </c>
    </row>
    <row r="1258" spans="1:3">
      <c r="A1258" s="3000" t="s">
        <v>4695</v>
      </c>
      <c r="B1258" s="3000" t="s">
        <v>4408</v>
      </c>
      <c r="C1258" s="3000">
        <v>43.77</v>
      </c>
    </row>
    <row r="1259" spans="1:3">
      <c r="A1259" s="3000" t="s">
        <v>4695</v>
      </c>
      <c r="B1259" s="3000" t="s">
        <v>4409</v>
      </c>
      <c r="C1259" s="3000">
        <v>43.77</v>
      </c>
    </row>
    <row r="1260" spans="1:3">
      <c r="A1260" s="3000" t="s">
        <v>4695</v>
      </c>
      <c r="B1260" s="3000" t="s">
        <v>4410</v>
      </c>
      <c r="C1260" s="3000">
        <v>43.77</v>
      </c>
    </row>
    <row r="1261" spans="1:3">
      <c r="A1261" s="3000" t="s">
        <v>4695</v>
      </c>
      <c r="B1261" s="3000" t="s">
        <v>4411</v>
      </c>
      <c r="C1261" s="3000">
        <v>43.77</v>
      </c>
    </row>
    <row r="1262" spans="1:3">
      <c r="A1262" s="3000" t="s">
        <v>4695</v>
      </c>
      <c r="B1262" s="3000" t="s">
        <v>4412</v>
      </c>
      <c r="C1262" s="3000">
        <v>43.77</v>
      </c>
    </row>
    <row r="1263" spans="1:3">
      <c r="A1263" s="3000" t="s">
        <v>4695</v>
      </c>
      <c r="B1263" s="3000" t="s">
        <v>4413</v>
      </c>
      <c r="C1263" s="3000">
        <v>43.77</v>
      </c>
    </row>
    <row r="1264" spans="1:3">
      <c r="A1264" s="3000" t="s">
        <v>4695</v>
      </c>
      <c r="B1264" s="3000" t="s">
        <v>4414</v>
      </c>
      <c r="C1264" s="3000">
        <v>43.77</v>
      </c>
    </row>
    <row r="1265" spans="1:3">
      <c r="A1265" s="3000" t="s">
        <v>4695</v>
      </c>
      <c r="B1265" s="3000" t="s">
        <v>4415</v>
      </c>
      <c r="C1265" s="3000">
        <v>43.77</v>
      </c>
    </row>
    <row r="1266" spans="1:3">
      <c r="A1266" s="3000" t="s">
        <v>4695</v>
      </c>
      <c r="B1266" s="3000" t="s">
        <v>4416</v>
      </c>
      <c r="C1266" s="3000">
        <v>43.77</v>
      </c>
    </row>
    <row r="1267" spans="1:3">
      <c r="A1267" s="3000" t="s">
        <v>4695</v>
      </c>
      <c r="B1267" s="3000" t="s">
        <v>4417</v>
      </c>
      <c r="C1267" s="3000">
        <v>43.77</v>
      </c>
    </row>
    <row r="1268" spans="1:3">
      <c r="A1268" s="3000" t="s">
        <v>4695</v>
      </c>
      <c r="B1268" s="3000" t="s">
        <v>4418</v>
      </c>
      <c r="C1268" s="3000">
        <v>43.77</v>
      </c>
    </row>
    <row r="1269" spans="1:3">
      <c r="A1269" s="3000" t="s">
        <v>4695</v>
      </c>
      <c r="B1269" s="3000" t="s">
        <v>4419</v>
      </c>
      <c r="C1269" s="3000">
        <v>43.77</v>
      </c>
    </row>
    <row r="1270" spans="1:3">
      <c r="A1270" s="3000" t="s">
        <v>4695</v>
      </c>
      <c r="B1270" s="3000" t="s">
        <v>4420</v>
      </c>
      <c r="C1270" s="3000">
        <v>43.77</v>
      </c>
    </row>
    <row r="1271" spans="1:3">
      <c r="A1271" s="3000" t="s">
        <v>4695</v>
      </c>
      <c r="B1271" s="3000" t="s">
        <v>4421</v>
      </c>
      <c r="C1271" s="3000">
        <v>43.77</v>
      </c>
    </row>
    <row r="1272" spans="1:3">
      <c r="A1272" s="3000" t="s">
        <v>4695</v>
      </c>
      <c r="B1272" s="3000" t="s">
        <v>4422</v>
      </c>
      <c r="C1272" s="3000">
        <v>43.77</v>
      </c>
    </row>
    <row r="1273" spans="1:3">
      <c r="A1273" s="3000" t="s">
        <v>4695</v>
      </c>
      <c r="B1273" s="3000" t="s">
        <v>4423</v>
      </c>
      <c r="C1273" s="3000">
        <v>43.77</v>
      </c>
    </row>
    <row r="1274" spans="1:3">
      <c r="A1274" s="3000" t="s">
        <v>4695</v>
      </c>
      <c r="B1274" s="3000" t="s">
        <v>4424</v>
      </c>
      <c r="C1274" s="3000">
        <v>43.77</v>
      </c>
    </row>
    <row r="1275" spans="1:3">
      <c r="A1275" s="3000" t="s">
        <v>4695</v>
      </c>
      <c r="B1275" s="3000" t="s">
        <v>4425</v>
      </c>
      <c r="C1275" s="3000">
        <v>43.77</v>
      </c>
    </row>
    <row r="1276" spans="1:3">
      <c r="A1276" s="3000" t="s">
        <v>4695</v>
      </c>
      <c r="B1276" s="3000" t="s">
        <v>4426</v>
      </c>
      <c r="C1276" s="3000">
        <v>43.77</v>
      </c>
    </row>
    <row r="1277" spans="1:3">
      <c r="A1277" s="3000" t="s">
        <v>4695</v>
      </c>
      <c r="B1277" s="3000" t="s">
        <v>4427</v>
      </c>
      <c r="C1277" s="3000">
        <v>43.77</v>
      </c>
    </row>
    <row r="1278" spans="1:3">
      <c r="A1278" s="3000" t="s">
        <v>4695</v>
      </c>
      <c r="B1278" s="3000" t="s">
        <v>4428</v>
      </c>
      <c r="C1278" s="3000">
        <v>43.77</v>
      </c>
    </row>
    <row r="1279" spans="1:3">
      <c r="A1279" s="3000" t="s">
        <v>4695</v>
      </c>
      <c r="B1279" s="3000" t="s">
        <v>4429</v>
      </c>
      <c r="C1279" s="3000">
        <v>43.77</v>
      </c>
    </row>
    <row r="1280" spans="1:3">
      <c r="A1280" s="3000" t="s">
        <v>4695</v>
      </c>
      <c r="B1280" s="3000" t="s">
        <v>4430</v>
      </c>
      <c r="C1280" s="3000">
        <v>43.77</v>
      </c>
    </row>
    <row r="1281" spans="1:3">
      <c r="A1281" s="3000" t="s">
        <v>4695</v>
      </c>
      <c r="B1281" s="3000" t="s">
        <v>4431</v>
      </c>
      <c r="C1281" s="3000">
        <v>43.77</v>
      </c>
    </row>
    <row r="1282" spans="1:3">
      <c r="A1282" s="3000" t="s">
        <v>4695</v>
      </c>
      <c r="B1282" s="3000" t="s">
        <v>4432</v>
      </c>
      <c r="C1282" s="3000">
        <v>43.77</v>
      </c>
    </row>
    <row r="1283" spans="1:3">
      <c r="A1283" s="3000" t="s">
        <v>4695</v>
      </c>
      <c r="B1283" s="3000" t="s">
        <v>4433</v>
      </c>
      <c r="C1283" s="3000">
        <v>43.77</v>
      </c>
    </row>
    <row r="1284" spans="1:3">
      <c r="A1284" s="3000" t="s">
        <v>4695</v>
      </c>
      <c r="B1284" s="3000" t="s">
        <v>4434</v>
      </c>
      <c r="C1284" s="3000">
        <v>43.77</v>
      </c>
    </row>
    <row r="1285" spans="1:3">
      <c r="A1285" s="3000" t="s">
        <v>4695</v>
      </c>
      <c r="B1285" s="3000" t="s">
        <v>4435</v>
      </c>
      <c r="C1285" s="3000">
        <v>43.77</v>
      </c>
    </row>
    <row r="1286" spans="1:3">
      <c r="A1286" s="3000" t="s">
        <v>4695</v>
      </c>
      <c r="B1286" s="3000" t="s">
        <v>4436</v>
      </c>
      <c r="C1286" s="3000">
        <v>43.77</v>
      </c>
    </row>
    <row r="1287" spans="1:3">
      <c r="A1287" s="3000" t="s">
        <v>4695</v>
      </c>
      <c r="B1287" s="3000" t="s">
        <v>4437</v>
      </c>
      <c r="C1287" s="3000">
        <v>43.77</v>
      </c>
    </row>
    <row r="1288" spans="1:3">
      <c r="A1288" s="3000" t="s">
        <v>4695</v>
      </c>
      <c r="B1288" s="3000" t="s">
        <v>4438</v>
      </c>
      <c r="C1288" s="3000">
        <v>43.77</v>
      </c>
    </row>
    <row r="1289" spans="1:3">
      <c r="A1289" s="3000" t="s">
        <v>4695</v>
      </c>
      <c r="B1289" s="3000" t="s">
        <v>4439</v>
      </c>
      <c r="C1289" s="3000">
        <v>43.77</v>
      </c>
    </row>
    <row r="1290" spans="1:3">
      <c r="A1290" s="3000" t="s">
        <v>4695</v>
      </c>
      <c r="B1290" s="3000" t="s">
        <v>4440</v>
      </c>
      <c r="C1290" s="3000">
        <v>43.77</v>
      </c>
    </row>
    <row r="1291" spans="1:3">
      <c r="A1291" s="3000" t="s">
        <v>4695</v>
      </c>
      <c r="B1291" s="3000" t="s">
        <v>4441</v>
      </c>
      <c r="C1291" s="3000">
        <v>43.77</v>
      </c>
    </row>
    <row r="1292" spans="1:3">
      <c r="A1292" s="3000" t="s">
        <v>4695</v>
      </c>
      <c r="B1292" s="3000" t="s">
        <v>4442</v>
      </c>
      <c r="C1292" s="3000">
        <v>43.77</v>
      </c>
    </row>
    <row r="1293" spans="1:3">
      <c r="A1293" s="3000" t="s">
        <v>4695</v>
      </c>
      <c r="B1293" s="3000" t="s">
        <v>4443</v>
      </c>
      <c r="C1293" s="3000">
        <v>43.77</v>
      </c>
    </row>
    <row r="1294" spans="1:3">
      <c r="A1294" s="3000" t="s">
        <v>4695</v>
      </c>
      <c r="B1294" s="3000" t="s">
        <v>4444</v>
      </c>
      <c r="C1294" s="3000">
        <v>43.77</v>
      </c>
    </row>
    <row r="1295" spans="1:3">
      <c r="A1295" s="3000" t="s">
        <v>4695</v>
      </c>
      <c r="B1295" s="3000" t="s">
        <v>4445</v>
      </c>
      <c r="C1295" s="3000">
        <v>43.77</v>
      </c>
    </row>
    <row r="1296" spans="1:3">
      <c r="A1296" s="3000" t="s">
        <v>4695</v>
      </c>
      <c r="B1296" s="3000" t="s">
        <v>4446</v>
      </c>
      <c r="C1296" s="3000">
        <v>43.77</v>
      </c>
    </row>
    <row r="1297" spans="1:3">
      <c r="A1297" s="3000" t="s">
        <v>4695</v>
      </c>
      <c r="B1297" s="3000" t="s">
        <v>4447</v>
      </c>
      <c r="C1297" s="3000">
        <v>43.77</v>
      </c>
    </row>
    <row r="1298" spans="1:3">
      <c r="A1298" s="3000" t="s">
        <v>4695</v>
      </c>
      <c r="B1298" s="3000" t="s">
        <v>4448</v>
      </c>
      <c r="C1298" s="3000">
        <v>43.77</v>
      </c>
    </row>
    <row r="1299" spans="1:3">
      <c r="A1299" s="3000" t="s">
        <v>4695</v>
      </c>
      <c r="B1299" s="3000" t="s">
        <v>4449</v>
      </c>
      <c r="C1299" s="3000">
        <v>43.77</v>
      </c>
    </row>
    <row r="1300" spans="1:3">
      <c r="A1300" s="3000" t="s">
        <v>4695</v>
      </c>
      <c r="B1300" s="3000" t="s">
        <v>4450</v>
      </c>
      <c r="C1300" s="3000">
        <v>43.77</v>
      </c>
    </row>
    <row r="1301" spans="1:3">
      <c r="A1301" s="3000" t="s">
        <v>4695</v>
      </c>
      <c r="B1301" s="3000" t="s">
        <v>4451</v>
      </c>
      <c r="C1301" s="3000">
        <v>43.77</v>
      </c>
    </row>
    <row r="1302" spans="1:3">
      <c r="A1302" s="3000" t="s">
        <v>4695</v>
      </c>
      <c r="B1302" s="3000" t="s">
        <v>4452</v>
      </c>
      <c r="C1302" s="3000">
        <v>43.77</v>
      </c>
    </row>
    <row r="1303" spans="1:3">
      <c r="A1303" s="3000" t="s">
        <v>4695</v>
      </c>
      <c r="B1303" s="3000" t="s">
        <v>4453</v>
      </c>
      <c r="C1303" s="3000">
        <v>43.77</v>
      </c>
    </row>
    <row r="1304" spans="1:3">
      <c r="A1304" s="3000" t="s">
        <v>4695</v>
      </c>
      <c r="B1304" s="3000" t="s">
        <v>4454</v>
      </c>
      <c r="C1304" s="3000">
        <v>43.77</v>
      </c>
    </row>
    <row r="1305" spans="1:3">
      <c r="A1305" s="3000" t="s">
        <v>4695</v>
      </c>
      <c r="B1305" s="3000" t="s">
        <v>4455</v>
      </c>
      <c r="C1305" s="3000">
        <v>43.77</v>
      </c>
    </row>
    <row r="1306" spans="1:3">
      <c r="A1306" s="3000" t="s">
        <v>4695</v>
      </c>
      <c r="B1306" s="3000" t="s">
        <v>4456</v>
      </c>
      <c r="C1306" s="3000">
        <v>43.77</v>
      </c>
    </row>
    <row r="1307" spans="1:3">
      <c r="A1307" s="3000" t="s">
        <v>4695</v>
      </c>
      <c r="B1307" s="3000" t="s">
        <v>4457</v>
      </c>
      <c r="C1307" s="3000">
        <v>43.77</v>
      </c>
    </row>
    <row r="1308" spans="1:3">
      <c r="A1308" s="3000" t="s">
        <v>4695</v>
      </c>
      <c r="B1308" s="3000" t="s">
        <v>4458</v>
      </c>
      <c r="C1308" s="3000">
        <v>43.77</v>
      </c>
    </row>
    <row r="1309" spans="1:3">
      <c r="A1309" s="3000" t="s">
        <v>4695</v>
      </c>
      <c r="B1309" s="3000" t="s">
        <v>4459</v>
      </c>
      <c r="C1309" s="3000">
        <v>87.54</v>
      </c>
    </row>
    <row r="1310" spans="1:3">
      <c r="A1310" s="3000" t="s">
        <v>4695</v>
      </c>
      <c r="B1310" s="3000" t="s">
        <v>4460</v>
      </c>
      <c r="C1310" s="3000">
        <v>43.77</v>
      </c>
    </row>
    <row r="1311" spans="1:3">
      <c r="A1311" s="3000" t="s">
        <v>4695</v>
      </c>
      <c r="B1311" s="3000" t="s">
        <v>4461</v>
      </c>
      <c r="C1311" s="3000">
        <v>43.77</v>
      </c>
    </row>
    <row r="1312" spans="1:3">
      <c r="A1312" s="3000" t="s">
        <v>4695</v>
      </c>
      <c r="B1312" s="3000" t="s">
        <v>4462</v>
      </c>
      <c r="C1312" s="3000">
        <v>43.77</v>
      </c>
    </row>
    <row r="1313" spans="1:3">
      <c r="A1313" s="3000" t="s">
        <v>4695</v>
      </c>
      <c r="B1313" s="3000" t="s">
        <v>4463</v>
      </c>
      <c r="C1313" s="3000">
        <v>43.77</v>
      </c>
    </row>
    <row r="1314" spans="1:3">
      <c r="A1314" s="3000" t="s">
        <v>4695</v>
      </c>
      <c r="B1314" s="3000" t="s">
        <v>4464</v>
      </c>
      <c r="C1314" s="3000">
        <v>43.77</v>
      </c>
    </row>
    <row r="1315" spans="1:3">
      <c r="A1315" s="3000" t="s">
        <v>4695</v>
      </c>
      <c r="B1315" s="3000" t="s">
        <v>4465</v>
      </c>
      <c r="C1315" s="3000">
        <v>43.77</v>
      </c>
    </row>
    <row r="1316" spans="1:3">
      <c r="A1316" s="3000" t="s">
        <v>4695</v>
      </c>
      <c r="B1316" s="3000" t="s">
        <v>4466</v>
      </c>
      <c r="C1316" s="3000">
        <v>43.77</v>
      </c>
    </row>
    <row r="1317" spans="1:3">
      <c r="A1317" s="3000" t="s">
        <v>4695</v>
      </c>
      <c r="B1317" s="3000" t="s">
        <v>4467</v>
      </c>
      <c r="C1317" s="3000">
        <v>43.77</v>
      </c>
    </row>
    <row r="1318" spans="1:3">
      <c r="A1318" s="3000" t="s">
        <v>4695</v>
      </c>
      <c r="B1318" s="3000" t="s">
        <v>4468</v>
      </c>
      <c r="C1318" s="3000">
        <v>43.77</v>
      </c>
    </row>
    <row r="1319" spans="1:3">
      <c r="A1319" s="3000" t="s">
        <v>4695</v>
      </c>
      <c r="B1319" s="3000" t="s">
        <v>4469</v>
      </c>
      <c r="C1319" s="3000">
        <v>43.77</v>
      </c>
    </row>
    <row r="1320" spans="1:3">
      <c r="A1320" s="3000" t="s">
        <v>4695</v>
      </c>
      <c r="B1320" s="3000" t="s">
        <v>4470</v>
      </c>
      <c r="C1320" s="3000">
        <v>43.77</v>
      </c>
    </row>
    <row r="1321" spans="1:3">
      <c r="A1321" s="3000" t="s">
        <v>4695</v>
      </c>
      <c r="B1321" s="3000" t="s">
        <v>4471</v>
      </c>
      <c r="C1321" s="3000">
        <v>43.77</v>
      </c>
    </row>
    <row r="1322" spans="1:3">
      <c r="A1322" s="3000" t="s">
        <v>4695</v>
      </c>
      <c r="B1322" s="3000" t="s">
        <v>4472</v>
      </c>
      <c r="C1322" s="3000">
        <v>43.77</v>
      </c>
    </row>
    <row r="1323" spans="1:3">
      <c r="A1323" s="3000" t="s">
        <v>4695</v>
      </c>
      <c r="B1323" s="3000" t="s">
        <v>4473</v>
      </c>
      <c r="C1323" s="3000">
        <v>43.77</v>
      </c>
    </row>
    <row r="1324" spans="1:3">
      <c r="A1324" s="3000" t="s">
        <v>4695</v>
      </c>
      <c r="B1324" s="3000" t="s">
        <v>4474</v>
      </c>
      <c r="C1324" s="3000">
        <v>43.77</v>
      </c>
    </row>
    <row r="1325" spans="1:3">
      <c r="A1325" s="3000" t="s">
        <v>4695</v>
      </c>
      <c r="B1325" s="3000" t="s">
        <v>4475</v>
      </c>
      <c r="C1325" s="3000">
        <v>43.77</v>
      </c>
    </row>
    <row r="1326" spans="1:3">
      <c r="A1326" s="3000" t="s">
        <v>4695</v>
      </c>
      <c r="B1326" s="3000" t="s">
        <v>4476</v>
      </c>
      <c r="C1326" s="3000">
        <v>43.77</v>
      </c>
    </row>
    <row r="1327" spans="1:3">
      <c r="A1327" s="3000" t="s">
        <v>4695</v>
      </c>
      <c r="B1327" s="3000" t="s">
        <v>4477</v>
      </c>
      <c r="C1327" s="3000">
        <v>43.77</v>
      </c>
    </row>
    <row r="1328" spans="1:3">
      <c r="A1328" s="3000" t="s">
        <v>4695</v>
      </c>
      <c r="B1328" s="3000" t="s">
        <v>4478</v>
      </c>
      <c r="C1328" s="3000">
        <v>43.77</v>
      </c>
    </row>
    <row r="1329" spans="1:3">
      <c r="A1329" s="3000" t="s">
        <v>4695</v>
      </c>
      <c r="B1329" s="3000" t="s">
        <v>4479</v>
      </c>
      <c r="C1329" s="3000">
        <v>43.77</v>
      </c>
    </row>
    <row r="1330" spans="1:3">
      <c r="A1330" s="3000" t="s">
        <v>4695</v>
      </c>
      <c r="B1330" s="3000" t="s">
        <v>4480</v>
      </c>
      <c r="C1330" s="3000">
        <v>43.77</v>
      </c>
    </row>
    <row r="1331" spans="1:3">
      <c r="A1331" s="3000" t="s">
        <v>4695</v>
      </c>
      <c r="B1331" s="3000" t="s">
        <v>4481</v>
      </c>
      <c r="C1331" s="3000">
        <v>43.77</v>
      </c>
    </row>
    <row r="1332" spans="1:3">
      <c r="A1332" s="3000" t="s">
        <v>4695</v>
      </c>
      <c r="B1332" s="3000" t="s">
        <v>4482</v>
      </c>
      <c r="C1332" s="3000">
        <v>43.77</v>
      </c>
    </row>
    <row r="1333" spans="1:3">
      <c r="A1333" s="3000" t="s">
        <v>4695</v>
      </c>
      <c r="B1333" s="3000" t="s">
        <v>4483</v>
      </c>
      <c r="C1333" s="3000">
        <v>43.77</v>
      </c>
    </row>
    <row r="1334" spans="1:3">
      <c r="A1334" s="3000" t="s">
        <v>4695</v>
      </c>
      <c r="B1334" s="3000" t="s">
        <v>4484</v>
      </c>
      <c r="C1334" s="3000">
        <v>43.77</v>
      </c>
    </row>
    <row r="1335" spans="1:3">
      <c r="A1335" s="3000" t="s">
        <v>4695</v>
      </c>
      <c r="B1335" s="3000" t="s">
        <v>4485</v>
      </c>
      <c r="C1335" s="3000">
        <v>43.77</v>
      </c>
    </row>
    <row r="1336" spans="1:3">
      <c r="A1336" s="3000" t="s">
        <v>4695</v>
      </c>
      <c r="B1336" s="3000" t="s">
        <v>4486</v>
      </c>
      <c r="C1336" s="3000">
        <v>43.77</v>
      </c>
    </row>
    <row r="1337" spans="1:3">
      <c r="A1337" s="3000" t="s">
        <v>4695</v>
      </c>
      <c r="B1337" s="3000" t="s">
        <v>4487</v>
      </c>
      <c r="C1337" s="3000">
        <v>43.77</v>
      </c>
    </row>
    <row r="1338" spans="1:3">
      <c r="A1338" s="3000" t="s">
        <v>4695</v>
      </c>
      <c r="B1338" s="3000" t="s">
        <v>4488</v>
      </c>
      <c r="C1338" s="3000">
        <v>43.77</v>
      </c>
    </row>
    <row r="1339" spans="1:3">
      <c r="A1339" s="3000" t="s">
        <v>4695</v>
      </c>
      <c r="B1339" s="3000" t="s">
        <v>4489</v>
      </c>
      <c r="C1339" s="3000">
        <v>43.77</v>
      </c>
    </row>
    <row r="1340" spans="1:3">
      <c r="A1340" s="3000" t="s">
        <v>4695</v>
      </c>
      <c r="B1340" s="3000" t="s">
        <v>4490</v>
      </c>
      <c r="C1340" s="3000">
        <v>43.77</v>
      </c>
    </row>
    <row r="1341" spans="1:3">
      <c r="A1341" s="3000" t="s">
        <v>4695</v>
      </c>
      <c r="B1341" s="3000" t="s">
        <v>4491</v>
      </c>
      <c r="C1341" s="3000">
        <v>43.77</v>
      </c>
    </row>
    <row r="1342" spans="1:3">
      <c r="A1342" s="3000" t="s">
        <v>4695</v>
      </c>
      <c r="B1342" s="3000" t="s">
        <v>4492</v>
      </c>
      <c r="C1342" s="3000">
        <v>43.77</v>
      </c>
    </row>
    <row r="1343" spans="1:3">
      <c r="A1343" s="3000" t="s">
        <v>4695</v>
      </c>
      <c r="B1343" s="3000" t="s">
        <v>4493</v>
      </c>
      <c r="C1343" s="3000">
        <v>43.77</v>
      </c>
    </row>
    <row r="1344" spans="1:3">
      <c r="A1344" s="3000" t="s">
        <v>4695</v>
      </c>
      <c r="B1344" s="3000" t="s">
        <v>4494</v>
      </c>
      <c r="C1344" s="3000">
        <v>43.77</v>
      </c>
    </row>
    <row r="1345" spans="1:3">
      <c r="A1345" s="3000" t="s">
        <v>4695</v>
      </c>
      <c r="B1345" s="3000" t="s">
        <v>4495</v>
      </c>
      <c r="C1345" s="3000">
        <v>43.77</v>
      </c>
    </row>
    <row r="1346" spans="1:3">
      <c r="A1346" s="3000" t="s">
        <v>4695</v>
      </c>
      <c r="B1346" s="3000" t="s">
        <v>4496</v>
      </c>
      <c r="C1346" s="3000">
        <v>43.77</v>
      </c>
    </row>
    <row r="1347" spans="1:3">
      <c r="A1347" s="3000" t="s">
        <v>4695</v>
      </c>
      <c r="B1347" s="3000" t="s">
        <v>4497</v>
      </c>
      <c r="C1347" s="3000">
        <v>43.77</v>
      </c>
    </row>
    <row r="1348" spans="1:3">
      <c r="A1348" s="3000" t="s">
        <v>4695</v>
      </c>
      <c r="B1348" s="3000" t="s">
        <v>4498</v>
      </c>
      <c r="C1348" s="3000">
        <v>43.77</v>
      </c>
    </row>
    <row r="1349" spans="1:3">
      <c r="A1349" s="3000" t="s">
        <v>4695</v>
      </c>
      <c r="B1349" s="3000" t="s">
        <v>4499</v>
      </c>
      <c r="C1349" s="3000">
        <v>43.77</v>
      </c>
    </row>
    <row r="1350" spans="1:3">
      <c r="A1350" s="3000" t="s">
        <v>4695</v>
      </c>
      <c r="B1350" s="3000" t="s">
        <v>4500</v>
      </c>
      <c r="C1350" s="3000">
        <v>43.77</v>
      </c>
    </row>
    <row r="1351" spans="1:3">
      <c r="A1351" s="3000" t="s">
        <v>4695</v>
      </c>
      <c r="B1351" s="3000" t="s">
        <v>4501</v>
      </c>
      <c r="C1351" s="3000">
        <v>43.77</v>
      </c>
    </row>
    <row r="1352" spans="1:3">
      <c r="A1352" s="3000" t="s">
        <v>4695</v>
      </c>
      <c r="B1352" s="3000" t="s">
        <v>4502</v>
      </c>
      <c r="C1352" s="3000">
        <v>43.77</v>
      </c>
    </row>
    <row r="1353" spans="1:3">
      <c r="A1353" s="3000" t="s">
        <v>4695</v>
      </c>
      <c r="B1353" s="3000" t="s">
        <v>4503</v>
      </c>
      <c r="C1353" s="3000">
        <v>43.77</v>
      </c>
    </row>
    <row r="1354" spans="1:3">
      <c r="A1354" s="3000" t="s">
        <v>4695</v>
      </c>
      <c r="B1354" s="3000" t="s">
        <v>4504</v>
      </c>
      <c r="C1354" s="3000">
        <v>43.77</v>
      </c>
    </row>
    <row r="1355" spans="1:3">
      <c r="A1355" s="3000" t="s">
        <v>4695</v>
      </c>
      <c r="B1355" s="3000" t="s">
        <v>4505</v>
      </c>
      <c r="C1355" s="3000">
        <v>43.77</v>
      </c>
    </row>
    <row r="1356" spans="1:3">
      <c r="A1356" s="3000" t="s">
        <v>4695</v>
      </c>
      <c r="B1356" s="3000" t="s">
        <v>4506</v>
      </c>
      <c r="C1356" s="3000">
        <v>43.77</v>
      </c>
    </row>
    <row r="1357" spans="1:3">
      <c r="A1357" s="3000" t="s">
        <v>4695</v>
      </c>
      <c r="B1357" s="3000" t="s">
        <v>4507</v>
      </c>
      <c r="C1357" s="3000">
        <v>43.77</v>
      </c>
    </row>
    <row r="1358" spans="1:3">
      <c r="A1358" s="3000" t="s">
        <v>4695</v>
      </c>
      <c r="B1358" s="3000" t="s">
        <v>4508</v>
      </c>
      <c r="C1358" s="3000">
        <v>43.77</v>
      </c>
    </row>
    <row r="1359" spans="1:3">
      <c r="A1359" s="3000" t="s">
        <v>4695</v>
      </c>
      <c r="B1359" s="3000" t="s">
        <v>4509</v>
      </c>
      <c r="C1359" s="3000">
        <v>43.77</v>
      </c>
    </row>
    <row r="1360" spans="1:3">
      <c r="A1360" s="3000" t="s">
        <v>4695</v>
      </c>
      <c r="B1360" s="3000" t="s">
        <v>4510</v>
      </c>
      <c r="C1360" s="3000">
        <v>43.77</v>
      </c>
    </row>
    <row r="1361" spans="1:3">
      <c r="A1361" s="3000" t="s">
        <v>4695</v>
      </c>
      <c r="B1361" s="3000" t="s">
        <v>4511</v>
      </c>
      <c r="C1361" s="3000">
        <v>43.77</v>
      </c>
    </row>
    <row r="1362" spans="1:3">
      <c r="A1362" s="3000" t="s">
        <v>4695</v>
      </c>
      <c r="B1362" s="3000" t="s">
        <v>4512</v>
      </c>
      <c r="C1362" s="3000">
        <v>43.77</v>
      </c>
    </row>
    <row r="1363" spans="1:3">
      <c r="A1363" s="3000" t="s">
        <v>4695</v>
      </c>
      <c r="B1363" s="3000" t="s">
        <v>4513</v>
      </c>
      <c r="C1363" s="3000">
        <v>43.77</v>
      </c>
    </row>
    <row r="1364" spans="1:3">
      <c r="A1364" s="3000" t="s">
        <v>4695</v>
      </c>
      <c r="B1364" s="3000" t="s">
        <v>4514</v>
      </c>
      <c r="C1364" s="3000">
        <v>43.77</v>
      </c>
    </row>
    <row r="1365" spans="1:3">
      <c r="A1365" s="3000" t="s">
        <v>4695</v>
      </c>
      <c r="B1365" s="3000" t="s">
        <v>4515</v>
      </c>
      <c r="C1365" s="3000">
        <v>43.77</v>
      </c>
    </row>
    <row r="1366" spans="1:3">
      <c r="A1366" s="3000" t="s">
        <v>4695</v>
      </c>
      <c r="B1366" s="3000" t="s">
        <v>4516</v>
      </c>
      <c r="C1366" s="3000">
        <v>43.77</v>
      </c>
    </row>
    <row r="1367" spans="1:3">
      <c r="A1367" s="3000" t="s">
        <v>4695</v>
      </c>
      <c r="B1367" s="3000" t="s">
        <v>4517</v>
      </c>
      <c r="C1367" s="3000">
        <v>43.77</v>
      </c>
    </row>
    <row r="1368" spans="1:3">
      <c r="A1368" s="3000" t="s">
        <v>4695</v>
      </c>
      <c r="B1368" s="3000" t="s">
        <v>4518</v>
      </c>
      <c r="C1368" s="3000">
        <v>43.77</v>
      </c>
    </row>
    <row r="1369" spans="1:3">
      <c r="A1369" s="3000" t="s">
        <v>4695</v>
      </c>
      <c r="B1369" s="3000" t="s">
        <v>4519</v>
      </c>
      <c r="C1369" s="3000">
        <v>43.77</v>
      </c>
    </row>
    <row r="1370" spans="1:3">
      <c r="A1370" s="3000" t="s">
        <v>4695</v>
      </c>
      <c r="B1370" s="3000" t="s">
        <v>4520</v>
      </c>
      <c r="C1370" s="3000">
        <v>43.77</v>
      </c>
    </row>
    <row r="1371" spans="1:3">
      <c r="A1371" s="3000" t="s">
        <v>4695</v>
      </c>
      <c r="B1371" s="3000" t="s">
        <v>4521</v>
      </c>
      <c r="C1371" s="3000">
        <v>43.77</v>
      </c>
    </row>
    <row r="1372" spans="1:3">
      <c r="A1372" s="3000" t="s">
        <v>4695</v>
      </c>
      <c r="B1372" s="3000" t="s">
        <v>4522</v>
      </c>
      <c r="C1372" s="3000">
        <v>43.77</v>
      </c>
    </row>
    <row r="1373" spans="1:3">
      <c r="A1373" s="3000" t="s">
        <v>4695</v>
      </c>
      <c r="B1373" s="3000" t="s">
        <v>4523</v>
      </c>
      <c r="C1373" s="3000">
        <v>43.77</v>
      </c>
    </row>
    <row r="1374" spans="1:3">
      <c r="A1374" s="3000" t="s">
        <v>4695</v>
      </c>
      <c r="B1374" s="3000" t="s">
        <v>4524</v>
      </c>
      <c r="C1374" s="3000">
        <v>43.77</v>
      </c>
    </row>
    <row r="1375" spans="1:3">
      <c r="A1375" s="3000" t="s">
        <v>4695</v>
      </c>
      <c r="B1375" s="3000" t="s">
        <v>4525</v>
      </c>
      <c r="C1375" s="3000">
        <v>43.77</v>
      </c>
    </row>
    <row r="1376" spans="1:3">
      <c r="A1376" s="3000" t="s">
        <v>4695</v>
      </c>
      <c r="B1376" s="3000" t="s">
        <v>4526</v>
      </c>
      <c r="C1376" s="3000">
        <v>43.77</v>
      </c>
    </row>
    <row r="1377" spans="1:3">
      <c r="A1377" s="3000" t="s">
        <v>4695</v>
      </c>
      <c r="B1377" s="3000" t="s">
        <v>4527</v>
      </c>
      <c r="C1377" s="3000">
        <v>43.77</v>
      </c>
    </row>
    <row r="1378" spans="1:3">
      <c r="A1378" s="3000" t="s">
        <v>4695</v>
      </c>
      <c r="B1378" s="3000" t="s">
        <v>4528</v>
      </c>
      <c r="C1378" s="3000">
        <v>43.77</v>
      </c>
    </row>
    <row r="1379" spans="1:3">
      <c r="A1379" s="3000" t="s">
        <v>4695</v>
      </c>
      <c r="B1379" s="3000" t="s">
        <v>4529</v>
      </c>
      <c r="C1379" s="3000">
        <v>43.77</v>
      </c>
    </row>
    <row r="1380" spans="1:3">
      <c r="A1380" s="3000" t="s">
        <v>4695</v>
      </c>
      <c r="B1380" s="3000" t="s">
        <v>4530</v>
      </c>
      <c r="C1380" s="3000">
        <v>43.77</v>
      </c>
    </row>
    <row r="1381" spans="1:3">
      <c r="A1381" s="3000" t="s">
        <v>4695</v>
      </c>
      <c r="B1381" s="3000" t="s">
        <v>4531</v>
      </c>
      <c r="C1381" s="3000">
        <v>43.77</v>
      </c>
    </row>
    <row r="1382" spans="1:3">
      <c r="A1382" s="3000" t="s">
        <v>4695</v>
      </c>
      <c r="B1382" s="3000" t="s">
        <v>4532</v>
      </c>
      <c r="C1382" s="3000">
        <v>43.77</v>
      </c>
    </row>
    <row r="1383" spans="1:3">
      <c r="A1383" s="3000" t="s">
        <v>4695</v>
      </c>
      <c r="B1383" s="3000" t="s">
        <v>4533</v>
      </c>
      <c r="C1383" s="3000">
        <v>43.77</v>
      </c>
    </row>
    <row r="1384" spans="1:3">
      <c r="A1384" s="3000" t="s">
        <v>4695</v>
      </c>
      <c r="B1384" s="3000" t="s">
        <v>4534</v>
      </c>
      <c r="C1384" s="3000">
        <v>43.77</v>
      </c>
    </row>
    <row r="1385" spans="1:3">
      <c r="A1385" s="3000" t="s">
        <v>4695</v>
      </c>
      <c r="B1385" s="3000" t="s">
        <v>4535</v>
      </c>
      <c r="C1385" s="3000">
        <v>43.77</v>
      </c>
    </row>
    <row r="1386" spans="1:3">
      <c r="A1386" s="3000" t="s">
        <v>4695</v>
      </c>
      <c r="B1386" s="3000" t="s">
        <v>4536</v>
      </c>
      <c r="C1386" s="3000">
        <v>43.77</v>
      </c>
    </row>
    <row r="1387" spans="1:3">
      <c r="A1387" s="3000" t="s">
        <v>4695</v>
      </c>
      <c r="B1387" s="3000" t="s">
        <v>4537</v>
      </c>
      <c r="C1387" s="3000">
        <v>43.77</v>
      </c>
    </row>
    <row r="1388" spans="1:3">
      <c r="A1388" s="3000" t="s">
        <v>4695</v>
      </c>
      <c r="B1388" s="3000" t="s">
        <v>4538</v>
      </c>
      <c r="C1388" s="3000">
        <v>43.77</v>
      </c>
    </row>
    <row r="1389" spans="1:3">
      <c r="A1389" s="3000" t="s">
        <v>4695</v>
      </c>
      <c r="B1389" s="3000" t="s">
        <v>4539</v>
      </c>
      <c r="C1389" s="3000">
        <v>43.77</v>
      </c>
    </row>
    <row r="1390" spans="1:3">
      <c r="A1390" s="3000" t="s">
        <v>4695</v>
      </c>
      <c r="B1390" s="3000" t="s">
        <v>4540</v>
      </c>
      <c r="C1390" s="3000">
        <v>87.54</v>
      </c>
    </row>
    <row r="1391" spans="1:3">
      <c r="A1391" s="3000" t="s">
        <v>4695</v>
      </c>
      <c r="B1391" s="3000" t="s">
        <v>4541</v>
      </c>
      <c r="C1391" s="3000">
        <v>43.77</v>
      </c>
    </row>
    <row r="1392" spans="1:3">
      <c r="A1392" s="3000" t="s">
        <v>4695</v>
      </c>
      <c r="B1392" s="3000" t="s">
        <v>4542</v>
      </c>
      <c r="C1392" s="3000">
        <v>43.77</v>
      </c>
    </row>
    <row r="1393" spans="1:3">
      <c r="A1393" s="3000" t="s">
        <v>4695</v>
      </c>
      <c r="B1393" s="3000" t="s">
        <v>4543</v>
      </c>
      <c r="C1393" s="3000">
        <v>43.77</v>
      </c>
    </row>
    <row r="1394" spans="1:3">
      <c r="A1394" s="3000" t="s">
        <v>4695</v>
      </c>
      <c r="B1394" s="3000" t="s">
        <v>4544</v>
      </c>
      <c r="C1394" s="3000">
        <v>43.77</v>
      </c>
    </row>
    <row r="1395" spans="1:3">
      <c r="A1395" s="3000" t="s">
        <v>4695</v>
      </c>
      <c r="B1395" s="3000" t="s">
        <v>4545</v>
      </c>
      <c r="C1395" s="3000">
        <v>43.77</v>
      </c>
    </row>
    <row r="1396" spans="1:3">
      <c r="A1396" s="3000" t="s">
        <v>4695</v>
      </c>
      <c r="B1396" s="3000" t="s">
        <v>4546</v>
      </c>
      <c r="C1396" s="3000">
        <v>43.77</v>
      </c>
    </row>
    <row r="1397" spans="1:3">
      <c r="A1397" s="3000" t="s">
        <v>4695</v>
      </c>
      <c r="B1397" s="3000" t="s">
        <v>4547</v>
      </c>
      <c r="C1397" s="3000">
        <v>43.77</v>
      </c>
    </row>
    <row r="1398" spans="1:3">
      <c r="A1398" s="3000" t="s">
        <v>4695</v>
      </c>
      <c r="B1398" s="3000" t="s">
        <v>4548</v>
      </c>
      <c r="C1398" s="3000">
        <v>43.77</v>
      </c>
    </row>
    <row r="1399" spans="1:3">
      <c r="A1399" s="3000" t="s">
        <v>4695</v>
      </c>
      <c r="B1399" s="3000" t="s">
        <v>4549</v>
      </c>
      <c r="C1399" s="3000">
        <v>43.77</v>
      </c>
    </row>
    <row r="1400" spans="1:3">
      <c r="A1400" s="3000" t="s">
        <v>4695</v>
      </c>
      <c r="B1400" s="3000" t="s">
        <v>4550</v>
      </c>
      <c r="C1400" s="3000">
        <v>43.77</v>
      </c>
    </row>
    <row r="1401" spans="1:3">
      <c r="A1401" s="3000" t="s">
        <v>4695</v>
      </c>
      <c r="B1401" s="3000" t="s">
        <v>4551</v>
      </c>
      <c r="C1401" s="3000">
        <v>43.77</v>
      </c>
    </row>
    <row r="1402" spans="1:3">
      <c r="A1402" s="3000" t="s">
        <v>4695</v>
      </c>
      <c r="B1402" s="3000" t="s">
        <v>4552</v>
      </c>
      <c r="C1402" s="3000">
        <v>43.77</v>
      </c>
    </row>
    <row r="1403" spans="1:3">
      <c r="A1403" s="3000" t="s">
        <v>4695</v>
      </c>
      <c r="B1403" s="3000" t="s">
        <v>4553</v>
      </c>
      <c r="C1403" s="3000">
        <v>43.77</v>
      </c>
    </row>
    <row r="1404" spans="1:3">
      <c r="A1404" s="3000" t="s">
        <v>4695</v>
      </c>
      <c r="B1404" s="3000" t="s">
        <v>4554</v>
      </c>
      <c r="C1404" s="3000">
        <v>43.77</v>
      </c>
    </row>
    <row r="1405" spans="1:3">
      <c r="A1405" s="3000" t="s">
        <v>4695</v>
      </c>
      <c r="B1405" s="3000" t="s">
        <v>4555</v>
      </c>
      <c r="C1405" s="3000">
        <v>43.77</v>
      </c>
    </row>
    <row r="1406" spans="1:3">
      <c r="A1406" s="3000" t="s">
        <v>4695</v>
      </c>
      <c r="B1406" s="3000" t="s">
        <v>4556</v>
      </c>
      <c r="C1406" s="3000">
        <v>43.77</v>
      </c>
    </row>
    <row r="1407" spans="1:3">
      <c r="A1407" s="3000" t="s">
        <v>4695</v>
      </c>
      <c r="B1407" s="3000" t="s">
        <v>4557</v>
      </c>
      <c r="C1407" s="3000">
        <v>87.54</v>
      </c>
    </row>
    <row r="1408" spans="1:3">
      <c r="A1408" s="3000" t="s">
        <v>4695</v>
      </c>
      <c r="B1408" s="3000" t="s">
        <v>4558</v>
      </c>
      <c r="C1408" s="3000">
        <v>43.77</v>
      </c>
    </row>
    <row r="1409" spans="1:3">
      <c r="A1409" s="3000" t="s">
        <v>4695</v>
      </c>
      <c r="B1409" s="3000" t="s">
        <v>4559</v>
      </c>
      <c r="C1409" s="3000">
        <v>43.77</v>
      </c>
    </row>
    <row r="1410" spans="1:3">
      <c r="A1410" s="3000" t="s">
        <v>4695</v>
      </c>
      <c r="B1410" s="3000" t="s">
        <v>4560</v>
      </c>
      <c r="C1410" s="3000">
        <v>43.77</v>
      </c>
    </row>
    <row r="1411" spans="1:3">
      <c r="A1411" s="3000" t="s">
        <v>4695</v>
      </c>
      <c r="B1411" s="3000" t="s">
        <v>4561</v>
      </c>
      <c r="C1411" s="3000">
        <v>43.77</v>
      </c>
    </row>
    <row r="1412" spans="1:3">
      <c r="A1412" s="3000" t="s">
        <v>4695</v>
      </c>
      <c r="B1412" s="3000" t="s">
        <v>4562</v>
      </c>
      <c r="C1412" s="3000">
        <v>43.77</v>
      </c>
    </row>
    <row r="1413" spans="1:3">
      <c r="A1413" s="3000" t="s">
        <v>4695</v>
      </c>
      <c r="B1413" s="3000" t="s">
        <v>4563</v>
      </c>
      <c r="C1413" s="3000">
        <v>43.77</v>
      </c>
    </row>
    <row r="1414" spans="1:3">
      <c r="A1414" s="3000" t="s">
        <v>4695</v>
      </c>
      <c r="B1414" s="3000" t="s">
        <v>4564</v>
      </c>
      <c r="C1414" s="3000">
        <v>87.54</v>
      </c>
    </row>
    <row r="1415" spans="1:3">
      <c r="A1415" s="3000" t="s">
        <v>4695</v>
      </c>
      <c r="B1415" s="3000" t="s">
        <v>4565</v>
      </c>
      <c r="C1415" s="3000">
        <v>43.77</v>
      </c>
    </row>
    <row r="1416" spans="1:3">
      <c r="A1416" s="3000" t="s">
        <v>4695</v>
      </c>
      <c r="B1416" s="3000" t="s">
        <v>4566</v>
      </c>
      <c r="C1416" s="3000">
        <v>43.77</v>
      </c>
    </row>
    <row r="1417" spans="1:3">
      <c r="A1417" s="3000" t="s">
        <v>4695</v>
      </c>
      <c r="B1417" s="3000" t="s">
        <v>4567</v>
      </c>
      <c r="C1417" s="3000">
        <v>43.77</v>
      </c>
    </row>
    <row r="1418" spans="1:3">
      <c r="A1418" s="3000" t="s">
        <v>4695</v>
      </c>
      <c r="B1418" s="3000" t="s">
        <v>4568</v>
      </c>
      <c r="C1418" s="3000">
        <v>43.77</v>
      </c>
    </row>
    <row r="1419" spans="1:3">
      <c r="A1419" s="3000" t="s">
        <v>4695</v>
      </c>
      <c r="B1419" s="3000" t="s">
        <v>4569</v>
      </c>
      <c r="C1419" s="3000">
        <v>43.77</v>
      </c>
    </row>
    <row r="1420" spans="1:3">
      <c r="A1420" s="3000" t="s">
        <v>4695</v>
      </c>
      <c r="B1420" s="3000" t="s">
        <v>4570</v>
      </c>
      <c r="C1420" s="3000">
        <v>43.77</v>
      </c>
    </row>
    <row r="1421" spans="1:3">
      <c r="A1421" s="3000" t="s">
        <v>4695</v>
      </c>
      <c r="B1421" s="3000" t="s">
        <v>4571</v>
      </c>
      <c r="C1421" s="3000">
        <v>43.77</v>
      </c>
    </row>
    <row r="1422" spans="1:3">
      <c r="A1422" s="3000" t="s">
        <v>4695</v>
      </c>
      <c r="B1422" s="3000" t="s">
        <v>4572</v>
      </c>
      <c r="C1422" s="3000">
        <v>43.77</v>
      </c>
    </row>
    <row r="1423" spans="1:3">
      <c r="A1423" s="3000" t="s">
        <v>4695</v>
      </c>
      <c r="B1423" s="3000" t="s">
        <v>4573</v>
      </c>
      <c r="C1423" s="3000">
        <v>43.77</v>
      </c>
    </row>
    <row r="1424" spans="1:3">
      <c r="A1424" s="3000" t="s">
        <v>4695</v>
      </c>
      <c r="B1424" s="3000" t="s">
        <v>4574</v>
      </c>
      <c r="C1424" s="3000">
        <v>87.54</v>
      </c>
    </row>
    <row r="1425" spans="1:3">
      <c r="A1425" s="3000" t="s">
        <v>4695</v>
      </c>
      <c r="B1425" s="3000" t="s">
        <v>4575</v>
      </c>
      <c r="C1425" s="3000">
        <v>43.77</v>
      </c>
    </row>
    <row r="1426" spans="1:3">
      <c r="A1426" s="3338" t="s">
        <v>4700</v>
      </c>
      <c r="B1426" s="3338"/>
      <c r="C1426" s="3000">
        <f>SUM(C183:C1425)</f>
        <v>50189.399999998794</v>
      </c>
    </row>
    <row r="1427" spans="1:3">
      <c r="A1427" s="3338" t="s">
        <v>4701</v>
      </c>
      <c r="B1427" s="3338"/>
      <c r="C1427" s="3000">
        <f>C1426+C99+C182</f>
        <v>61370.23999999879</v>
      </c>
    </row>
  </sheetData>
  <mergeCells count="5">
    <mergeCell ref="A1427:B1427"/>
    <mergeCell ref="A1:B1"/>
    <mergeCell ref="A99:B99"/>
    <mergeCell ref="A182:B182"/>
    <mergeCell ref="A1426:B1426"/>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1" t="s">
        <v>1658</v>
      </c>
      <c r="B1" s="3031"/>
      <c r="C1" s="3031"/>
      <c r="D1" s="3031"/>
    </row>
    <row r="2" spans="1:4" ht="18">
      <c r="A2" s="3032" t="s">
        <v>1642</v>
      </c>
      <c r="B2" s="3032"/>
      <c r="C2" s="3032"/>
      <c r="D2" s="3032"/>
    </row>
    <row r="3" spans="1:4" ht="18.75">
      <c r="A3" s="1974" t="s">
        <v>1643</v>
      </c>
      <c r="B3" s="1974" t="s">
        <v>1644</v>
      </c>
      <c r="C3" s="1974" t="s">
        <v>1645</v>
      </c>
      <c r="D3" s="1974" t="s">
        <v>1646</v>
      </c>
    </row>
    <row r="4" spans="1:4" ht="56.25" customHeight="1">
      <c r="A4" s="1975" t="str">
        <f>项目基本情况!B4</f>
        <v>郑燚</v>
      </c>
      <c r="B4" s="1976">
        <f ca="1">项目基本情况!C4</f>
        <v>1120070131</v>
      </c>
      <c r="C4" s="1977"/>
      <c r="D4" s="1978" t="s">
        <v>1647</v>
      </c>
    </row>
    <row r="5" spans="1:4" ht="56.25" customHeight="1">
      <c r="A5" s="1975" t="str">
        <f>项目基本情况!D4</f>
        <v>崔锴</v>
      </c>
      <c r="B5" s="1976">
        <f ca="1">项目基本情况!E4</f>
        <v>1120100036</v>
      </c>
      <c r="C5" s="1979"/>
      <c r="D5" s="1978" t="s">
        <v>1647</v>
      </c>
    </row>
    <row r="6" spans="1:4" ht="18">
      <c r="A6" s="3032" t="s">
        <v>1648</v>
      </c>
      <c r="B6" s="3032"/>
      <c r="C6" s="3032"/>
      <c r="D6" s="3032"/>
    </row>
    <row r="7" spans="1:4" ht="18.75">
      <c r="A7" s="1974" t="s">
        <v>1643</v>
      </c>
      <c r="B7" s="1976" t="s">
        <v>1649</v>
      </c>
      <c r="C7" s="1974" t="s">
        <v>1645</v>
      </c>
      <c r="D7" s="1974" t="s">
        <v>1646</v>
      </c>
    </row>
    <row r="8" spans="1:4" ht="56.25" customHeight="1">
      <c r="A8" s="1980" t="s">
        <v>866</v>
      </c>
      <c r="B8" s="1980" t="s">
        <v>1</v>
      </c>
      <c r="C8" s="1977"/>
      <c r="D8" s="1978" t="s">
        <v>1647</v>
      </c>
    </row>
    <row r="9" spans="1:4">
      <c r="A9" s="728"/>
      <c r="B9" s="728"/>
      <c r="C9" s="728"/>
      <c r="D9" s="728"/>
    </row>
    <row r="10" spans="1:4" ht="18.75">
      <c r="A10" s="1981" t="s">
        <v>1650</v>
      </c>
      <c r="B10" s="728"/>
      <c r="C10" s="728"/>
      <c r="D10" s="728"/>
    </row>
    <row r="11" spans="1:4" ht="30" customHeight="1">
      <c r="A11" s="3033" t="s">
        <v>1651</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5" t="str">
        <f>IF(项目基本情况!B8="抵押","4.本次评估估价师所知悉的法定优先受偿款情况说明如下：","——")</f>
        <v>4.本次评估估价师所知悉的法定优先受偿款情况说明如下：</v>
      </c>
      <c r="B14" s="3030"/>
      <c r="C14" s="3030"/>
      <c r="D14" s="3030"/>
    </row>
    <row r="15" spans="1:4" ht="42" customHeight="1">
      <c r="A15" s="3025"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7" t="s">
        <v>1652</v>
      </c>
      <c r="B16" s="3027"/>
      <c r="C16" s="3027"/>
      <c r="D16" s="3027"/>
    </row>
    <row r="17" spans="1:4" ht="144" customHeight="1">
      <c r="A17" s="3027" t="s">
        <v>1653</v>
      </c>
      <c r="B17" s="3027"/>
      <c r="C17" s="3027"/>
      <c r="D17" s="3027"/>
    </row>
    <row r="18" spans="1:4" ht="15.75" customHeight="1">
      <c r="A18" s="3025" t="str">
        <f>IF(项目基本情况!B8="抵押",'结果表-车库'!K120,"——")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车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5"/>
      <c r="C20" s="3025"/>
      <c r="D20" s="3025"/>
    </row>
    <row r="21" spans="1:4" ht="57.75" customHeight="1">
      <c r="A21" s="3028" t="str">
        <f>IF('结果表-车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8"/>
      <c r="C21" s="3028"/>
      <c r="D21" s="3028"/>
    </row>
    <row r="22" spans="1:4" ht="18.75" customHeight="1">
      <c r="A22" s="3029" t="s">
        <v>1654</v>
      </c>
      <c r="B22" s="3029"/>
      <c r="C22" s="3029"/>
      <c r="D22" s="3029"/>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39" t="s">
        <v>1665</v>
      </c>
      <c r="B15" s="3034" t="s">
        <v>136</v>
      </c>
      <c r="C15" s="3035"/>
    </row>
    <row r="16" spans="1:7" ht="13.5">
      <c r="A16" s="3040"/>
      <c r="B16" s="3034" t="s">
        <v>69</v>
      </c>
      <c r="C16" s="3035"/>
    </row>
    <row r="17" spans="1:3" ht="13.5">
      <c r="A17" s="3040"/>
      <c r="B17" s="3037" t="s">
        <v>1666</v>
      </c>
      <c r="C17" s="1997" t="s">
        <v>1665</v>
      </c>
    </row>
    <row r="18" spans="1:3" ht="13.5">
      <c r="A18" s="3040"/>
      <c r="B18" s="3037"/>
      <c r="C18" s="1997" t="s">
        <v>1667</v>
      </c>
    </row>
    <row r="19" spans="1:3" ht="13.5">
      <c r="A19" s="3040"/>
      <c r="B19" s="3037"/>
      <c r="C19" s="1997" t="s">
        <v>1668</v>
      </c>
    </row>
    <row r="20" spans="1:3" ht="13.5">
      <c r="A20" s="3041"/>
      <c r="B20" s="3036" t="s">
        <v>1669</v>
      </c>
      <c r="C20" s="3035"/>
    </row>
    <row r="21" spans="1:3" ht="13.5">
      <c r="A21" s="1998" t="s">
        <v>1670</v>
      </c>
      <c r="B21" s="1999"/>
      <c r="C21" s="2000"/>
    </row>
    <row r="22" spans="1:3" ht="13.5">
      <c r="A22" s="3038" t="s">
        <v>1671</v>
      </c>
      <c r="B22" s="3036" t="s">
        <v>1672</v>
      </c>
      <c r="C22" s="3035"/>
    </row>
    <row r="23" spans="1:3" ht="13.5">
      <c r="A23" s="3038"/>
      <c r="B23" s="3036" t="s">
        <v>1673</v>
      </c>
      <c r="C23" s="3035"/>
    </row>
    <row r="24" spans="1:3" ht="13.5">
      <c r="A24" s="3038"/>
      <c r="B24" s="3036" t="s">
        <v>1674</v>
      </c>
      <c r="C24" s="3035"/>
    </row>
    <row r="25" spans="1:3" ht="13.5">
      <c r="A25" s="3038"/>
      <c r="B25" s="3037" t="s">
        <v>1675</v>
      </c>
      <c r="C25" s="1997" t="s">
        <v>1676</v>
      </c>
    </row>
    <row r="26" spans="1:3" ht="13.5">
      <c r="A26" s="3038"/>
      <c r="B26" s="3037"/>
      <c r="C26" s="1997" t="s">
        <v>1677</v>
      </c>
    </row>
    <row r="27" spans="1:3" ht="13.5">
      <c r="A27" s="3038"/>
      <c r="B27" s="3037"/>
      <c r="C27" s="1997" t="s">
        <v>1678</v>
      </c>
    </row>
    <row r="28" spans="1:3" ht="13.5">
      <c r="A28" s="3038"/>
      <c r="B28" s="3037"/>
      <c r="C28" s="1997" t="s">
        <v>1679</v>
      </c>
    </row>
    <row r="29" spans="1:3" ht="13.5">
      <c r="A29" s="3038"/>
      <c r="B29" s="3037"/>
      <c r="C29" s="1997" t="s">
        <v>1680</v>
      </c>
    </row>
    <row r="30" spans="1:3" ht="13.5">
      <c r="A30" s="3038"/>
      <c r="B30" s="3037"/>
      <c r="C30" s="1997" t="s">
        <v>1681</v>
      </c>
    </row>
    <row r="31" spans="1:3" ht="13.5">
      <c r="A31" s="3038"/>
      <c r="B31" s="3037"/>
      <c r="C31" s="1997" t="s">
        <v>1682</v>
      </c>
    </row>
    <row r="32" spans="1:3" ht="13.5">
      <c r="A32" s="3038"/>
      <c r="B32" s="3037"/>
      <c r="C32" s="1997" t="s">
        <v>1683</v>
      </c>
    </row>
    <row r="33" spans="1:3" ht="13.5">
      <c r="A33" s="3038"/>
      <c r="B33" s="3037"/>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43497</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44395</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t="str">
        <f ca="1">IF(C10&lt;B2,"已过期",1120060040)</f>
        <v>已过期</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c r="B12" s="1020"/>
      <c r="C12" s="2934"/>
      <c r="D12" s="1700"/>
      <c r="E12" s="1020"/>
      <c r="F12" s="1028"/>
    </row>
    <row r="13" spans="1:6" ht="24" customHeight="1">
      <c r="A13" s="1700" t="s">
        <v>840</v>
      </c>
      <c r="B13" s="1020">
        <f ca="1">IF(C13&lt;B2,"已过期",1120070131)</f>
        <v>1120070131</v>
      </c>
      <c r="C13" s="2344">
        <v>43814</v>
      </c>
      <c r="D13" s="2347" t="s">
        <v>840</v>
      </c>
      <c r="E13" s="1020">
        <f ca="1">IF(F13&lt;B2,"已过期",2014110011)</f>
        <v>2014110011</v>
      </c>
      <c r="F13" s="1028">
        <v>49302</v>
      </c>
    </row>
    <row r="14" spans="1:6" ht="24" customHeight="1">
      <c r="A14" s="1700" t="s">
        <v>3036</v>
      </c>
      <c r="B14" s="1020">
        <f ca="1">IF(C14&lt;B2,"已过期",1120040230)</f>
        <v>1120040230</v>
      </c>
      <c r="C14" s="2344">
        <v>43835</v>
      </c>
      <c r="D14" s="2347" t="s">
        <v>3036</v>
      </c>
      <c r="E14" s="1020">
        <f ca="1">IF(F14&lt;B2,"已过期",98030020)</f>
        <v>98030020</v>
      </c>
      <c r="F14" s="1028">
        <v>47118</v>
      </c>
    </row>
    <row r="15" spans="1:6" ht="24" customHeight="1">
      <c r="A15" s="1701" t="s">
        <v>3037</v>
      </c>
      <c r="B15" s="1020">
        <f ca="1">IF(C15&lt;B2,"已过期",1120070085)</f>
        <v>1120070085</v>
      </c>
      <c r="C15" s="2344">
        <v>43814</v>
      </c>
      <c r="D15" s="2348" t="s">
        <v>3037</v>
      </c>
      <c r="E15" s="1020">
        <f ca="1">IF(F15&lt;B2,"已过期",2004110128)</f>
        <v>2004110128</v>
      </c>
      <c r="F15" s="1021">
        <v>47118</v>
      </c>
    </row>
    <row r="16" spans="1:6" ht="24" customHeight="1">
      <c r="A16" s="1700" t="s">
        <v>3038</v>
      </c>
      <c r="B16" s="1020">
        <f ca="1">IF(C16&lt;B2,"已过期",1120140022)</f>
        <v>1120140022</v>
      </c>
      <c r="C16" s="2934">
        <v>44029</v>
      </c>
      <c r="D16" s="2347" t="s">
        <v>3038</v>
      </c>
      <c r="E16" s="1020">
        <f ca="1">IF(F16&lt;B2,"已过期",2008110059)</f>
        <v>2008110059</v>
      </c>
      <c r="F16" s="1028">
        <v>47177</v>
      </c>
    </row>
    <row r="17" spans="1:7" ht="24" customHeight="1">
      <c r="A17" s="1700"/>
      <c r="B17" s="1020"/>
      <c r="C17" s="2344"/>
      <c r="D17" s="2347" t="s">
        <v>3039</v>
      </c>
      <c r="E17" s="1020">
        <f ca="1">IF(F17&lt;B2,"已过期",2014110076)</f>
        <v>2014110076</v>
      </c>
      <c r="F17" s="1028">
        <v>49302</v>
      </c>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841</v>
      </c>
      <c r="E21" s="1020">
        <f ca="1">IF(F21&lt;B2,"已过期",2011110090)</f>
        <v>2011110090</v>
      </c>
      <c r="F21" s="1028">
        <v>48302</v>
      </c>
    </row>
    <row r="22" spans="1:7" ht="24" customHeight="1">
      <c r="A22" s="1700" t="s">
        <v>842</v>
      </c>
      <c r="B22" s="1020">
        <f ca="1">IF(C22&lt;B2,"已过期",1120020033)</f>
        <v>1120020033</v>
      </c>
      <c r="C22" s="2934">
        <v>44339</v>
      </c>
      <c r="D22" s="2347" t="s">
        <v>842</v>
      </c>
      <c r="E22" s="1020">
        <f ca="1">IF(F22&lt;B2,"已过期",2000110137)</f>
        <v>2000110137</v>
      </c>
      <c r="F22" s="1028">
        <v>46387</v>
      </c>
    </row>
    <row r="23" spans="1:7" ht="24" customHeight="1">
      <c r="A23" s="1700"/>
      <c r="B23" s="1020"/>
      <c r="C23" s="2344"/>
      <c r="D23" s="2347"/>
      <c r="E23" s="1020"/>
      <c r="F23" s="1020"/>
    </row>
    <row r="24" spans="1:7" s="1022" customFormat="1" ht="24" customHeight="1">
      <c r="A24" s="1701" t="s">
        <v>1329</v>
      </c>
      <c r="B24" s="1701" t="s">
        <v>1329</v>
      </c>
      <c r="C24" s="2345" t="s">
        <v>1329</v>
      </c>
      <c r="D24" s="2348" t="s">
        <v>1329</v>
      </c>
      <c r="E24" s="1701" t="s">
        <v>1329</v>
      </c>
      <c r="F24" s="1701" t="s">
        <v>1329</v>
      </c>
    </row>
    <row r="25" spans="1:7" ht="24" customHeight="1">
      <c r="A25" s="3042" t="s">
        <v>843</v>
      </c>
      <c r="B25" s="3042"/>
      <c r="C25" s="3042"/>
      <c r="D25" s="3042"/>
      <c r="E25" s="3042"/>
      <c r="F25" s="3042"/>
      <c r="G25" s="3042"/>
    </row>
    <row r="26" spans="1:7" s="1023" customFormat="1" ht="24" customHeight="1">
      <c r="A26" s="3043" t="s">
        <v>844</v>
      </c>
      <c r="B26" s="3043"/>
      <c r="C26" s="3044"/>
      <c r="D26" s="3045" t="s">
        <v>845</v>
      </c>
      <c r="E26" s="3043"/>
      <c r="F26" s="3043"/>
    </row>
    <row r="27" spans="1:7" s="1025" customFormat="1" ht="24" customHeight="1">
      <c r="A27" s="1024" t="s">
        <v>846</v>
      </c>
      <c r="B27" s="1019" t="s">
        <v>847</v>
      </c>
      <c r="C27" s="2343" t="s">
        <v>848</v>
      </c>
      <c r="D27" s="2351" t="s">
        <v>846</v>
      </c>
      <c r="E27" s="1019" t="s">
        <v>847</v>
      </c>
      <c r="F27" s="1019" t="s">
        <v>848</v>
      </c>
    </row>
    <row r="28" spans="1:7" s="1025" customFormat="1" ht="24" customHeight="1">
      <c r="A28" s="1026" t="s">
        <v>849</v>
      </c>
      <c r="B28" s="1027" t="s">
        <v>850</v>
      </c>
      <c r="C28" s="2349">
        <v>43725</v>
      </c>
      <c r="D28" s="2352" t="s">
        <v>851</v>
      </c>
      <c r="E28" s="1026" t="s">
        <v>852</v>
      </c>
      <c r="F28" s="1056">
        <v>44377</v>
      </c>
    </row>
    <row r="29" spans="1:7" s="1025" customFormat="1" ht="24" customHeight="1">
      <c r="A29" s="1026"/>
      <c r="B29" s="1026"/>
      <c r="C29" s="2350"/>
      <c r="D29" s="2352"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7"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143</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收益法 (元)</vt:lpstr>
      <vt:lpstr>收益法（汇总）</vt:lpstr>
      <vt:lpstr>酒店收入计算</vt:lpstr>
      <vt:lpstr>比较法-住宅</vt:lpstr>
      <vt:lpstr>结果表-商业</vt:lpstr>
      <vt:lpstr>比较法-商业</vt:lpstr>
      <vt:lpstr>收益法-商业</vt:lpstr>
      <vt:lpstr>典型户型修正-商业</vt:lpstr>
      <vt:lpstr>结果表-办公</vt:lpstr>
      <vt:lpstr>比较法-办公</vt:lpstr>
      <vt:lpstr>比较法-工业</vt:lpstr>
      <vt:lpstr>收益法-办公</vt:lpstr>
      <vt:lpstr>典型户型修正-办公</vt:lpstr>
      <vt:lpstr>结果表-车库</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成本法（废）</vt:lpstr>
      <vt:lpstr>区片价</vt:lpstr>
      <vt:lpstr>因素修正幅度</vt:lpstr>
      <vt:lpstr>存贷款利率</vt:lpstr>
      <vt:lpstr>区片价（范围）</vt:lpstr>
      <vt:lpstr>案例</vt:lpstr>
      <vt:lpstr>抵押物清单</vt:lpstr>
      <vt:lpstr>Sheet1</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2019-02-01T02:43:25Z</dcterms:modified>
</cp:coreProperties>
</file>