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农行租金-20260310农行田村\"/>
    </mc:Choice>
  </mc:AlternateContent>
  <xr:revisionPtr revIDLastSave="0" documentId="13_ncr:1_{EACC2BAE-761F-41B6-9107-C75CB10A1228}" xr6:coauthVersionLast="47" xr6:coauthVersionMax="47" xr10:uidLastSave="{00000000-0000-0000-0000-000000000000}"/>
  <bookViews>
    <workbookView minimized="1" xWindow="5175" yWindow="9270" windowWidth="15330" windowHeight="1023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D104" i="33"/>
  <c r="M35" i="33"/>
  <c r="M34" i="33"/>
  <c r="M36" i="33"/>
  <c r="I5" i="33"/>
  <c r="E5" i="33"/>
  <c r="I47" i="33"/>
  <c r="E47" i="33"/>
  <c r="E33" i="33" l="1"/>
  <c r="I33" i="33"/>
  <c r="V47" i="33"/>
  <c r="B14" i="74"/>
  <c r="D15" i="4"/>
  <c r="J33"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6" i="78"/>
  <c r="D5"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c r="G87" i="33"/>
  <c r="H87" i="33"/>
  <c r="I87" i="33"/>
  <c r="J87" i="33"/>
  <c r="K87" i="33"/>
  <c r="L87" i="33"/>
  <c r="M87" i="33"/>
  <c r="D85" i="33"/>
  <c r="E85" i="33"/>
  <c r="F85" i="33"/>
  <c r="G85" i="33"/>
  <c r="D81" i="33"/>
  <c r="E81" i="33"/>
  <c r="D79" i="33"/>
  <c r="E79" i="33"/>
  <c r="F79" i="33" s="1"/>
  <c r="G79" i="33" s="1"/>
  <c r="H17" i="33"/>
  <c r="U17" i="33" s="1"/>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J19" i="33"/>
  <c r="AC19" i="33"/>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9"/>
  <c r="C67" i="39" s="1"/>
  <c r="C7" i="35"/>
  <c r="C48" i="35"/>
  <c r="D48" i="35" s="1"/>
  <c r="E48" i="35" s="1"/>
  <c r="F48" i="35" s="1"/>
  <c r="C7" i="33"/>
  <c r="C7" i="40"/>
  <c r="C63" i="40"/>
  <c r="C65" i="40" s="1"/>
  <c r="M47" i="9"/>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9" i="33"/>
  <c r="U39" i="33" s="1"/>
  <c r="J39" i="33"/>
  <c r="AC39" i="33" s="1"/>
  <c r="W43" i="33"/>
  <c r="S43" i="33"/>
  <c r="F25" i="33"/>
  <c r="S25" i="33"/>
  <c r="J25" i="33"/>
  <c r="W25" i="33"/>
  <c r="H25" i="33"/>
  <c r="U25" i="33"/>
  <c r="J17" i="33"/>
  <c r="AC17" i="33" s="1"/>
  <c r="S28" i="33"/>
  <c r="AA25" i="33"/>
  <c r="U11"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C30" i="69"/>
  <c r="F53" i="9"/>
  <c r="C5" i="11"/>
  <c r="C4" i="12"/>
  <c r="C31" i="12"/>
  <c r="E14" i="6"/>
  <c r="E63" i="39" s="1"/>
  <c r="G3" i="43"/>
  <c r="E29" i="6"/>
  <c r="K15" i="1"/>
  <c r="L19" i="6"/>
  <c r="L27" i="6" s="1"/>
  <c r="M6" i="1"/>
  <c r="O6" i="1" s="1"/>
  <c r="P6" i="1" s="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63" i="40"/>
  <c r="E63" i="40" s="1"/>
  <c r="D58" i="33"/>
  <c r="E58" i="33" s="1"/>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5" i="43"/>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8" i="70"/>
  <c r="B1" i="74"/>
  <c r="C42" i="43"/>
  <c r="E42" i="43"/>
  <c r="G48" i="35"/>
  <c r="H48" i="35" s="1"/>
  <c r="I48" i="35" s="1"/>
  <c r="J48" i="35" s="1"/>
  <c r="C17" i="71"/>
  <c r="D18" i="71"/>
  <c r="E6" i="70"/>
  <c r="S11" i="1"/>
  <c r="AR11" i="1" s="1"/>
  <c r="E11" i="70"/>
  <c r="S9" i="1"/>
  <c r="AR9" i="1" s="1"/>
  <c r="E7" i="70"/>
  <c r="S10" i="1"/>
  <c r="T10" i="1" s="1"/>
  <c r="E10" i="70"/>
  <c r="S12" i="1"/>
  <c r="AQ12" i="1" s="1"/>
  <c r="B2" i="74"/>
  <c r="G42" i="43"/>
  <c r="I42" i="43"/>
  <c r="E41" i="43"/>
  <c r="G41" i="43"/>
  <c r="I41" i="43" s="1"/>
  <c r="R9" i="1"/>
  <c r="R11" i="1"/>
  <c r="C16" i="71"/>
  <c r="D17" i="71"/>
  <c r="R10" i="1"/>
  <c r="E12" i="70"/>
  <c r="F34" i="11"/>
  <c r="C36" i="11" s="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M24" i="43"/>
  <c r="E14" i="74"/>
  <c r="F14" i="74"/>
  <c r="B5" i="74"/>
  <c r="D5" i="74"/>
  <c r="B6" i="74"/>
  <c r="D6" i="74"/>
  <c r="M8" i="67"/>
  <c r="B10" i="76"/>
  <c r="F6" i="15"/>
  <c r="D2" i="35"/>
  <c r="F5" i="73"/>
  <c r="AO11" i="1"/>
  <c r="AO7" i="1"/>
  <c r="M22" i="15"/>
  <c r="F36" i="67"/>
  <c r="B8" i="76"/>
  <c r="E9" i="76"/>
  <c r="M29" i="67"/>
  <c r="F9" i="67"/>
  <c r="F16" i="67"/>
  <c r="B7" i="76"/>
  <c r="E8" i="76"/>
  <c r="E10" i="76"/>
  <c r="C76" i="67"/>
  <c r="D4" i="73"/>
  <c r="D5" i="73"/>
  <c r="F7" i="15"/>
  <c r="F40" i="67"/>
  <c r="F4" i="73"/>
  <c r="L47" i="15"/>
  <c r="D35" i="9"/>
  <c r="E11" i="76"/>
  <c r="AO9" i="1"/>
  <c r="E12" i="76"/>
  <c r="J15" i="15"/>
  <c r="AO12" i="1"/>
  <c r="F41" i="15"/>
  <c r="C19" i="9"/>
  <c r="F41" i="67"/>
  <c r="L48" i="15"/>
  <c r="M22" i="67"/>
  <c r="F43" i="15"/>
  <c r="M28" i="15"/>
  <c r="M26" i="15"/>
  <c r="C76" i="15"/>
  <c r="D20" i="9"/>
  <c r="B11" i="76"/>
  <c r="E13" i="76"/>
  <c r="J15" i="67"/>
  <c r="F42" i="15"/>
  <c r="M6" i="15"/>
  <c r="F8" i="15"/>
  <c r="M26" i="67"/>
  <c r="F38" i="67"/>
  <c r="F36" i="15"/>
  <c r="F37" i="67"/>
  <c r="F42" i="67"/>
  <c r="D2" i="36"/>
  <c r="AO13" i="1"/>
  <c r="D3" i="73"/>
  <c r="D7" i="73"/>
  <c r="M23" i="67"/>
  <c r="C20" i="9"/>
  <c r="M6" i="67"/>
  <c r="D19" i="9"/>
  <c r="M27" i="15"/>
  <c r="F3" i="73"/>
  <c r="AO10" i="1"/>
  <c r="F8" i="67"/>
  <c r="M23" i="15"/>
  <c r="F26" i="15"/>
  <c r="E7" i="76"/>
  <c r="F38" i="15"/>
  <c r="F26" i="67"/>
  <c r="M27" i="67"/>
  <c r="F9" i="15"/>
  <c r="F43" i="67"/>
  <c r="E2" i="69"/>
  <c r="B9" i="76"/>
  <c r="M24" i="67"/>
  <c r="F13" i="15"/>
  <c r="F40" i="15"/>
  <c r="F13" i="67"/>
  <c r="L48" i="67"/>
  <c r="M9" i="67"/>
  <c r="AO8" i="1"/>
  <c r="M24" i="15"/>
  <c r="D34" i="9"/>
  <c r="F6" i="67"/>
  <c r="AO6" i="1"/>
  <c r="B13" i="76"/>
  <c r="F37" i="15"/>
  <c r="E2" i="68"/>
  <c r="L47" i="67"/>
  <c r="M8" i="15"/>
  <c r="M29" i="15"/>
  <c r="F16" i="15"/>
  <c r="F6" i="73"/>
  <c r="F7" i="73"/>
  <c r="D2" i="37"/>
  <c r="D2" i="33"/>
  <c r="D6" i="73"/>
  <c r="F7" i="67"/>
  <c r="M28" i="67"/>
  <c r="M9" i="15"/>
  <c r="B12" i="76"/>
  <c r="F17" i="33" l="1"/>
  <c r="AA17" i="33" s="1"/>
  <c r="J32" i="33"/>
  <c r="AC32" i="33" s="1"/>
  <c r="H32" i="33"/>
  <c r="AB32" i="33" s="1"/>
  <c r="F32" i="33"/>
  <c r="AA32" i="33" s="1"/>
  <c r="S32" i="33"/>
  <c r="AB17" i="33"/>
  <c r="H15" i="33"/>
  <c r="AB15" i="33" s="1"/>
  <c r="F15" i="33"/>
  <c r="AA15" i="33" s="1"/>
  <c r="J15" i="33"/>
  <c r="W15" i="33" s="1"/>
  <c r="F77" i="33"/>
  <c r="G77" i="33" s="1"/>
  <c r="W17" i="33"/>
  <c r="U8" i="33"/>
  <c r="AB39" i="33"/>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F63" i="40"/>
  <c r="E65" i="40"/>
  <c r="J7" i="36"/>
  <c r="D46" i="36"/>
  <c r="E46" i="36" s="1"/>
  <c r="F46" i="36" s="1"/>
  <c r="G46" i="36" s="1"/>
  <c r="H46" i="36" s="1"/>
  <c r="I46" i="36" s="1"/>
  <c r="J46" i="36" s="1"/>
  <c r="K46" i="36" s="1"/>
  <c r="L46" i="36" s="1"/>
  <c r="M46" i="36" s="1"/>
  <c r="N46" i="36" s="1"/>
  <c r="O46" i="36" s="1"/>
  <c r="F7" i="36"/>
  <c r="F58" i="33"/>
  <c r="G58" i="33" s="1"/>
  <c r="H58" i="33" s="1"/>
  <c r="I58" i="33" s="1"/>
  <c r="J58" i="33" s="1"/>
  <c r="K58" i="33" s="1"/>
  <c r="L58" i="33" s="1"/>
  <c r="M58" i="33" s="1"/>
  <c r="N58" i="33" s="1"/>
  <c r="O58" i="33" s="1"/>
  <c r="J7" i="33"/>
  <c r="F7" i="35"/>
  <c r="C69" i="39"/>
  <c r="D67" i="39"/>
  <c r="D65" i="40"/>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67"/>
  <c r="C16" i="15"/>
  <c r="G1" i="73"/>
  <c r="S15" i="33" l="1"/>
  <c r="U15" i="33"/>
  <c r="S17" i="33"/>
  <c r="U32" i="33"/>
  <c r="W32" i="33"/>
  <c r="AB42" i="33"/>
  <c r="D118" i="43"/>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G63" i="40"/>
  <c r="F65" i="40"/>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E33" i="43"/>
  <c r="C34" i="43"/>
  <c r="E34"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15"/>
  <c r="C17" i="67"/>
  <c r="C14" i="67"/>
  <c r="T7" i="1" l="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I48" i="33" l="1"/>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15"/>
  <c r="F35" i="67"/>
  <c r="F35" i="15"/>
  <c r="B6" i="76"/>
  <c r="M21" i="67"/>
  <c r="R49" i="33" l="1"/>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I65" i="40"/>
  <c r="J63" i="40"/>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C49" i="33" l="1"/>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J65" i="40"/>
  <c r="K63" i="40"/>
  <c r="H69" i="39"/>
  <c r="I67" i="39"/>
  <c r="Q70" i="67"/>
  <c r="C37" i="67"/>
  <c r="C48" i="33"/>
  <c r="E52" i="33"/>
  <c r="F52" i="33" s="1"/>
  <c r="E53" i="33"/>
  <c r="F53" i="33" s="1"/>
  <c r="I53" i="33"/>
  <c r="J53" i="33" s="1"/>
  <c r="C52" i="69"/>
  <c r="B2" i="69" s="1"/>
  <c r="B3" i="69" s="1"/>
  <c r="C56" i="67"/>
  <c r="C65" i="67" s="1"/>
  <c r="M45" i="33" l="1"/>
  <c r="M49" i="33"/>
  <c r="E10" i="74"/>
  <c r="B10" i="74" s="1"/>
  <c r="N44" i="33"/>
  <c r="C58" i="67"/>
  <c r="C67" i="67" s="1"/>
  <c r="C68" i="67" s="1"/>
  <c r="C71" i="67" s="1"/>
  <c r="C30" i="67"/>
  <c r="C39" i="67" s="1"/>
  <c r="C80" i="67" s="1"/>
  <c r="C79" i="67" s="1"/>
  <c r="J22" i="67"/>
  <c r="J16" i="67" s="1"/>
  <c r="J25" i="67" s="1"/>
  <c r="L46" i="67"/>
  <c r="C23" i="15"/>
  <c r="C29" i="15" s="1"/>
  <c r="C49" i="68"/>
  <c r="C51" i="68" s="1"/>
  <c r="C52" i="68" s="1"/>
  <c r="B2" i="68" s="1"/>
  <c r="B3" i="68" s="1"/>
  <c r="K65" i="40"/>
  <c r="L63" i="40"/>
  <c r="J67" i="39"/>
  <c r="I69" i="39"/>
  <c r="C56" i="11"/>
  <c r="C57" i="11" s="1"/>
  <c r="C57" i="69"/>
  <c r="C56" i="69" s="1"/>
  <c r="L51" i="67"/>
  <c r="B11" i="74" l="1"/>
  <c r="Q69" i="67"/>
  <c r="Q68" i="67" s="1"/>
  <c r="C40" i="67"/>
  <c r="D2" i="67" s="1"/>
  <c r="B2" i="67" s="1"/>
  <c r="C57" i="68"/>
  <c r="C56" i="68" s="1"/>
  <c r="C13" i="15"/>
  <c r="C57" i="15"/>
  <c r="C64" i="15" s="1"/>
  <c r="Q49" i="15"/>
  <c r="J59" i="15"/>
  <c r="J60" i="15" s="1"/>
  <c r="J14" i="15"/>
  <c r="C36" i="15"/>
  <c r="J69" i="39"/>
  <c r="K67" i="39"/>
  <c r="M63" i="40"/>
  <c r="L65" i="40"/>
  <c r="L57" i="67"/>
  <c r="L60" i="67" s="1"/>
  <c r="Q57" i="67" s="1"/>
  <c r="Q67" i="67"/>
  <c r="Q56" i="67" l="1"/>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M65" i="40"/>
  <c r="N63" i="40"/>
  <c r="K69" i="39"/>
  <c r="L67" i="39"/>
  <c r="Q66" i="67"/>
  <c r="L51" i="15"/>
  <c r="Q75" i="67" l="1"/>
  <c r="Q67" i="15"/>
  <c r="L57" i="15"/>
  <c r="L60" i="15" s="1"/>
  <c r="C71" i="15"/>
  <c r="C40" i="15"/>
  <c r="C46" i="15" s="1"/>
  <c r="Q69" i="15"/>
  <c r="Q68" i="15" s="1"/>
  <c r="C80" i="15"/>
  <c r="C79" i="15" s="1"/>
  <c r="J16" i="15"/>
  <c r="J25" i="15" s="1"/>
  <c r="N65" i="40"/>
  <c r="O63" i="40"/>
  <c r="O65" i="40" s="1"/>
  <c r="L69" i="39"/>
  <c r="M67" i="39"/>
  <c r="Q47" i="15" l="1"/>
  <c r="Q53" i="15" s="1"/>
  <c r="Q65" i="15"/>
  <c r="C43" i="15"/>
  <c r="C83" i="15"/>
  <c r="C82" i="15" s="1"/>
  <c r="B2" i="15"/>
  <c r="B3" i="15" s="1"/>
  <c r="Q56" i="15"/>
  <c r="Q57" i="15"/>
  <c r="Q66" i="15"/>
  <c r="M69" i="39"/>
  <c r="N67" i="39"/>
  <c r="J7" i="40"/>
  <c r="F7" i="40"/>
  <c r="H7" i="40"/>
  <c r="Q62" i="15" l="1"/>
  <c r="Q75" i="15"/>
  <c r="AC7" i="40"/>
  <c r="V42" i="40" s="1"/>
  <c r="I42" i="40" s="1"/>
  <c r="W7" i="40"/>
  <c r="O67" i="39"/>
  <c r="O69" i="39" s="1"/>
  <c r="N69" i="39"/>
  <c r="AA7" i="40"/>
  <c r="R42" i="40" s="1"/>
  <c r="S7" i="40"/>
  <c r="U7" i="40"/>
  <c r="AB7" i="40"/>
  <c r="T42" i="40" s="1"/>
  <c r="G42" i="40" s="1"/>
  <c r="R43" i="40" l="1"/>
  <c r="E42" i="40"/>
  <c r="I47" i="40" s="1"/>
  <c r="J47" i="40" s="1"/>
  <c r="I46" i="40"/>
  <c r="J46" i="40" s="1"/>
  <c r="G46" i="40"/>
  <c r="H46" i="40" s="1"/>
  <c r="G47" i="40"/>
  <c r="H47" i="40" s="1"/>
  <c r="F7" i="39"/>
  <c r="H7" i="39"/>
  <c r="J7" i="39"/>
  <c r="U7" i="39" l="1"/>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B32" i="72"/>
  <c r="D14" i="53"/>
  <c r="E81" i="9"/>
  <c r="E80" i="9"/>
  <c r="C80" i="9"/>
  <c r="D54" i="9"/>
  <c r="C68" i="9"/>
  <c r="B51" i="72"/>
  <c r="F4" i="52"/>
  <c r="B20" i="72"/>
  <c r="H5" i="52"/>
  <c r="H119" i="9"/>
  <c r="B52" i="72"/>
  <c r="G4" i="52"/>
  <c r="C73" i="9"/>
  <c r="C78" i="9"/>
  <c r="N60" i="9"/>
  <c r="N59" i="9"/>
  <c r="N61" i="9"/>
  <c r="C5" i="74"/>
  <c r="D5" i="53"/>
  <c r="D6" i="53"/>
  <c r="B22" i="72"/>
  <c r="D9" i="52"/>
  <c r="D123" i="9"/>
  <c r="C72" i="9"/>
  <c r="C79" i="9"/>
  <c r="C81" i="9"/>
  <c r="C96" i="9"/>
  <c r="E96" i="9"/>
  <c r="E97" i="9"/>
  <c r="H102" i="9"/>
  <c r="D7" i="53"/>
  <c r="B21" i="72"/>
  <c r="D122" i="9"/>
  <c r="D8" i="52"/>
  <c r="H4" i="52"/>
  <c r="C104" i="9"/>
  <c r="C64" i="9"/>
  <c r="C63" i="9"/>
  <c r="C67" i="9"/>
  <c r="D59" i="9"/>
  <c r="M55" i="9"/>
  <c r="P57" i="9"/>
  <c r="D55" i="9"/>
  <c r="M53" i="9"/>
  <c r="N57" i="9"/>
  <c r="N58" i="9"/>
  <c r="C105" i="9"/>
  <c r="I4" i="52"/>
  <c r="D4" i="52"/>
  <c r="B47" i="72"/>
  <c r="M48" i="9"/>
  <c r="E4" i="52"/>
  <c r="B48" i="72"/>
  <c r="D13" i="53"/>
  <c r="B30" i="72"/>
  <c r="C85" i="9"/>
  <c r="C95" i="9"/>
  <c r="C97" i="9"/>
  <c r="D58" i="9"/>
  <c r="D56" i="9"/>
  <c r="M54" i="9"/>
  <c r="D52" i="9"/>
  <c r="D53" i="9"/>
  <c r="D45" i="9"/>
  <c r="C93" i="9"/>
  <c r="C86" i="9"/>
  <c r="C6" i="74"/>
  <c r="E118" i="9"/>
  <c r="D118" i="9"/>
  <c r="D119" i="9"/>
  <c r="D5" i="52"/>
  <c r="B49" i="72"/>
  <c r="G118" i="9"/>
  <c r="F118" i="9"/>
  <c r="F119" i="9"/>
  <c r="F5" i="52"/>
  <c r="B53"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<sst xmlns="http://schemas.openxmlformats.org/spreadsheetml/2006/main" count="7388" uniqueCount="3365">
  <si>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</si>
  <si>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</si>
  <si>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</si>
  <si>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</si>
  <si>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</si>
  <si>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</si>
  <si>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</si>
  <si>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</si>
  <si>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</si>
  <si>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</si>
  <si>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</si>
  <si>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</si>
  <si>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</si>
  <si>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</si>
  <si>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</si>
  <si>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</si>
  <si>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</si>
  <si>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</si>
  <si>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</si>
  <si>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</si>
  <si>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</si>
  <si>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</si>
  <si>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</si>
  <si>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</si>
  <si>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</si>
  <si>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</si>
  <si>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</si>
  <si>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</si>
  <si>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</si>
  <si>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</si>
  <si>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</si>
  <si>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</si>
  <si>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</si>
  <si>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</si>
  <si>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</si>
  <si>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</si>
  <si>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</si>
  <si>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</si>
  <si>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</si>
  <si>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</si>
  <si>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</si>
  <si>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</si>
  <si>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</si>
  <si>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</si>
  <si>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</si>
  <si>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</si>
  <si>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</si>
  <si>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</si>
  <si>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</si>
  <si>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</si>
  <si>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</si>
  <si>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</si>
  <si>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</si>
  <si>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</si>
  <si>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</si>
  <si>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</si>
  <si>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</si>
  <si>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</si>
  <si>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</si>
  <si>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</si>
  <si>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</si>
  <si>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</si>
  <si>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</si>
  <si>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</si>
  <si>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</si>
  <si>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</si>
  <si>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</si>
  <si>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</si>
  <si>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</si>
  <si>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</si>
  <si>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</si>
  <si>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</si>
  <si>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</si>
  <si>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</si>
  <si>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</si>
  <si>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</si>
  <si>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</si>
  <si>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</si>
  <si>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</si>
  <si>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</si>
  <si>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</si>
  <si>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</si>
  <si>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</si>
  <si>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</si>
  <si>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</si>
  <si>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</si>
  <si>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</si>
  <si>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</si>
  <si>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</si>
  <si>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</si>
  <si>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</si>
  <si>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</si>
  <si>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</si>
  <si>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</si>
  <si>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</si>
  <si>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</si>
  <si>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</si>
  <si>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</si>
  <si>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</si>
  <si>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</si>
  <si>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</si>
  <si>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</si>
  <si>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</si>
  <si>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</si>
  <si>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</si>
  <si>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</si>
  <si>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</si>
  <si>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</si>
  <si>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</si>
  <si>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</si>
  <si>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</si>
  <si>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</si>
  <si>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</si>
  <si>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</si>
  <si>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</si>
  <si>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</si>
  <si>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</si>
  <si>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</si>
  <si>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</si>
  <si>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</si>
  <si>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</si>
  <si>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</si>
  <si>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</si>
  <si>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</si>
  <si>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</si>
  <si>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</si>
  <si>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</si>
  <si>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</si>
  <si>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</si>
  <si>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</si>
  <si>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</si>
  <si>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</si>
  <si>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</si>
  <si>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</si>
  <si>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</si>
  <si>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</si>
  <si>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</si>
  <si>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</si>
  <si>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</si>
  <si>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</si>
  <si>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</si>
  <si>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</si>
  <si>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</si>
  <si>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</si>
  <si>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</si>
  <si>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</si>
  <si>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</si>
  <si>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</si>
  <si>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</si>
  <si>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</si>
  <si>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</si>
  <si>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</si>
  <si>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</si>
  <si>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</si>
  <si>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</si>
  <si>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</si>
  <si>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</si>
  <si>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</si>
  <si>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</si>
  <si>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</si>
  <si>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</si>
  <si>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</si>
  <si>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</si>
  <si>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</si>
  <si>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</si>
  <si>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</si>
  <si>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</si>
  <si>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</si>
  <si>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</si>
  <si>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</si>
  <si>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</si>
  <si>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</si>
  <si>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</si>
  <si>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</si>
  <si>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</si>
  <si>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</si>
  <si>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</si>
  <si>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</si>
  <si>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</si>
  <si>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</si>
  <si>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</si>
  <si>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</si>
  <si>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</si>
  <si>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</si>
  <si>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</si>
  <si>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</si>
  <si>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</si>
  <si>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</si>
  <si>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</si>
  <si>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</si>
  <si>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</si>
  <si>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</si>
  <si>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</si>
  <si>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</si>
  <si>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</si>
  <si>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</si>
  <si>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</si>
  <si>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</si>
  <si>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</si>
  <si>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</si>
  <si>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</si>
  <si>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</si>
  <si>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</si>
  <si>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</si>
  <si>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</si>
  <si>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</si>
  <si>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</si>
  <si>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</si>
  <si>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</si>
  <si>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</si>
  <si>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</si>
  <si>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</si>
  <si>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</si>
  <si>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</si>
  <si>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</si>
  <si>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</si>
  <si>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</si>
  <si>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</si>
  <si>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</si>
  <si>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</si>
  <si>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</si>
  <si>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</si>
  <si>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</si>
  <si>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</si>
  <si>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</si>
  <si>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</si>
  <si>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</si>
  <si>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</si>
  <si>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</si>
  <si>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</si>
  <si>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</si>
  <si>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</si>
  <si>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</si>
  <si>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</si>
  <si>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</si>
  <si>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</si>
  <si>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</si>
  <si>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</si>
  <si>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</si>
  <si>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</si>
  <si>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</si>
  <si>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</si>
  <si>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</si>
  <si>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</si>
  <si>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</si>
  <si>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</si>
  <si>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</si>
  <si>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</si>
  <si>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</si>
  <si>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</si>
  <si>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</si>
  <si>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</si>
  <si>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</si>
  <si>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</si>
  <si>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</si>
  <si>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</si>
  <si>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</si>
  <si>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</si>
  <si>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</si>
  <si>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</si>
  <si>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</si>
  <si>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</si>
  <si>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</si>
  <si>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</si>
  <si>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</si>
  <si>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</si>
  <si>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</si>
  <si>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</si>
  <si>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</si>
  <si>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</si>
  <si>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</si>
  <si>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</si>
  <si>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</si>
  <si>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</si>
  <si>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</si>
  <si>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</si>
  <si>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</si>
  <si>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</si>
  <si>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</si>
  <si>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</si>
  <si>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</si>
  <si>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</si>
  <si>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</si>
  <si>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</si>
  <si>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</si>
  <si>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</si>
  <si>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</si>
  <si>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</si>
  <si>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</si>
  <si>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</si>
  <si>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</si>
  <si>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</si>
  <si>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</si>
  <si>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</si>
  <si>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</si>
  <si>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</si>
  <si>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</si>
  <si>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</si>
  <si>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</si>
  <si>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</si>
  <si>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</si>
  <si>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</si>
  <si>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</si>
  <si>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</si>
  <si>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</si>
  <si>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</si>
  <si>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</si>
  <si>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</si>
  <si>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</si>
  <si>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</si>
  <si>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</si>
  <si>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</si>
  <si>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</si>
  <si>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</si>
  <si>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</si>
  <si>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</si>
  <si>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</si>
  <si>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</si>
  <si>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</si>
  <si>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</si>
  <si>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</si>
  <si>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</si>
  <si>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</si>
  <si>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</si>
  <si>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</si>
  <si>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</si>
  <si>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</si>
  <si>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</si>
  <si>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</si>
  <si>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</si>
  <si>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</si>
  <si>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</si>
  <si>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</si>
  <si>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</si>
  <si>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</si>
  <si>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</si>
  <si>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</si>
  <si>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</si>
  <si>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</si>
  <si>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</si>
  <si>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</si>
  <si>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</si>
  <si>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</si>
  <si>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</si>
  <si>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</si>
  <si>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</si>
  <si>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</si>
  <si>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</si>
  <si>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</si>
  <si>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</si>
  <si>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</si>
  <si>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</si>
  <si>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</si>
  <si>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</si>
  <si>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</si>
  <si>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</si>
  <si>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</si>
  <si>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</si>
  <si>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</si>
  <si>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</si>
  <si>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</si>
  <si>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</si>
  <si>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</si>
  <si>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</si>
  <si>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</si>
  <si>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</si>
  <si>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</si>
  <si>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</si>
  <si>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</si>
  <si>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</si>
  <si>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</si>
  <si>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</si>
  <si>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</si>
  <si>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</si>
  <si>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</si>
  <si>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</si>
  <si>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</si>
  <si>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</si>
  <si>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</si>
  <si>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</si>
  <si>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</si>
  <si>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</si>
  <si>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</si>
  <si>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</si>
  <si>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</si>
  <si>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</si>
  <si>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</si>
  <si>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</si>
  <si>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</si>
  <si>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</si>
  <si>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</si>
  <si>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</si>
  <si>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</si>
  <si>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</si>
  <si>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</si>
  <si>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</si>
  <si>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</si>
  <si>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</si>
  <si>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</si>
  <si>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</si>
  <si>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</si>
  <si>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</si>
  <si>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</si>
  <si>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</si>
  <si>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</si>
  <si>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</si>
  <si>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</si>
  <si>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</si>
  <si>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</si>
  <si>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</si>
  <si>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</si>
  <si>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</si>
  <si>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</si>
  <si>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</si>
  <si>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</si>
  <si>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</si>
  <si>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</si>
  <si>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</si>
  <si>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</si>
  <si>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</si>
  <si>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</si>
  <si>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</si>
  <si>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</si>
  <si>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</si>
  <si>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</si>
  <si>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</si>
  <si>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</si>
  <si>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</si>
  <si>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</si>
  <si>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</si>
  <si>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</si>
  <si>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</si>
  <si>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</si>
  <si>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</si>
  <si>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</si>
  <si>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</si>
  <si>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</si>
  <si>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</si>
  <si>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</si>
  <si>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</si>
  <si>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</si>
  <si>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</si>
  <si>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</si>
  <si>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</si>
  <si>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</si>
  <si>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</si>
  <si>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</si>
  <si>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</si>
  <si>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</si>
  <si>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</si>
  <si>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</si>
  <si>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</si>
  <si>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</si>
  <si>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</si>
  <si>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</si>
  <si>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</si>
  <si>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</si>
  <si>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</si>
  <si>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</si>
  <si>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</si>
  <si>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</si>
  <si>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</si>
  <si>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</si>
  <si>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</si>
  <si>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</si>
  <si>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</si>
  <si>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</si>
  <si>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</si>
  <si>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</si>
  <si>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</si>
  <si>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</si>
  <si>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</si>
  <si>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</si>
  <si>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</si>
  <si>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</si>
  <si>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</si>
  <si>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</si>
  <si>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</si>
  <si>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</si>
  <si>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</si>
  <si>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</si>
  <si>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</si>
  <si>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</si>
  <si>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</si>
  <si>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</si>
  <si>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</si>
  <si>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</si>
  <si>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</si>
  <si>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</si>
  <si>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</si>
  <si>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</si>
  <si>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</si>
  <si>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</si>
  <si>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</si>
  <si>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</si>
  <si>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</si>
  <si>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</si>
  <si>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</si>
  <si>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</si>
  <si>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</si>
  <si>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</si>
  <si>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</si>
  <si>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</si>
  <si>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</si>
  <si>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</si>
  <si>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</si>
  <si>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</si>
  <si>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</si>
  <si>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</si>
  <si>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</si>
  <si>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</si>
  <si>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</si>
  <si>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</si>
  <si>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</si>
  <si>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</si>
  <si>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</si>
  <si>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</si>
  <si>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</si>
  <si>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</si>
  <si>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</si>
  <si>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</si>
  <si>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</si>
  <si>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</si>
  <si>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</si>
  <si>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</si>
  <si>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</si>
  <si>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</si>
  <si>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</si>
  <si>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</si>
  <si>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</si>
  <si>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</si>
  <si>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</si>
  <si>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</si>
  <si>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</si>
  <si>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</si>
  <si>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</si>
  <si>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</si>
  <si>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</si>
  <si>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</si>
  <si>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</si>
  <si>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</si>
  <si>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</si>
  <si>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</si>
  <si>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</si>
  <si>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</si>
  <si>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</si>
  <si>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</si>
  <si>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</si>
  <si>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</si>
  <si>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</si>
  <si>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</si>
  <si>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</si>
  <si>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</si>
  <si>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</si>
  <si>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</si>
  <si>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</si>
  <si>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</si>
  <si>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</si>
  <si>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</si>
  <si>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</si>
  <si>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</si>
  <si>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</si>
  <si>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</si>
  <si>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</si>
  <si>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</si>
  <si>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</si>
  <si>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</si>
  <si>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</si>
  <si>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</si>
  <si>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</si>
  <si>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</si>
  <si>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</si>
  <si>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</si>
  <si>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</si>
  <si>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</si>
  <si>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</si>
  <si>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</si>
  <si>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</si>
  <si>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</si>
  <si>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</si>
  <si>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</si>
  <si>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</si>
  <si>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</si>
  <si>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</si>
  <si>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</si>
  <si>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</si>
  <si>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</si>
  <si>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</si>
  <si>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</si>
  <si>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</si>
  <si>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</si>
  <si>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</si>
  <si>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</si>
  <si>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</si>
  <si>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</si>
  <si>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</si>
  <si>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</si>
  <si>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</si>
  <si>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</si>
  <si>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</si>
  <si>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</si>
  <si>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</si>
  <si>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</si>
  <si>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</si>
  <si>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</si>
  <si>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</si>
  <si>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</si>
  <si>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</si>
  <si>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</si>
  <si>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</si>
  <si>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</si>
  <si>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</si>
  <si>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</si>
  <si>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</si>
  <si>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</si>
  <si>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</si>
  <si>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</si>
  <si>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</si>
  <si>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</si>
  <si>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</si>
  <si>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</si>
  <si>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</si>
  <si>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</si>
  <si>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</si>
  <si>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</si>
  <si>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</si>
  <si>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</si>
  <si>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</si>
  <si>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</si>
  <si>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</si>
  <si>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</si>
  <si>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</si>
  <si>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</si>
  <si>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</si>
  <si>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</si>
  <si>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</si>
  <si>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</si>
  <si>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</si>
  <si>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</si>
  <si>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</si>
  <si>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</si>
  <si>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</si>
  <si>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</si>
  <si>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</si>
  <si>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</si>
  <si>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</si>
  <si>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</si>
  <si>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</si>
  <si>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</si>
  <si>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</si>
  <si>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</si>
  <si>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</si>
  <si>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</si>
  <si>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</si>
  <si>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</si>
  <si>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</si>
  <si>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</si>
  <si>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</si>
  <si>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</si>
  <si>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</si>
  <si>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</si>
  <si>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</si>
  <si>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</si>
  <si>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</si>
  <si>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</si>
  <si>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</si>
  <si>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</si>
  <si>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</si>
  <si>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</si>
  <si>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</si>
  <si>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</si>
  <si>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</si>
  <si>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</si>
  <si>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</si>
  <si>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</si>
  <si>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</si>
  <si>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</si>
  <si>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</si>
  <si>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</si>
  <si>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</si>
  <si>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</si>
  <si>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</si>
  <si>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</si>
  <si>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</si>
  <si>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</si>
  <si>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</si>
  <si>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</si>
  <si>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</si>
  <si>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</si>
  <si>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</si>
  <si>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</si>
  <si>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</si>
  <si>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</si>
  <si>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</si>
  <si>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</si>
  <si>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</si>
  <si>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</si>
  <si>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</si>
  <si>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</si>
  <si>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</si>
  <si>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</si>
  <si>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</si>
  <si>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</si>
  <si>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</si>
  <si>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</si>
  <si>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</si>
  <si>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</si>
  <si>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</si>
  <si>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</si>
  <si>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</si>
  <si>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</si>
  <si>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</si>
  <si>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</si>
  <si>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</si>
  <si>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</si>
  <si>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</si>
  <si>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</si>
  <si>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</si>
  <si>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</si>
  <si>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</si>
  <si>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</si>
  <si>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</si>
  <si>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</si>
  <si>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</si>
  <si>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</si>
  <si>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</si>
  <si>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</si>
  <si>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</si>
  <si>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</si>
  <si>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</si>
  <si>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</si>
  <si>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</si>
  <si>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</si>
  <si>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</si>
  <si>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</si>
  <si>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</si>
  <si>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</si>
  <si>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</si>
  <si>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</si>
  <si>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</si>
  <si>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</si>
  <si>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</si>
  <si>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</si>
  <si>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</si>
  <si>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</si>
  <si>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</si>
  <si>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</si>
  <si>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</si>
  <si>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</si>
  <si>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</si>
  <si>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</si>
  <si>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</si>
  <si>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</si>
  <si>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</si>
  <si>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</si>
  <si>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</si>
  <si>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</si>
  <si>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</si>
  <si>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</si>
  <si>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</si>
  <si>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</si>
  <si>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</si>
  <si>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</si>
  <si>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</si>
  <si>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</si>
  <si>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</si>
  <si>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</si>
  <si>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</si>
  <si>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</si>
  <si>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</si>
  <si>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</si>
  <si>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</si>
  <si>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</si>
  <si>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</si>
  <si>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</si>
  <si>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</si>
  <si>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</si>
  <si>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</si>
  <si>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</si>
  <si>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</si>
  <si>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</si>
  <si>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</si>
  <si>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</si>
  <si>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</si>
  <si>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</si>
  <si>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</si>
  <si>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</si>
  <si>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</si>
  <si>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</si>
  <si>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</si>
  <si>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</si>
  <si>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</si>
  <si>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</si>
  <si>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</si>
  <si>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</si>
  <si>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</si>
  <si>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</si>
  <si>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</si>
  <si>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</si>
  <si>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</si>
  <si>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</si>
  <si>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</si>
  <si>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</si>
  <si>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</si>
  <si>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</si>
  <si>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</si>
  <si>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</si>
  <si>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</si>
  <si>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</si>
  <si>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</si>
  <si>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</si>
  <si>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</si>
  <si>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</si>
  <si>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</si>
  <si>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</si>
  <si>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</si>
  <si>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</si>
  <si>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</si>
  <si>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</si>
  <si>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</si>
  <si>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</si>
  <si>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</si>
  <si>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</si>
  <si>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</si>
  <si>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</si>
  <si>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</si>
  <si>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</si>
  <si>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</si>
  <si>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</si>
  <si>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</si>
  <si>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</si>
  <si>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</si>
  <si>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</si>
  <si>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</si>
  <si>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</si>
  <si>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</si>
  <si>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</si>
  <si>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</si>
  <si>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</si>
  <si>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</si>
  <si>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</si>
  <si>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</si>
  <si>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</si>
  <si>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</si>
  <si>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</si>
  <si>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</si>
  <si>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</si>
  <si>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</si>
  <si>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</si>
  <si>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</si>
  <si>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</si>
  <si>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</si>
  <si>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</si>
  <si>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</si>
  <si>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</si>
  <si>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</si>
  <si>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</si>
  <si>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</si>
  <si>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</si>
  <si>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</si>
  <si>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</si>
  <si>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</si>
  <si>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</si>
  <si>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</si>
  <si>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</si>
  <si>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</si>
  <si>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</si>
  <si>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</si>
  <si>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</si>
  <si>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</si>
  <si>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</si>
  <si>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</si>
  <si>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</si>
  <si>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</si>
  <si>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</si>
  <si>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</si>
  <si>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</si>
  <si>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</si>
  <si>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</si>
  <si>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</si>
  <si>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</si>
  <si>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</si>
  <si>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</si>
  <si>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</si>
  <si>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</si>
  <si>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</si>
  <si>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</si>
  <si>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</si>
  <si>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</si>
  <si>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</si>
  <si>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</si>
  <si>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</si>
  <si>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</si>
  <si>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</si>
  <si>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</si>
  <si>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</si>
  <si>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</si>
  <si>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</si>
  <si>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</si>
  <si>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</si>
  <si>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</si>
  <si>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</si>
  <si>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</si>
  <si>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</si>
  <si>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</si>
  <si>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</si>
  <si>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</si>
  <si>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</si>
  <si>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</si>
  <si>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</si>
  <si>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</si>
  <si>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</si>
  <si>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</si>
  <si>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</si>
  <si>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</si>
  <si>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</si>
  <si>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</si>
  <si>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</si>
  <si>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</si>
  <si>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</si>
  <si>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</si>
  <si>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</si>
  <si>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</si>
  <si>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</si>
  <si>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</si>
  <si>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</si>
  <si>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</si>
  <si>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</si>
  <si>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</si>
  <si>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</si>
  <si>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</si>
  <si>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</si>
  <si>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</si>
  <si>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</si>
  <si>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</si>
  <si>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</si>
  <si>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</si>
  <si>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</si>
  <si>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</si>
  <si>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</si>
  <si>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</si>
  <si>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</si>
  <si>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</si>
  <si>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</si>
  <si>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</si>
  <si>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</si>
  <si>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</si>
  <si>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</si>
  <si>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</si>
  <si>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</si>
  <si>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</si>
  <si>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</si>
  <si>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</si>
  <si>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</si>
  <si>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</si>
  <si>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</si>
  <si>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</si>
  <si>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</si>
  <si>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</si>
  <si>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</si>
  <si>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</si>
  <si>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</si>
  <si>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</si>
  <si>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</si>
  <si>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</si>
  <si>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</si>
  <si>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</si>
  <si>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</si>
  <si>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</si>
  <si>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</si>
  <si>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</si>
  <si>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</si>
  <si>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</si>
  <si>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</si>
  <si>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</si>
  <si>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</si>
  <si>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</si>
  <si>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</si>
  <si>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</si>
  <si>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</si>
  <si>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</si>
  <si>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</si>
  <si>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</si>
  <si>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</si>
  <si>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</si>
  <si>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</si>
  <si>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</si>
  <si>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</si>
  <si>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</si>
  <si>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</si>
  <si>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</si>
  <si>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</si>
  <si>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</si>
  <si>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</si>
  <si>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</si>
  <si>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</si>
  <si>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</si>
  <si>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</si>
  <si>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</si>
  <si>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</si>
  <si>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</si>
  <si>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</si>
  <si>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</si>
  <si>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</si>
  <si>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</si>
  <si>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</si>
  <si>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</si>
  <si>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</si>
  <si>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</si>
  <si>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</si>
  <si>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</si>
  <si>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</si>
  <si>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</si>
  <si>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</si>
  <si>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</si>
  <si>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</si>
  <si>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</si>
  <si>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</si>
  <si>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</si>
  <si>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</si>
  <si>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</si>
  <si>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</si>
  <si>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</si>
  <si>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</si>
  <si>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</si>
  <si>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</si>
  <si>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</si>
  <si>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</si>
  <si>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</si>
  <si>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</si>
  <si>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</si>
  <si>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</si>
  <si>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</si>
  <si>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</si>
  <si>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</si>
  <si>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</si>
  <si>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</si>
  <si>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</si>
  <si>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</si>
  <si>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</si>
  <si>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</si>
  <si>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</si>
  <si>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</si>
  <si>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</si>
  <si>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</si>
  <si>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</si>
  <si>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</si>
  <si>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</si>
  <si>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</si>
  <si>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</si>
  <si>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</si>
  <si>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</si>
  <si>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</si>
  <si>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</si>
  <si>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</si>
  <si>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</si>
  <si>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</si>
  <si>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</si>
  <si>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</si>
  <si>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</si>
  <si>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</si>
  <si>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</si>
  <si>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</si>
  <si>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</si>
  <si>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</si>
  <si>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</si>
  <si>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</si>
  <si>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</si>
  <si>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</si>
  <si>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</si>
  <si>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</si>
  <si>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</si>
  <si>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</si>
  <si>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</si>
  <si>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</si>
  <si>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</si>
  <si>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</si>
  <si>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</si>
  <si>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</si>
  <si>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</si>
  <si>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</si>
  <si>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</si>
  <si>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</si>
  <si>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</si>
  <si>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</si>
  <si>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</si>
  <si>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</si>
  <si>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</si>
  <si>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</si>
  <si>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</si>
  <si>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</si>
  <si>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</si>
  <si>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</si>
  <si>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</si>
  <si>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</si>
  <si>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</si>
  <si>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</si>
  <si>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</si>
  <si>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</si>
  <si>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</si>
  <si>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</si>
  <si>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</si>
  <si>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</si>
  <si>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</si>
  <si>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</si>
  <si>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</si>
  <si>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</si>
  <si>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</si>
  <si>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</si>
  <si>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</si>
  <si>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</si>
  <si>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</si>
  <si>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</si>
  <si>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</si>
  <si>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</si>
  <si>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</si>
  <si>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</si>
  <si>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</si>
  <si>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</si>
  <si>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</si>
  <si>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</si>
  <si>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</si>
  <si>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</si>
  <si>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</si>
  <si>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</si>
  <si>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</si>
  <si>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</si>
  <si>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</si>
  <si>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</si>
  <si>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</si>
  <si>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</si>
  <si>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</si>
  <si>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</si>
  <si>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</si>
  <si>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</si>
  <si>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</si>
  <si>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</si>
  <si>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</si>
  <si>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</si>
  <si>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</si>
  <si>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</si>
  <si>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</si>
  <si>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</si>
  <si>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</si>
  <si>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</si>
  <si>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</si>
  <si>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</si>
  <si>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</si>
  <si>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</si>
  <si>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</si>
  <si>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</si>
  <si>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</si>
  <si>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</si>
  <si>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</si>
  <si>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</si>
  <si>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</si>
  <si>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</si>
  <si>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</si>
  <si>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</si>
  <si>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</si>
  <si>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</si>
  <si>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</si>
  <si>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</si>
  <si>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</si>
  <si>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</si>
  <si>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</si>
  <si>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</si>
  <si>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</si>
  <si>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</si>
  <si>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</si>
  <si>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</si>
  <si>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</si>
  <si>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</si>
  <si>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</si>
  <si>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</si>
  <si>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</si>
  <si>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</si>
  <si>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</si>
  <si>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</si>
  <si>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</si>
  <si>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</si>
  <si>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</si>
  <si>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</si>
  <si>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</si>
  <si>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</si>
  <si>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</si>
  <si>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</si>
  <si>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</si>
  <si>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</si>
  <si>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</si>
  <si>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</si>
  <si>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</si>
  <si>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</si>
  <si>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</si>
  <si>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</si>
  <si>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</si>
  <si>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</si>
  <si>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</si>
  <si>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</si>
  <si>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</si>
  <si>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</si>
  <si>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</si>
  <si>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</si>
  <si>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</si>
  <si>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</si>
  <si>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</si>
  <si>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</si>
  <si>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</si>
  <si>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</si>
  <si>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</si>
  <si>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</si>
  <si>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</si>
  <si>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</si>
  <si>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</si>
  <si>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</si>
  <si>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</si>
  <si>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</si>
  <si>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</si>
  <si>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</si>
  <si>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</si>
  <si>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</si>
  <si>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</si>
  <si>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</si>
  <si>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</si>
  <si>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</si>
  <si>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</si>
  <si>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</si>
  <si>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</si>
  <si>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</si>
  <si>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</si>
  <si>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</si>
  <si>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</si>
  <si>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</si>
  <si>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</si>
  <si>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</si>
  <si>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</si>
  <si>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</si>
  <si>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</si>
  <si>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</si>
  <si>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</si>
  <si>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</si>
  <si>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</si>
  <si>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</si>
  <si>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</si>
  <si>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</si>
  <si>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</si>
  <si>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</si>
  <si>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</si>
  <si>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</si>
  <si>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</si>
  <si>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</si>
  <si>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</si>
  <si>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</si>
  <si>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</si>
  <si>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</si>
  <si>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</si>
  <si>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</si>
  <si>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</si>
  <si>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</si>
  <si>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</si>
  <si>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</si>
  <si>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</si>
  <si>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</si>
  <si>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</si>
  <si>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</si>
  <si>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</si>
  <si>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</si>
  <si>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</si>
  <si>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</si>
  <si>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</si>
  <si>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</si>
  <si>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</si>
  <si>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</si>
  <si>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</si>
  <si>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</si>
  <si>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</si>
  <si>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</si>
  <si>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</si>
  <si>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</si>
  <si>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</si>
  <si>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</si>
  <si>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</si>
  <si>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</si>
  <si>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</si>
  <si>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</si>
  <si>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</si>
  <si>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</si>
  <si>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</si>
  <si>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</si>
  <si>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</si>
  <si>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</si>
  <si>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</si>
  <si>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</si>
  <si>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</si>
  <si>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</si>
  <si>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</si>
  <si>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</si>
  <si>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</si>
  <si>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</si>
  <si>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</si>
  <si>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</si>
  <si>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</si>
  <si>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</si>
  <si>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</si>
  <si>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</si>
  <si>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</si>
  <si>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</si>
  <si>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</si>
  <si>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</si>
  <si>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</si>
  <si>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</si>
  <si>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</si>
  <si>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</si>
  <si>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</si>
  <si>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</si>
  <si>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</si>
  <si>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</si>
  <si>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</si>
  <si>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</si>
  <si>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</si>
  <si>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</si>
  <si>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</si>
  <si>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</si>
  <si>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</si>
  <si>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</si>
  <si>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</si>
  <si>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</si>
  <si>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</si>
  <si>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</si>
  <si>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</si>
  <si>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</si>
  <si>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</si>
  <si>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</si>
  <si>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</si>
  <si>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</si>
  <si>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</si>
  <si>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</si>
  <si>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</si>
  <si>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</si>
  <si>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</si>
  <si>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</si>
  <si>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</si>
  <si>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</si>
  <si>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</si>
  <si>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</si>
  <si>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</si>
  <si>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</si>
  <si>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</si>
  <si>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</si>
  <si>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</si>
  <si>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</si>
  <si>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</si>
  <si>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</si>
  <si>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</si>
  <si>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</si>
  <si>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</si>
  <si>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</si>
  <si>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</si>
  <si>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</si>
  <si>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</si>
  <si>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</si>
  <si>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</si>
  <si>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</si>
  <si>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</si>
  <si>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</si>
  <si>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</si>
  <si>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</si>
  <si>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</si>
  <si>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</si>
  <si>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</si>
  <si>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</si>
  <si>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</si>
  <si>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</si>
  <si>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</si>
  <si>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</si>
  <si>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</si>
  <si>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</si>
  <si>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</si>
  <si>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</si>
  <si>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</si>
  <si>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</si>
  <si>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</si>
  <si>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</si>
  <si>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</si>
  <si>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</si>
  <si>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</si>
  <si>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</si>
  <si>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</si>
  <si>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</si>
  <si>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</si>
  <si>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</si>
  <si>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</si>
  <si>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</si>
  <si>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</si>
  <si>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</si>
  <si>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</si>
  <si>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</si>
  <si>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</si>
  <si>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</si>
  <si>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</si>
  <si>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</si>
  <si>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</si>
  <si>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</si>
  <si>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</si>
  <si>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</si>
  <si>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</si>
  <si>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</si>
  <si>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</si>
  <si>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</si>
  <si>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</si>
  <si>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</si>
  <si>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</si>
  <si>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</si>
  <si>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</si>
  <si>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</si>
  <si>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</si>
  <si>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</si>
  <si>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</si>
  <si>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</si>
  <si>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</si>
  <si>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</si>
  <si>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</si>
  <si>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</si>
  <si>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</si>
  <si>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</si>
  <si>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</si>
  <si>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</si>
  <si>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</si>
  <si>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</si>
  <si>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</si>
  <si>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</si>
  <si>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</si>
  <si>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</si>
  <si>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</si>
  <si>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</si>
  <si>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</si>
  <si>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</si>
  <si>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</si>
  <si>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</si>
  <si>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</si>
  <si>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</si>
  <si>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</si>
  <si>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</si>
  <si>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</si>
  <si>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</si>
  <si>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</si>
  <si>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</si>
  <si>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</si>
  <si>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</si>
  <si>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</si>
  <si>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</si>
  <si>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</si>
  <si>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</si>
  <si>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</si>
  <si>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</si>
  <si>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</si>
  <si>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</si>
  <si>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</si>
  <si>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</si>
  <si>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</si>
  <si>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</si>
  <si>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</si>
  <si>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</si>
  <si>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</si>
  <si>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</si>
  <si>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</si>
  <si>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</si>
  <si>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</si>
  <si>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</si>
  <si>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</si>
  <si>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</si>
  <si>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</si>
  <si>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</si>
  <si>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</si>
  <si>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</si>
  <si>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</si>
  <si>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</si>
  <si>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</si>
  <si>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</si>
  <si>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</si>
  <si>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</si>
  <si>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</si>
  <si>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</si>
  <si>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</si>
  <si>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</si>
  <si>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</si>
  <si>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</si>
  <si>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</si>
  <si>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</si>
  <si>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</si>
  <si>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</si>
  <si>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</si>
  <si>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</si>
  <si>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</si>
  <si>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</si>
  <si>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</si>
  <si>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</si>
  <si>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</si>
  <si>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</si>
  <si>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</si>
  <si>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</si>
  <si>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</si>
  <si>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</si>
  <si>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</si>
  <si>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</si>
  <si>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</si>
  <si>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</si>
  <si>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</si>
  <si>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</si>
  <si>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</si>
  <si>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</si>
  <si>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</si>
  <si>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</si>
  <si>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</si>
  <si>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</si>
  <si>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</si>
  <si>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</si>
  <si>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</si>
  <si>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</si>
  <si>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</si>
  <si>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</si>
  <si>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</si>
  <si>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</si>
  <si>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</si>
  <si>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</si>
  <si>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</si>
  <si>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</si>
  <si>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</si>
  <si>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</si>
  <si>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</si>
  <si>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</si>
  <si>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</si>
  <si>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</si>
  <si>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</si>
  <si>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</si>
  <si>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</si>
  <si>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</si>
  <si>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</si>
  <si>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</si>
  <si>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</si>
  <si>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</si>
  <si>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</si>
  <si>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</si>
  <si>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</si>
  <si>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</si>
  <si>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</si>
  <si>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</si>
  <si>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</si>
  <si>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</si>
  <si>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</si>
  <si>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</si>
  <si>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</si>
  <si>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</si>
  <si>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</si>
  <si>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</si>
  <si>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</si>
  <si>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</si>
  <si>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</si>
  <si>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</si>
  <si>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</si>
  <si>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</si>
  <si>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</si>
  <si>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</si>
  <si>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</si>
  <si>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</si>
  <si>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</si>
  <si>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</si>
  <si>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</si>
  <si>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</si>
  <si>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</si>
  <si>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</si>
  <si>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</si>
  <si>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</si>
  <si>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</si>
  <si>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</si>
  <si>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</si>
  <si>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</si>
  <si>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</si>
  <si>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</si>
  <si>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</si>
  <si>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</si>
  <si>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</si>
  <si>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</si>
  <si>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</si>
  <si>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</si>
  <si>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</si>
  <si>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</si>
  <si>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</si>
  <si>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</si>
  <si>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</si>
  <si>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</si>
  <si>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</si>
  <si>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</si>
  <si>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</si>
  <si>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</si>
  <si>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</si>
  <si>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</si>
  <si>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</si>
  <si>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</si>
  <si>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</si>
  <si>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</si>
  <si>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</si>
  <si>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</si>
  <si>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</si>
  <si>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</si>
  <si>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</si>
  <si>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</si>
  <si>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</si>
  <si>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</si>
  <si>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</si>
  <si>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</si>
  <si>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</si>
  <si>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</si>
  <si>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</si>
  <si>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</si>
  <si>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</si>
  <si>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</si>
  <si>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</si>
  <si>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</si>
  <si>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</si>
  <si>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</si>
  <si>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</si>
  <si>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</si>
  <si>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</si>
  <si>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</si>
  <si>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</si>
  <si>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</si>
  <si>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</si>
  <si>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</si>
  <si>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</si>
  <si>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</si>
  <si>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</si>
  <si>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</si>
  <si>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</si>
  <si>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</si>
  <si>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</si>
  <si>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</si>
  <si>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</si>
  <si>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</si>
  <si>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</si>
  <si>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</si>
  <si>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</si>
  <si>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</si>
  <si>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</si>
  <si>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</si>
  <si>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</si>
  <si>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</si>
  <si>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</si>
  <si>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</si>
  <si>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</si>
  <si>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</si>
  <si>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</si>
  <si>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</si>
  <si>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</si>
  <si>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</si>
  <si>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</si>
  <si>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</si>
  <si>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</si>
  <si>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</si>
  <si>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</si>
  <si>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</si>
  <si>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</si>
  <si>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</si>
  <si>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</si>
  <si>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</si>
  <si>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</si>
  <si>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</si>
  <si>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</si>
  <si>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</si>
  <si>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</si>
  <si>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</si>
  <si>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</si>
  <si>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</si>
  <si>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</si>
  <si>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</si>
  <si>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</si>
  <si>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</si>
  <si>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</si>
  <si>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</si>
  <si>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</si>
  <si>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</si>
  <si>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</si>
  <si>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</si>
  <si>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</si>
  <si>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</si>
  <si>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</si>
  <si>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</si>
  <si>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</si>
  <si>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</si>
  <si>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</si>
  <si>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</si>
  <si>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</si>
  <si>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</si>
  <si>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</si>
  <si>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</si>
  <si>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</si>
  <si>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</si>
  <si>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</si>
  <si>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</si>
  <si>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</si>
  <si>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</si>
  <si>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</si>
  <si>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</si>
  <si>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</si>
  <si>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</si>
  <si>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</si>
  <si>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</si>
  <si>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</si>
  <si>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</si>
  <si>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</si>
  <si>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</si>
  <si>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</si>
  <si>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</si>
  <si>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</si>
  <si>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</si>
  <si>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</si>
  <si>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</si>
  <si>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</si>
  <si>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</si>
  <si>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</si>
  <si>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</si>
  <si>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</si>
  <si>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</si>
  <si>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</si>
  <si>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</si>
  <si>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</si>
  <si>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</si>
  <si>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</si>
  <si>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</si>
  <si>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</si>
  <si>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</si>
  <si>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</si>
  <si>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</si>
  <si>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</si>
  <si>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</si>
  <si>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</si>
  <si>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</si>
  <si>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</si>
  <si>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</si>
  <si>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</si>
  <si>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</si>
  <si>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</si>
  <si>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</si>
  <si>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</si>
  <si>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</si>
  <si>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</si>
  <si>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</si>
  <si>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</si>
  <si>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</si>
  <si>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</si>
  <si>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</si>
  <si>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</si>
  <si>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</si>
  <si>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</si>
  <si>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</si>
  <si>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</si>
  <si>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</si>
  <si>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</si>
  <si>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</si>
  <si>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</si>
  <si>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</si>
  <si>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</si>
  <si>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</si>
  <si>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</si>
  <si>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</si>
  <si>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</si>
  <si>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</si>
  <si>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</si>
  <si>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</si>
  <si>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</si>
  <si>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</si>
  <si>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</si>
  <si>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</si>
  <si>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</si>
  <si>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</si>
  <si>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</si>
  <si>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</si>
  <si>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</si>
  <si>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</si>
  <si>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</si>
  <si>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</si>
  <si>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</si>
  <si>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</si>
  <si>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</si>
  <si>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</si>
  <si>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</si>
  <si>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</si>
  <si>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</si>
  <si>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</si>
  <si>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</si>
  <si>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</si>
  <si>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</si>
  <si>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</si>
  <si>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</si>
  <si>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</si>
  <si>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</si>
  <si>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</si>
  <si>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</si>
  <si>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</si>
  <si>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</si>
  <si>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</si>
  <si>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</si>
  <si>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</si>
  <si>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</si>
  <si>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</si>
  <si>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</si>
  <si>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</si>
  <si>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</si>
  <si>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</si>
  <si>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</si>
  <si>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</si>
  <si>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</si>
  <si>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</si>
  <si>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</si>
  <si>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</si>
  <si>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</si>
  <si>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</si>
  <si>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</si>
  <si>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</si>
  <si>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</si>
  <si>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</si>
  <si>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</si>
  <si>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</si>
  <si>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</si>
  <si>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</si>
  <si>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</si>
  <si>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</si>
  <si>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</si>
  <si>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</si>
  <si>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</si>
  <si>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</si>
  <si>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</si>
  <si>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</si>
  <si>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</si>
  <si>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</si>
  <si>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</si>
  <si>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</si>
  <si>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</si>
  <si>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</si>
  <si>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</si>
  <si>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</si>
  <si>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</si>
  <si>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</si>
  <si>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</si>
  <si>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</si>
  <si>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</si>
  <si>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</si>
  <si>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</si>
  <si>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</si>
  <si>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</si>
  <si>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</si>
  <si>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</si>
  <si>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</si>
  <si>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</si>
  <si>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</si>
  <si>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</si>
  <si>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</si>
  <si>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</si>
  <si>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</si>
  <si>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</si>
  <si>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</si>
  <si>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</si>
  <si>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</si>
  <si>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</si>
  <si>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</si>
  <si>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</si>
  <si>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</si>
  <si>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</si>
  <si>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</si>
  <si>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</si>
  <si>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</si>
  <si>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</si>
  <si>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</si>
  <si>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</si>
  <si>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</si>
  <si>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</si>
  <si>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</si>
  <si>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</si>
  <si>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</si>
  <si>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</si>
  <si>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</si>
  <si>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</si>
  <si>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</si>
  <si>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</si>
  <si>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</si>
  <si>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</si>
  <si>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</si>
  <si>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</si>
  <si>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</si>
  <si>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</si>
  <si>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</si>
  <si>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</si>
  <si>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</si>
  <si>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</si>
  <si>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</si>
  <si>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</si>
  <si>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</si>
  <si>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</si>
  <si>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</si>
  <si>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</si>
  <si>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</si>
  <si>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</si>
  <si>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</si>
  <si>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</si>
  <si>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</si>
  <si>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</si>
  <si>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</si>
  <si>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</si>
  <si>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</si>
  <si>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</si>
  <si>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</si>
  <si>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</si>
  <si>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</si>
  <si>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</si>
  <si>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</si>
  <si>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</si>
  <si>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</si>
  <si>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</si>
  <si>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</si>
  <si>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</si>
  <si>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</si>
  <si>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</si>
  <si>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</si>
  <si>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</si>
  <si>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</si>
  <si>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</si>
  <si>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</si>
  <si>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</si>
  <si>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</si>
  <si>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</si>
  <si>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</si>
  <si>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</si>
  <si>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</si>
  <si>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</si>
  <si>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</si>
  <si>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</si>
  <si>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</si>
  <si>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</si>
  <si>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</si>
  <si>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</si>
  <si>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</si>
  <si>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</si>
  <si>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</si>
  <si>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</si>
  <si>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</si>
  <si>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</si>
  <si>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</si>
  <si>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</si>
  <si>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</si>
  <si>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</si>
  <si>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</si>
  <si>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</si>
  <si>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</si>
  <si>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</si>
  <si>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</si>
  <si>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</si>
  <si>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</si>
  <si>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</si>
  <si>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</si>
  <si>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</si>
  <si>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</si>
  <si>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</si>
  <si>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</si>
  <si>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</si>
  <si>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</si>
  <si>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</si>
  <si>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</si>
  <si>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</si>
  <si>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</si>
  <si>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</si>
  <si>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</si>
  <si>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</si>
  <si>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</si>
  <si>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</si>
  <si>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</si>
  <si>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</si>
  <si>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</si>
  <si>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</si>
  <si>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</si>
  <si>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</si>
  <si>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</si>
  <si>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</si>
  <si>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</si>
  <si>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</si>
  <si>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</si>
  <si>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</si>
  <si>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</si>
  <si>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</si>
  <si>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</si>
  <si>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</si>
  <si>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</si>
  <si>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</si>
  <si>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</si>
  <si>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</si>
  <si>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</si>
  <si>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</si>
  <si>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</si>
  <si>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</si>
  <si>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</si>
  <si>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</si>
  <si>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</si>
  <si>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</si>
  <si>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</si>
  <si>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</si>
  <si>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</si>
  <si>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</si>
  <si>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</si>
  <si>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</si>
  <si>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</si>
  <si>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</si>
  <si>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</si>
  <si>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</si>
  <si>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</si>
  <si>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</si>
  <si>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</si>
  <si>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</si>
  <si>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</si>
  <si>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</si>
  <si>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</si>
  <si>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</si>
  <si>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</si>
  <si>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</si>
  <si>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</si>
  <si>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</si>
  <si>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</si>
  <si>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</si>
  <si>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</si>
  <si>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</si>
  <si>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</si>
  <si>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</si>
  <si>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</si>
  <si>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</si>
  <si>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</si>
  <si>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</si>
  <si>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</si>
  <si>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</si>
  <si>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</si>
  <si>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</si>
  <si>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</si>
  <si>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</si>
  <si>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</si>
  <si>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</si>
  <si>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</si>
  <si>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</si>
  <si>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</si>
  <si>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</si>
  <si>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</si>
  <si>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</si>
  <si>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</si>
  <si>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</si>
  <si>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</si>
  <si>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</si>
  <si>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</si>
  <si>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</si>
  <si>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</si>
  <si>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</si>
  <si>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</si>
  <si>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</si>
  <si>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</si>
  <si>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</si>
  <si>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</si>
  <si>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</si>
  <si>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</si>
  <si>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</si>
  <si>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</si>
  <si>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</si>
  <si>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</si>
  <si>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</si>
  <si>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</si>
  <si>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</si>
  <si>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</si>
  <si>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</si>
  <si>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</si>
  <si>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</si>
  <si>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</si>
  <si>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</si>
  <si>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</si>
  <si>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</si>
  <si>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</si>
  <si>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</si>
  <si>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</si>
  <si>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</si>
  <si>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</si>
  <si>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</si>
  <si>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</si>
  <si>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</si>
  <si>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</si>
  <si>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</si>
  <si>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</si>
  <si>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</si>
  <si>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</si>
  <si>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</si>
  <si>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</si>
  <si>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</si>
  <si>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</si>
  <si>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</si>
  <si>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</si>
  <si>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</si>
  <si>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</si>
  <si>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</si>
  <si>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</si>
  <si>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</si>
  <si>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</si>
  <si>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</si>
  <si>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</si>
  <si>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</si>
  <si>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</si>
  <si>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</si>
  <si>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</si>
  <si>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</si>
  <si>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</si>
  <si>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</si>
  <si>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</si>
  <si>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</si>
  <si>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</si>
  <si>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</si>
  <si>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</si>
  <si>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</si>
  <si>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</si>
  <si>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</si>
  <si>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</si>
  <si>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</si>
  <si>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</si>
  <si>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</si>
  <si>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</si>
  <si>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</si>
  <si>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</si>
  <si>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</si>
  <si>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</si>
  <si>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</si>
  <si>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</si>
  <si>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</si>
  <si>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</si>
  <si>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</si>
  <si>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</si>
  <si>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</si>
  <si>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</si>
  <si>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</si>
  <si>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</si>
  <si>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</si>
  <si>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</si>
  <si>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</si>
  <si>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</si>
  <si>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</si>
  <si>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</si>
  <si>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</si>
  <si>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</si>
  <si>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</si>
  <si>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</si>
  <si>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</si>
  <si>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</si>
  <si>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</si>
  <si>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</si>
  <si>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</si>
  <si>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</si>
  <si>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</si>
  <si>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</si>
  <si>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</si>
  <si>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</si>
  <si>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</si>
  <si>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</si>
  <si>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</si>
  <si>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</si>
  <si>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</si>
  <si>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</si>
  <si>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</si>
  <si>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</si>
  <si>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</si>
  <si>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</si>
  <si>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</si>
  <si>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</si>
  <si>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</si>
  <si>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</si>
  <si>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</si>
  <si>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</si>
  <si>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</si>
  <si>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</si>
  <si>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</si>
  <si>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</si>
  <si>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</si>
  <si>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</si>
  <si>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</si>
  <si>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</si>
  <si>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</si>
  <si>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</si>
  <si>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</si>
  <si>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</si>
  <si>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</si>
  <si>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</si>
  <si>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</si>
  <si>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</si>
  <si>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</si>
  <si>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</si>
  <si>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</si>
  <si>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</si>
  <si>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</si>
  <si>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</si>
  <si>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</si>
  <si>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</si>
  <si>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</si>
  <si>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</si>
  <si>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</si>
  <si>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</si>
  <si>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</si>
  <si>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</si>
  <si>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</si>
  <si>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</si>
  <si>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</si>
  <si>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</si>
  <si>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</si>
  <si>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</si>
  <si>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</si>
  <si>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</si>
  <si>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</si>
  <si>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</si>
  <si>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</si>
  <si>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</si>
  <si>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</si>
  <si>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</si>
  <si>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</si>
  <si>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</si>
  <si>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</si>
  <si>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</si>
  <si>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</si>
  <si>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</si>
  <si>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</si>
  <si>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</si>
  <si>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</si>
  <si>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</si>
  <si>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</si>
  <si>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</si>
  <si>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</si>
  <si>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</si>
  <si>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</si>
  <si>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</si>
  <si>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</si>
  <si>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</si>
  <si>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</si>
  <si>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</si>
  <si>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</si>
  <si>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</si>
  <si>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</si>
  <si>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</si>
  <si>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</si>
  <si>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</si>
  <si>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</si>
  <si>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</si>
  <si>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</si>
  <si>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</si>
  <si>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</si>
  <si>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</si>
  <si>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</si>
  <si>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</si>
  <si>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</si>
  <si>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</si>
  <si>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</si>
  <si>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</si>
  <si>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</si>
  <si>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</si>
  <si>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</si>
  <si>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</si>
  <si>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</si>
  <si>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</si>
  <si>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</si>
  <si>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</si>
  <si>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</si>
  <si>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</si>
  <si>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</si>
  <si>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</si>
  <si>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</si>
  <si>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</si>
  <si>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</si>
  <si>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</si>
  <si>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</si>
  <si>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</si>
  <si>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</si>
  <si>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</si>
  <si>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</si>
  <si>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</si>
  <si>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</si>
  <si>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</si>
  <si>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</si>
  <si>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</si>
  <si>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</si>
  <si>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</si>
  <si>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</si>
  <si>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</si>
  <si>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</si>
  <si>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</si>
  <si>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</si>
  <si>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</si>
  <si>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</si>
  <si>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</si>
  <si>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</si>
  <si>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</si>
  <si>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</si>
  <si>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</si>
  <si>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</si>
  <si>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</si>
  <si>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</si>
  <si>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</si>
  <si>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</si>
  <si>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</si>
  <si>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</si>
  <si>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</si>
  <si>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</si>
  <si>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</si>
  <si>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</si>
  <si>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</si>
  <si>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</si>
  <si>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</si>
  <si>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</si>
  <si>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</si>
  <si>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</si>
  <si>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</si>
  <si>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</si>
  <si>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</si>
  <si>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</si>
  <si>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</si>
  <si>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</si>
  <si>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</si>
  <si>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</si>
  <si>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</si>
  <si>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</si>
  <si>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</si>
  <si>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</si>
  <si>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</si>
  <si>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</si>
  <si>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</si>
  <si>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</si>
  <si>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</si>
  <si>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</si>
  <si>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</si>
  <si>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</si>
  <si>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</si>
  <si>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</si>
  <si>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</si>
  <si>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</si>
  <si>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</si>
  <si>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</si>
  <si>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</si>
  <si>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</si>
  <si>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</si>
  <si>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</si>
  <si>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</si>
  <si>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</si>
  <si>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</si>
  <si>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</si>
  <si>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</si>
  <si>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</si>
  <si>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</si>
  <si>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</si>
  <si>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</si>
  <si>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</si>
  <si>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</si>
  <si>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</si>
  <si>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</si>
  <si>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</si>
  <si>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</si>
  <si>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</si>
  <si>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</si>
  <si>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</si>
  <si>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</si>
  <si>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</si>
  <si>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</si>
  <si>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</si>
  <si>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</si>
  <si>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</si>
  <si>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</si>
  <si>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</si>
  <si>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</si>
  <si>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</si>
  <si>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</si>
  <si>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</si>
  <si>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</si>
  <si>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</si>
  <si>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</si>
  <si>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</si>
  <si>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</si>
  <si>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</si>
  <si>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</si>
  <si>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</si>
  <si>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</si>
  <si>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</si>
  <si>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</si>
  <si>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</si>
  <si>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</si>
  <si>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</si>
  <si>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</si>
  <si>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</si>
  <si>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</si>
  <si>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</si>
  <si>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</si>
  <si>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</si>
  <si>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</si>
  <si>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</si>
  <si>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</si>
  <si>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</si>
  <si>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</si>
  <si>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</si>
  <si>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</si>
  <si>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</si>
  <si>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</si>
  <si>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</si>
  <si>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</si>
  <si>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</si>
  <si>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</si>
  <si>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</si>
  <si>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</si>
  <si>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</si>
  <si>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</si>
  <si>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</si>
  <si>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</si>
  <si>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</si>
  <si>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</si>
  <si>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</si>
  <si>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</si>
  <si>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</si>
  <si>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</si>
  <si>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</si>
  <si>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</si>
  <si>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</si>
  <si>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</si>
  <si>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</si>
  <si>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</si>
  <si>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</si>
  <si>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</si>
  <si>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</si>
  <si>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</si>
  <si>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</si>
  <si>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</si>
  <si>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</si>
  <si>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</si>
  <si>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</si>
  <si>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</si>
  <si>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</si>
  <si>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</si>
  <si>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</si>
  <si>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</si>
  <si>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</si>
  <si>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</si>
  <si>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</si>
  <si>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</si>
  <si>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</si>
  <si>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</si>
  <si>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</si>
  <si>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</si>
  <si>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</si>
  <si>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</si>
  <si>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</si>
  <si>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</si>
  <si>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</si>
  <si>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</si>
  <si>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</si>
  <si>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</si>
  <si>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</si>
  <si>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</si>
  <si>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</si>
  <si>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</si>
  <si>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</si>
  <si>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</si>
  <si>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</si>
  <si>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</si>
  <si>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</si>
  <si>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</si>
  <si>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</si>
  <si>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</si>
  <si>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</si>
  <si>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</si>
  <si>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</si>
  <si>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</si>
  <si>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</si>
  <si>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</si>
  <si>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</si>
  <si>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</si>
  <si>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</si>
  <si>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</si>
  <si>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</si>
  <si>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</si>
  <si>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</si>
  <si>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</si>
  <si>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</si>
  <si>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</si>
  <si>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</si>
  <si>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</si>
  <si>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</si>
  <si>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</si>
  <si>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</si>
  <si>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</si>
  <si>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</si>
  <si>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</si>
  <si>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</si>
  <si>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</si>
  <si>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</si>
  <si>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</si>
  <si>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</si>
  <si>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</si>
  <si>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</si>
  <si>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</si>
  <si>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</si>
  <si>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</si>
  <si>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</si>
  <si>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</si>
  <si>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</si>
  <si>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</si>
  <si>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</si>
  <si>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</si>
  <si>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</si>
  <si>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</si>
  <si>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</si>
  <si>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</si>
  <si>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</si>
  <si>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</si>
  <si>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</si>
  <si>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</si>
  <si>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</si>
  <si>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</si>
  <si>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</si>
  <si>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</si>
  <si>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</si>
  <si>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</si>
  <si>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</si>
  <si>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</si>
  <si>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</si>
  <si>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</si>
  <si>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</si>
  <si>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</si>
  <si>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</si>
  <si>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</si>
  <si>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</si>
  <si>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</si>
  <si>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</si>
  <si>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</si>
  <si>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</si>
  <si>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</si>
  <si>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</si>
  <si>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</si>
  <si>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</si>
  <si>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</si>
  <si>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</si>
  <si>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</si>
  <si>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</si>
  <si>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</si>
  <si>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</si>
  <si>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</si>
  <si>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</si>
  <si>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</si>
  <si>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</si>
  <si>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</si>
  <si>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</si>
  <si>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</si>
  <si>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</si>
  <si>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</si>
  <si>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</si>
  <si>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</si>
  <si>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</si>
  <si>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</si>
  <si>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</si>
  <si>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</si>
  <si>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</si>
  <si>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</si>
  <si>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</si>
  <si>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</si>
  <si>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</si>
  <si>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</si>
  <si>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</si>
  <si>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</si>
  <si>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</si>
  <si>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</si>
  <si>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</si>
  <si>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</si>
  <si>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</si>
  <si>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</si>
  <si>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</si>
  <si>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</si>
  <si>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</si>
  <si>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</si>
  <si>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</si>
  <si>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</si>
  <si>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</si>
  <si>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</si>
  <si>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</si>
  <si>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</si>
  <si>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</si>
  <si>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</si>
  <si>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</si>
  <si>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</si>
  <si>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</si>
  <si>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</si>
  <si>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</si>
  <si>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</si>
  <si>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</si>
  <si>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</si>
  <si>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</si>
  <si>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</si>
  <si>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</si>
  <si>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</si>
  <si>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</si>
  <si>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</si>
  <si>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</si>
  <si>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</si>
  <si>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</si>
  <si>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</si>
  <si>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</si>
  <si>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</si>
  <si>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</si>
  <si>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</si>
  <si>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</si>
  <si>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</si>
  <si>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</si>
  <si>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</si>
  <si>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</si>
  <si>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</si>
  <si>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</si>
  <si>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</si>
  <si>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</si>
  <si>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</si>
  <si>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</si>
  <si>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</si>
  <si>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</si>
  <si>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</si>
  <si>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</si>
  <si>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</si>
  <si>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</si>
  <si>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</si>
  <si>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</si>
  <si>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</si>
  <si>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</si>
  <si>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</si>
  <si>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</si>
  <si>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</si>
  <si>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</si>
  <si>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</si>
  <si>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</si>
  <si>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</si>
  <si>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</si>
  <si>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</si>
  <si>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</si>
  <si>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</si>
  <si>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</si>
  <si>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</si>
  <si>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</si>
  <si>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</si>
  <si>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</si>
  <si>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</si>
  <si>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</si>
  <si>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</si>
  <si>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</si>
  <si>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</si>
  <si>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</si>
  <si>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</si>
  <si>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</si>
  <si>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</si>
  <si>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</si>
  <si>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</si>
  <si>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</si>
  <si>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</si>
  <si>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</si>
  <si>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</si>
  <si>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</si>
  <si>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</si>
  <si>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</si>
  <si>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</si>
  <si>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</si>
  <si>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</si>
  <si>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</si>
  <si>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</si>
  <si>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</si>
  <si>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</si>
  <si>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</si>
  <si>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</si>
  <si>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</si>
  <si>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</si>
  <si>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</si>
  <si>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</si>
  <si>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</si>
  <si>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</si>
  <si>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</si>
  <si>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</si>
  <si>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</si>
  <si>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</si>
  <si>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</si>
  <si>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</si>
  <si>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</si>
  <si>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</si>
  <si>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</si>
  <si>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</si>
  <si>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</si>
  <si>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</si>
  <si>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</si>
  <si>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</si>
  <si>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</si>
  <si>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</si>
  <si>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</si>
  <si>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</si>
  <si>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</si>
  <si>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</si>
  <si>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</si>
  <si>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</si>
  <si>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</si>
  <si>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</si>
  <si>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</si>
  <si>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</si>
  <si>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</si>
  <si>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</si>
  <si>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</si>
  <si>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</si>
  <si>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</si>
  <si>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</si>
  <si>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</si>
  <si>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</si>
  <si>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</si>
  <si>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</si>
  <si>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</si>
  <si>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</si>
  <si>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</si>
  <si>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</si>
  <si>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</si>
  <si>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</si>
  <si>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</si>
  <si>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</si>
  <si>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</si>
  <si>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</si>
  <si>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</si>
  <si>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</si>
  <si>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</si>
  <si>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</si>
  <si>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</si>
  <si>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</si>
  <si>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</si>
  <si>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</si>
  <si>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</si>
  <si>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</si>
  <si>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</si>
  <si>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</si>
  <si>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</si>
  <si>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</si>
  <si>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</si>
  <si>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</si>
  <si>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</si>
  <si>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</si>
  <si>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</si>
  <si>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</si>
  <si>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</si>
  <si>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</si>
  <si>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</si>
  <si>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</si>
  <si>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</si>
  <si>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</si>
  <si>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</si>
  <si>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</si>
  <si>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</si>
  <si>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</si>
  <si>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</si>
  <si>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</si>
  <si>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</si>
  <si>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</si>
  <si>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</si>
  <si>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</si>
  <si>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</si>
  <si>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</si>
  <si>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</si>
  <si>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</si>
  <si>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</si>
  <si>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</si>
  <si>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</si>
  <si>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</si>
  <si>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</si>
  <si>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</si>
  <si>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</si>
  <si>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</si>
  <si>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</si>
  <si>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</si>
  <si>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</si>
  <si>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</si>
  <si>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</si>
  <si>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</si>
  <si>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</si>
  <si>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</si>
  <si>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</si>
  <si>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</si>
  <si>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</si>
  <si>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</si>
  <si>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</si>
  <si>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</si>
  <si>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</si>
  <si>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</si>
  <si>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</si>
  <si>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</si>
  <si>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</si>
  <si>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</si>
  <si>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</si>
  <si>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</si>
  <si>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</si>
  <si>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</si>
  <si>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</si>
  <si>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</si>
  <si>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</si>
  <si>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</si>
  <si>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</si>
  <si>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</si>
  <si>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</si>
  <si>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</si>
  <si>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</si>
  <si>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</si>
  <si>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</si>
  <si>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</si>
  <si>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</si>
  <si>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</si>
  <si>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</si>
  <si>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</si>
  <si>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</si>
  <si>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</si>
  <si>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</si>
  <si>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</si>
  <si>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</si>
  <si>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</si>
  <si>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</si>
  <si>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</si>
  <si>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</si>
  <si>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</si>
  <si>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</si>
  <si>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</si>
  <si>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</si>
  <si>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</si>
  <si>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</si>
  <si>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</si>
  <si>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</si>
  <si>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</si>
  <si>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</si>
  <si>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</si>
  <si>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</si>
  <si>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</si>
  <si>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</si>
  <si>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</si>
  <si>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</si>
  <si>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</si>
  <si>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</si>
  <si>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</si>
  <si>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</si>
  <si>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</si>
  <si>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</si>
  <si>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</si>
  <si>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</si>
  <si>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</si>
  <si>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</si>
  <si>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</si>
  <si>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</si>
  <si>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</si>
  <si>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</si>
  <si>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</si>
  <si>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</si>
  <si>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</si>
  <si>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</si>
  <si>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</si>
  <si>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</si>
  <si>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</si>
  <si>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</si>
  <si>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</si>
  <si>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</si>
  <si>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</si>
  <si>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</si>
  <si>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</si>
  <si>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</si>
  <si>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</si>
  <si>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</si>
  <si>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</si>
  <si>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</si>
  <si>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</si>
  <si>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</si>
  <si>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</si>
  <si>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</si>
  <si>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</si>
  <si>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</si>
  <si>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</si>
  <si>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</si>
  <si>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</si>
  <si>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</si>
  <si>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</si>
  <si>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</si>
  <si>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</si>
  <si>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</si>
  <si>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</si>
  <si>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</si>
  <si>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</si>
  <si>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</si>
  <si>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</si>
  <si>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</si>
  <si>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</si>
  <si>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</si>
  <si>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</si>
  <si>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</si>
  <si>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</si>
  <si>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</si>
  <si>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</si>
  <si>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</si>
  <si>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</si>
  <si>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</si>
  <si>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</si>
  <si>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</si>
  <si>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</si>
  <si>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</si>
  <si>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</si>
  <si>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</si>
  <si>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</si>
  <si>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</si>
  <si>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</si>
  <si>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</si>
  <si>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</si>
  <si>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</si>
  <si>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</si>
  <si>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</si>
  <si>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</si>
  <si>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</si>
  <si>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</si>
  <si>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</si>
  <si>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</si>
  <si>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</si>
  <si>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</si>
  <si>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</si>
  <si>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</si>
  <si>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</si>
  <si>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</si>
  <si>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</si>
  <si>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</si>
  <si>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</si>
  <si>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</si>
  <si>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</si>
  <si>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</si>
  <si>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</si>
  <si>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</si>
  <si>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</si>
  <si>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</si>
  <si>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</si>
  <si>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</si>
  <si>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</si>
  <si>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</si>
  <si>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</si>
  <si>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</si>
  <si>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</si>
  <si>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</si>
  <si>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</si>
  <si>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</si>
  <si>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</si>
  <si>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</si>
  <si>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</si>
  <si>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</si>
  <si>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</si>
  <si>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</si>
  <si>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</si>
  <si>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</si>
  <si>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</si>
  <si>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</si>
  <si>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</si>
  <si>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</si>
  <si>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</si>
  <si>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</si>
  <si>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</si>
  <si>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</si>
  <si>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</si>
  <si>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</si>
  <si>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</si>
  <si>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</si>
  <si>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</si>
  <si>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</si>
  <si>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</si>
  <si>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</si>
  <si>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</si>
  <si>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</si>
  <si>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</si>
  <si>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</si>
  <si>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</si>
  <si>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</si>
  <si>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</si>
  <si>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</si>
  <si>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</si>
  <si>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</si>
  <si>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</si>
  <si>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</si>
  <si>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</si>
  <si>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</si>
  <si>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</si>
  <si>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</si>
  <si>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</si>
  <si>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</si>
  <si>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</si>
  <si>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</si>
  <si>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</si>
  <si>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</si>
  <si>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</si>
  <si>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</si>
  <si>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</si>
  <si>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</si>
  <si>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</si>
  <si>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</si>
  <si>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</si>
  <si>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</si>
  <si>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</si>
  <si>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</si>
  <si>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</si>
  <si>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</si>
  <si>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</si>
  <si>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</si>
  <si>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</si>
  <si>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</si>
  <si>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</si>
  <si>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</si>
  <si>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</si>
  <si>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</si>
  <si>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</si>
  <si>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</si>
  <si>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</si>
  <si>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</si>
  <si>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</si>
  <si>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</si>
  <si>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</si>
  <si>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</si>
  <si>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</si>
  <si>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</si>
  <si>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</si>
  <si>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</si>
  <si>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</si>
  <si>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</si>
  <si>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</si>
  <si>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</si>
  <si>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</si>
  <si>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</si>
  <si>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</si>
  <si>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</si>
  <si>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</si>
  <si>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</si>
  <si>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</si>
  <si>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</si>
  <si>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</si>
  <si>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</si>
  <si>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</si>
  <si>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</si>
  <si>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</si>
  <si>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</si>
  <si>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</si>
  <si>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</si>
  <si>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</si>
  <si>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</si>
  <si>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</si>
  <si>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</si>
  <si>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</si>
  <si>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</si>
  <si>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</si>
  <si>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</si>
  <si>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</si>
  <si>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</si>
  <si>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</si>
  <si>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</si>
  <si>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</si>
  <si>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</si>
  <si>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</si>
  <si>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</si>
  <si>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</si>
  <si>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</si>
  <si>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</si>
  <si>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</si>
  <si>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</si>
  <si>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</si>
  <si>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</si>
  <si>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</si>
  <si>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</si>
  <si>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</si>
  <si>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</si>
  <si>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</si>
  <si>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</si>
  <si>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</si>
  <si>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</si>
  <si>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</si>
  <si>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</si>
  <si>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</si>
  <si>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</si>
  <si>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</si>
  <si>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</si>
  <si>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</si>
  <si>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</si>
  <si>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</si>
  <si>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</si>
  <si>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</si>
  <si>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</si>
  <si>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</si>
  <si>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</si>
  <si>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</si>
  <si>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</si>
  <si>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</si>
  <si>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</si>
  <si>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</si>
  <si>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</si>
  <si>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</si>
  <si>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</si>
  <si>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</si>
  <si>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</si>
  <si>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</si>
  <si>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</si>
  <si>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</si>
  <si>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</si>
  <si>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</si>
  <si>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</si>
  <si>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</si>
  <si>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</si>
  <si>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</si>
  <si>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</si>
  <si>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</si>
  <si>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</si>
  <si>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</si>
  <si>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</si>
  <si>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</si>
  <si>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</si>
  <si>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</si>
  <si>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</si>
  <si>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</si>
  <si>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</si>
  <si>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</si>
  <si>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</si>
  <si>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</si>
  <si>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</si>
  <si>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</si>
  <si>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</si>
  <si>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</si>
  <si>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</si>
  <si>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</si>
  <si>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</si>
  <si>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</si>
  <si>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</si>
  <si>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</si>
  <si>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</si>
  <si>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</si>
  <si>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</si>
  <si>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</si>
  <si>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</si>
  <si>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</si>
  <si>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</si>
  <si>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</si>
  <si>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</si>
  <si>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</si>
  <si>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</si>
  <si>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</si>
  <si>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</si>
  <si>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</si>
  <si>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</si>
  <si>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</si>
  <si>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</si>
  <si>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</si>
  <si>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</si>
  <si>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</si>
  <si>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</si>
  <si>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</si>
  <si>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</si>
  <si>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</si>
  <si>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</si>
  <si>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</si>
  <si>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</si>
  <si>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</si>
  <si>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</si>
  <si>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</si>
  <si>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</si>
  <si>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</si>
  <si>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</si>
  <si>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</si>
  <si>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</si>
  <si>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</si>
  <si>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</si>
  <si>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</si>
  <si>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</si>
  <si>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</si>
  <si>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</si>
  <si>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</si>
  <si>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</si>
  <si>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</si>
  <si>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</si>
  <si>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</si>
  <si>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</si>
  <si>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</si>
  <si>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</si>
  <si>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</si>
  <si>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</si>
  <si>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</si>
  <si>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</si>
  <si>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</si>
  <si>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</si>
  <si>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</si>
  <si>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</si>
  <si>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</si>
  <si>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</si>
  <si>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</si>
  <si>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</si>
  <si>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</si>
  <si>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</si>
  <si>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</si>
  <si>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</si>
  <si>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</si>
  <si>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</si>
  <si>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</si>
  <si>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</si>
  <si>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</si>
  <si>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</si>
  <si>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</si>
  <si>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</si>
  <si>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</si>
  <si>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</si>
  <si>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</si>
  <si>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</si>
  <si>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</si>
  <si>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</si>
  <si>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</si>
  <si>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</si>
  <si>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</si>
  <si>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</si>
  <si>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</si>
  <si>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</si>
  <si>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</si>
  <si>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</si>
  <si>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</si>
  <si>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</si>
  <si>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</si>
  <si>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</si>
  <si>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</si>
  <si>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</si>
  <si>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</si>
  <si>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</si>
  <si>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</si>
  <si>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</si>
  <si>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</si>
  <si>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</si>
  <si>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</si>
  <si>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</si>
  <si>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</si>
  <si>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</si>
  <si>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</si>
  <si>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</si>
  <si>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</si>
  <si>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</si>
  <si>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</si>
  <si>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</si>
  <si>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</si>
  <si>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</si>
  <si>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</si>
  <si>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</si>
  <si>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</si>
  <si>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</si>
  <si>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</si>
  <si>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</si>
  <si>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</si>
  <si>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</si>
  <si>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</si>
  <si>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</si>
  <si>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</si>
  <si>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</si>
  <si>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</si>
  <si>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</si>
  <si>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</si>
  <si>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</si>
  <si>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</si>
  <si>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</si>
  <si>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</si>
  <si>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</si>
  <si>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</si>
  <si>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</si>
  <si>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</si>
  <si>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</si>
  <si>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</si>
  <si>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</si>
  <si>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</si>
  <si>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</si>
  <si>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</si>
  <si>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</si>
  <si>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</si>
  <si>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</si>
  <si>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</si>
  <si>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</si>
  <si>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</si>
  <si>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</si>
  <si>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</si>
  <si>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</si>
  <si>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</si>
  <si>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</si>
  <si>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</si>
  <si>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</si>
  <si>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</si>
  <si>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</si>
  <si>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</si>
  <si>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</si>
  <si>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</si>
  <si>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</si>
  <si>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</si>
  <si>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</si>
  <si>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</si>
  <si>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</si>
  <si>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</si>
  <si>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</si>
  <si>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</si>
  <si>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</si>
  <si>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</si>
  <si>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</si>
  <si>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</si>
  <si>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</si>
  <si>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</si>
  <si>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</si>
  <si>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</si>
  <si>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</si>
  <si>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</si>
  <si>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</si>
  <si>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</si>
  <si>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</si>
  <si>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</si>
  <si>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</si>
  <si>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</si>
  <si>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</si>
  <si>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</si>
  <si>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</si>
  <si>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</si>
  <si>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</si>
  <si>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</si>
  <si>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</si>
  <si>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</si>
  <si>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</si>
  <si>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</si>
  <si>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</si>
  <si>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</si>
  <si>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</si>
  <si>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</si>
  <si>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</si>
  <si>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</si>
  <si>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</si>
  <si>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</si>
  <si>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</si>
  <si>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</si>
  <si>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</si>
  <si>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</si>
  <si>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</si>
  <si>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</si>
  <si>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</si>
  <si>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</si>
  <si>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</si>
  <si>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</si>
  <si>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</si>
  <si>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</si>
  <si>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</si>
  <si>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</si>
  <si>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</si>
  <si>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</si>
  <si>
    <t>商业中心</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</si>
  <si>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</si>
  <si>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</si>
  <si>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</si>
  <si>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</si>
  <si>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</si>
  <si>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</si>
  <si>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</si>
  <si>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</si>
  <si>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</si>
  <si>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</si>
  <si>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</si>
  <si>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天合家园</t>
    <phoneticPr fontId="135" type="noConversion"/>
  </si>
  <si>
    <t>链家</t>
    <phoneticPr fontId="135" type="noConversion"/>
  </si>
  <si>
    <t>项目隔壁</t>
    <phoneticPr fontId="135" type="noConversion"/>
  </si>
  <si>
    <t>天合家园</t>
    <phoneticPr fontId="31" type="noConversion"/>
  </si>
  <si>
    <t>配套商业</t>
  </si>
  <si>
    <t>配套商业</t>
    <phoneticPr fontId="31" type="noConversion"/>
  </si>
  <si>
    <t>楼层修正</t>
    <phoneticPr fontId="31" type="noConversion"/>
  </si>
  <si>
    <t>通达度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</si>
</sst>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96" fillId="5" borderId="0" xfId="0" applyFon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3"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3"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181" fontId="95" fillId="11" borderId="0" xfId="0" applyNumberFormat="1" applyFont="1" applyFill="1" applyAlignment="1" applyProtection="1">
      <alignment vertical="center" wrapText="1"/>
      <protection locked="0"/>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1"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1334" t="s">
        <v>380</v>
      </c>
      <c r="C54" s="1332" t="s">
        <v>578</v>
      </c>
    </row>
    <row r="55" spans="1:4">
      <c r="A55" s="3041"/>
      <c r="B55" s="1334" t="s">
        <v>381</v>
      </c>
      <c r="C55" s="1332" t="s">
        <v>579</v>
      </c>
    </row>
    <row r="56" spans="1:4">
      <c r="A56" s="3041"/>
      <c r="B56" s="1334" t="s">
        <v>382</v>
      </c>
      <c r="C56" s="1332" t="s">
        <v>583</v>
      </c>
    </row>
    <row r="57" spans="1:4">
      <c r="A57" s="3041"/>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2" t="s">
        <v>2482</v>
      </c>
      <c r="J2" s="3042"/>
      <c r="K2" s="3042"/>
      <c r="L2" s="3042"/>
      <c r="M2" s="3042"/>
      <c r="N2" s="3042"/>
      <c r="O2" s="3042"/>
      <c r="P2" s="3042"/>
      <c r="Q2" s="3042"/>
      <c r="R2" s="3042"/>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3" t="str">
        <f>IF(B10="北京市","北京市",C10)&amp;F10&amp;IF(结果表!G1="在建","出让国有建设用地使用权及在建建筑物",IF(结果表!G1="土地","出让国有建设用地使用权",))&amp;B9&amp;"预评估"</f>
        <v>北京市预评估</v>
      </c>
      <c r="C1" s="3044"/>
      <c r="D1" s="3044"/>
      <c r="E1" s="3044"/>
      <c r="F1" s="3044"/>
      <c r="G1" s="3044"/>
      <c r="H1" s="3044"/>
      <c r="I1" s="3045"/>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46" t="s">
        <v>2079</v>
      </c>
      <c r="E8" s="2026"/>
      <c r="F8" s="2027"/>
      <c r="G8" s="2266"/>
      <c r="H8" s="2266"/>
      <c r="I8" s="2266"/>
      <c r="J8" s="2069"/>
      <c r="K8" s="2224"/>
      <c r="L8" s="2223"/>
      <c r="M8" s="2223"/>
      <c r="N8" s="2069"/>
      <c r="O8" s="1557"/>
      <c r="P8" s="2069"/>
      <c r="Q8" s="2069"/>
      <c r="R8" s="2069"/>
    </row>
    <row r="9" spans="1:30" ht="13.5" thickBot="1">
      <c r="A9" s="2028" t="s">
        <v>2080</v>
      </c>
      <c r="B9" s="2029"/>
      <c r="C9" s="2030"/>
      <c r="D9" s="3047"/>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3"/>
      <c r="C16" s="3054"/>
      <c r="D16" s="3055"/>
      <c r="E16" s="2046" t="s">
        <v>2096</v>
      </c>
      <c r="F16" s="3056"/>
      <c r="G16" s="3057"/>
      <c r="H16" s="3057"/>
      <c r="I16" s="3058"/>
      <c r="J16" s="2069"/>
      <c r="K16" s="2227"/>
      <c r="L16" s="1557"/>
      <c r="M16" s="1557"/>
      <c r="N16" s="2069"/>
      <c r="O16" s="1557"/>
      <c r="P16" s="2069"/>
      <c r="Q16" s="2069"/>
      <c r="R16" s="2069"/>
    </row>
    <row r="17" spans="1:28">
      <c r="A17" s="303" t="s">
        <v>2097</v>
      </c>
      <c r="B17" s="292" t="s">
        <v>2098</v>
      </c>
      <c r="C17" s="8">
        <f>'数据-汇总表'!E3</f>
        <v>495.26</v>
      </c>
      <c r="D17" s="1143" t="s">
        <v>2099</v>
      </c>
      <c r="E17" s="3059" t="s">
        <v>2100</v>
      </c>
      <c r="F17" s="3060"/>
      <c r="G17" s="3060"/>
      <c r="H17" s="3060"/>
      <c r="I17" s="3061"/>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2" t="s">
        <v>2104</v>
      </c>
      <c r="F18" s="3063"/>
      <c r="G18" s="3063"/>
      <c r="H18" s="3063"/>
      <c r="I18" s="3064"/>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49" t="s">
        <v>2108</v>
      </c>
      <c r="C20" s="3050"/>
      <c r="D20" s="3051" t="s">
        <v>2109</v>
      </c>
      <c r="E20" s="3052"/>
      <c r="F20" s="2254" t="s">
        <v>1050</v>
      </c>
      <c r="G20" s="2266"/>
      <c r="H20" s="2266"/>
      <c r="I20" s="2266"/>
      <c r="J20" s="2069"/>
      <c r="K20" s="3048"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48"/>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48"/>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66"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66"/>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66"/>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67"/>
      <c r="B30" s="292" t="s">
        <v>2120</v>
      </c>
      <c r="C30" s="3068"/>
      <c r="D30" s="3069"/>
      <c r="E30" s="2266"/>
      <c r="F30" s="2266"/>
      <c r="G30" s="2266"/>
      <c r="H30" s="2266"/>
      <c r="I30" s="2266"/>
      <c r="J30" s="2069"/>
      <c r="K30" s="2226"/>
      <c r="L30" s="2223"/>
      <c r="M30" s="2223"/>
      <c r="N30" s="2069"/>
      <c r="O30" s="1557"/>
      <c r="P30" s="2069"/>
      <c r="Q30" s="2069"/>
      <c r="R30" s="2069"/>
      <c r="S30" s="2069"/>
      <c r="T30" s="2069"/>
      <c r="U30" s="2069"/>
      <c r="V30" s="2069"/>
    </row>
    <row r="31" spans="1:28">
      <c r="A31" s="3070"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71"/>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71"/>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65" t="s">
        <v>2130</v>
      </c>
      <c r="T34" s="313" t="str">
        <f>NUMBERSTRING(7-K34,1)&amp;"通"</f>
        <v>七通</v>
      </c>
      <c r="U34" s="2069"/>
      <c r="V34" s="2069"/>
    </row>
    <row r="35" spans="1:30">
      <c r="A35" s="2060"/>
      <c r="B35" s="3065" t="s">
        <v>2131</v>
      </c>
      <c r="C35" s="3065"/>
      <c r="D35" s="3065"/>
      <c r="E35" s="3065"/>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65"/>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1" t="s">
        <v>1125</v>
      </c>
      <c r="B2" s="3081"/>
      <c r="C2" s="3081"/>
      <c r="D2" s="726" t="s">
        <v>1101</v>
      </c>
      <c r="E2" s="1410" t="s">
        <v>1102</v>
      </c>
      <c r="F2" s="2263"/>
      <c r="G2" s="2256"/>
      <c r="H2" s="2257"/>
      <c r="I2" s="1970" t="s">
        <v>1126</v>
      </c>
      <c r="J2" s="2263"/>
      <c r="K2" s="2263"/>
      <c r="L2" s="2263"/>
      <c r="M2" s="2263"/>
      <c r="N2" s="2264"/>
      <c r="O2" s="2263"/>
      <c r="P2" s="2263"/>
    </row>
    <row r="3" spans="1:16" ht="15.75" thickBot="1">
      <c r="A3" s="3082" t="s">
        <v>1099</v>
      </c>
      <c r="B3" s="3082"/>
      <c r="C3" s="3082"/>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3"/>
      <c r="B4" s="3084"/>
      <c r="C4" s="3085"/>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6" t="s">
        <v>1104</v>
      </c>
      <c r="C5" s="3086"/>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6" t="s">
        <v>1105</v>
      </c>
      <c r="C6" s="3086"/>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8"/>
      <c r="B7" s="3079"/>
      <c r="C7" s="3080"/>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5" t="s">
        <v>1129</v>
      </c>
      <c r="L16" s="3076"/>
      <c r="M16" s="3076"/>
      <c r="N16" s="3076"/>
      <c r="O16" s="3076"/>
      <c r="P16" s="3077"/>
    </row>
    <row r="17" spans="1:19" ht="15">
      <c r="A17" s="1420" t="s">
        <v>1130</v>
      </c>
      <c r="B17" s="1421" t="s">
        <v>1131</v>
      </c>
      <c r="C17" s="1422" t="s">
        <v>1132</v>
      </c>
      <c r="D17" s="1423" t="s">
        <v>1120</v>
      </c>
      <c r="E17" s="1424" t="s">
        <v>1121</v>
      </c>
      <c r="F17" s="1425"/>
      <c r="G17" s="1426"/>
      <c r="H17" s="1427" t="s">
        <v>1133</v>
      </c>
      <c r="I17" s="1428" t="s">
        <v>1118</v>
      </c>
      <c r="J17" s="984"/>
      <c r="K17" s="3072" t="s">
        <v>1134</v>
      </c>
      <c r="L17" s="3073"/>
      <c r="M17" s="3074"/>
      <c r="N17" s="3072" t="s">
        <v>1135</v>
      </c>
      <c r="O17" s="3073"/>
      <c r="P17" s="3074"/>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7" t="s">
        <v>2188</v>
      </c>
      <c r="B1" s="3088"/>
      <c r="C1" s="3088"/>
      <c r="D1" s="3088"/>
      <c r="E1" s="3088"/>
      <c r="F1" s="3088"/>
      <c r="G1" s="3088"/>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2777</v>
      </c>
      <c r="C10" s="2124" t="s">
        <v>3256</v>
      </c>
      <c r="D10" s="2124" t="s">
        <v>3257</v>
      </c>
      <c r="E10" s="2955">
        <f>'比较法-商业'!C48</f>
        <v>11.37</v>
      </c>
      <c r="F10" s="2959" t="s">
        <v>3258</v>
      </c>
      <c r="G10" s="2956">
        <v>6.5000000000000002E-2</v>
      </c>
      <c r="H10" s="2287"/>
      <c r="I10" s="2287"/>
      <c r="J10" s="2287"/>
      <c r="K10" s="2287"/>
    </row>
    <row r="11" spans="1:11" ht="16.5">
      <c r="A11" s="2124" t="s">
        <v>665</v>
      </c>
      <c r="B11" s="1135">
        <f>ROUND(E10*365/G10,0)</f>
        <v>63847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56" t="str">
        <f>项目基本情况!S2</f>
        <v>北京市房地产</v>
      </c>
      <c r="B2" s="3157"/>
      <c r="C2" s="3157"/>
      <c r="D2" s="3157"/>
      <c r="E2" s="3157"/>
      <c r="F2" s="3157"/>
      <c r="G2" s="3157"/>
      <c r="H2" s="3157"/>
      <c r="I2" s="3158"/>
    </row>
    <row r="3" spans="1:12" ht="12.75">
      <c r="A3" s="3160" t="s">
        <v>1256</v>
      </c>
      <c r="B3" s="3161"/>
      <c r="C3" s="3161"/>
      <c r="D3" s="3161"/>
      <c r="E3" s="3161"/>
      <c r="F3" s="3161"/>
      <c r="G3" s="3161"/>
      <c r="H3" s="3161"/>
      <c r="I3" s="3161"/>
    </row>
    <row r="4" spans="1:12" ht="14.25">
      <c r="A4" s="1511" t="s">
        <v>1257</v>
      </c>
      <c r="B4" s="1512" t="s">
        <v>1258</v>
      </c>
      <c r="C4" s="1513"/>
      <c r="D4" s="1513"/>
      <c r="E4" s="3165" t="s">
        <v>1259</v>
      </c>
      <c r="F4" s="3166"/>
      <c r="G4" s="3166"/>
      <c r="H4" s="3166"/>
      <c r="I4" s="3167"/>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4" t="s">
        <v>1260</v>
      </c>
      <c r="B5" s="3159">
        <v>25</v>
      </c>
      <c r="C5" s="3162"/>
      <c r="D5" s="3150"/>
      <c r="E5" s="122" t="s">
        <v>1261</v>
      </c>
      <c r="F5" s="1514"/>
      <c r="G5" s="1514"/>
      <c r="H5" s="1514"/>
      <c r="I5" s="1168"/>
    </row>
    <row r="6" spans="1:12" ht="12.75">
      <c r="A6" s="3104"/>
      <c r="B6" s="3159"/>
      <c r="C6" s="3164"/>
      <c r="D6" s="3150"/>
      <c r="E6" s="122" t="s">
        <v>1262</v>
      </c>
      <c r="F6" s="1514"/>
      <c r="G6" s="1514"/>
      <c r="H6" s="1514"/>
      <c r="I6" s="1168"/>
    </row>
    <row r="7" spans="1:12" ht="12.75">
      <c r="A7" s="3104"/>
      <c r="B7" s="3159"/>
      <c r="C7" s="3163"/>
      <c r="D7" s="3150"/>
      <c r="E7" s="122" t="s">
        <v>1263</v>
      </c>
      <c r="F7" s="1514"/>
      <c r="G7" s="1514"/>
      <c r="H7" s="1514"/>
      <c r="I7" s="1168"/>
    </row>
    <row r="8" spans="1:12" ht="12.75">
      <c r="A8" s="3104" t="s">
        <v>1264</v>
      </c>
      <c r="B8" s="3159">
        <v>15</v>
      </c>
      <c r="C8" s="3162"/>
      <c r="D8" s="3150"/>
      <c r="E8" s="122" t="s">
        <v>1265</v>
      </c>
      <c r="F8" s="1514"/>
      <c r="G8" s="1514"/>
      <c r="H8" s="1514"/>
      <c r="I8" s="1168"/>
    </row>
    <row r="9" spans="1:12" ht="12.75">
      <c r="A9" s="3104"/>
      <c r="B9" s="3159"/>
      <c r="C9" s="3163"/>
      <c r="D9" s="3150"/>
      <c r="E9" s="122" t="s">
        <v>1266</v>
      </c>
      <c r="F9" s="1514"/>
      <c r="G9" s="1514"/>
      <c r="H9" s="1514"/>
      <c r="I9" s="1168"/>
    </row>
    <row r="10" spans="1:12" ht="12.75">
      <c r="A10" s="3104" t="s">
        <v>1267</v>
      </c>
      <c r="B10" s="3159">
        <v>15</v>
      </c>
      <c r="C10" s="3162"/>
      <c r="D10" s="3150"/>
      <c r="E10" s="122" t="s">
        <v>1268</v>
      </c>
      <c r="F10" s="1514"/>
      <c r="G10" s="1514"/>
      <c r="H10" s="1514"/>
      <c r="I10" s="1168"/>
    </row>
    <row r="11" spans="1:12" ht="12.75">
      <c r="A11" s="3104"/>
      <c r="B11" s="3159"/>
      <c r="C11" s="3163"/>
      <c r="D11" s="3150"/>
      <c r="E11" s="122" t="s">
        <v>1269</v>
      </c>
      <c r="F11" s="1514"/>
      <c r="G11" s="1514"/>
      <c r="H11" s="1514"/>
      <c r="I11" s="1168"/>
    </row>
    <row r="12" spans="1:12" ht="12.75">
      <c r="A12" s="3104" t="s">
        <v>1270</v>
      </c>
      <c r="B12" s="3159">
        <v>15</v>
      </c>
      <c r="C12" s="3162"/>
      <c r="D12" s="3150"/>
      <c r="E12" s="122" t="s">
        <v>1271</v>
      </c>
      <c r="F12" s="1514"/>
      <c r="G12" s="1514"/>
      <c r="H12" s="1514"/>
      <c r="I12" s="1168"/>
    </row>
    <row r="13" spans="1:12" ht="12.75">
      <c r="A13" s="3104"/>
      <c r="B13" s="3159"/>
      <c r="C13" s="3163"/>
      <c r="D13" s="3150"/>
      <c r="E13" s="122" t="s">
        <v>1272</v>
      </c>
      <c r="F13" s="1514"/>
      <c r="G13" s="1514"/>
      <c r="H13" s="1514"/>
      <c r="I13" s="1168"/>
    </row>
    <row r="14" spans="1:12" ht="12.75">
      <c r="A14" s="3104" t="s">
        <v>1273</v>
      </c>
      <c r="B14" s="3159">
        <v>30</v>
      </c>
      <c r="C14" s="3162"/>
      <c r="D14" s="3150"/>
      <c r="E14" s="122" t="s">
        <v>1274</v>
      </c>
      <c r="F14" s="1514"/>
      <c r="G14" s="1514"/>
      <c r="H14" s="1514"/>
      <c r="I14" s="1168"/>
    </row>
    <row r="15" spans="1:12" ht="12.75">
      <c r="A15" s="3104"/>
      <c r="B15" s="3159"/>
      <c r="C15" s="3164"/>
      <c r="D15" s="3150"/>
      <c r="E15" s="122" t="s">
        <v>1275</v>
      </c>
      <c r="F15" s="1514"/>
      <c r="G15" s="1514"/>
      <c r="H15" s="1514"/>
      <c r="I15" s="1168"/>
    </row>
    <row r="16" spans="1:12" ht="12.75">
      <c r="A16" s="3104"/>
      <c r="B16" s="3159"/>
      <c r="C16" s="3163"/>
      <c r="D16" s="3150"/>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81" t="s">
        <v>2033</v>
      </c>
      <c r="F18" s="3182"/>
      <c r="G18" s="3182"/>
      <c r="H18" s="3182"/>
      <c r="I18" s="3182"/>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174" t="s">
        <v>1291</v>
      </c>
      <c r="B24" s="1518" t="s">
        <v>1283</v>
      </c>
      <c r="C24" s="127">
        <f>IF(B30=0,0,D30)</f>
        <v>0</v>
      </c>
      <c r="D24" s="1524"/>
      <c r="E24" s="120"/>
      <c r="F24" s="120"/>
      <c r="G24" s="120"/>
      <c r="H24" s="120"/>
      <c r="I24" s="120"/>
    </row>
    <row r="25" spans="1:36" ht="14.25">
      <c r="A25" s="3175"/>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51" t="s">
        <v>1304</v>
      </c>
      <c r="B36" s="1539" t="s">
        <v>1305</v>
      </c>
      <c r="C36" s="136"/>
      <c r="D36" s="1540"/>
      <c r="E36" s="1454"/>
      <c r="F36" s="1541"/>
      <c r="G36" s="120"/>
      <c r="H36" s="120"/>
      <c r="I36" s="120"/>
    </row>
    <row r="37" spans="1:15" ht="15.75" thickBot="1">
      <c r="A37" s="3152"/>
      <c r="B37" s="1442" t="s">
        <v>1306</v>
      </c>
      <c r="C37" s="138"/>
      <c r="D37" s="984"/>
      <c r="E37" s="984"/>
      <c r="F37" s="1541"/>
      <c r="G37" s="120"/>
      <c r="H37" s="120"/>
      <c r="I37" s="120"/>
    </row>
    <row r="38" spans="1:15" ht="15.75" thickBot="1">
      <c r="A38" s="3153"/>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171" t="s">
        <v>1318</v>
      </c>
      <c r="B45" s="3172"/>
      <c r="C45" s="3173"/>
      <c r="D45" s="146" t="e">
        <f ca="1">ROUND(H101*F45,0)</f>
        <v>#REF!</v>
      </c>
      <c r="E45" s="147" t="s">
        <v>1319</v>
      </c>
      <c r="F45" s="148">
        <v>1</v>
      </c>
      <c r="G45" s="149" t="s">
        <v>1320</v>
      </c>
      <c r="H45" s="120"/>
      <c r="I45" s="120"/>
      <c r="J45" s="3091" t="s">
        <v>1321</v>
      </c>
      <c r="K45" s="3091"/>
      <c r="L45" s="3091"/>
      <c r="M45" s="3091"/>
      <c r="N45" s="3091"/>
      <c r="O45" s="3091"/>
    </row>
    <row r="46" spans="1:15" ht="14.25" customHeight="1">
      <c r="A46" s="3168" t="s">
        <v>1322</v>
      </c>
      <c r="B46" s="3169"/>
      <c r="C46" s="3169"/>
      <c r="D46" s="3169"/>
      <c r="E46" s="3169"/>
      <c r="F46" s="3169"/>
      <c r="G46" s="3170"/>
      <c r="H46" s="1555"/>
      <c r="I46" s="150"/>
      <c r="J46" s="2134">
        <v>1</v>
      </c>
      <c r="K46" s="3092" t="s">
        <v>1323</v>
      </c>
      <c r="L46" s="3092"/>
      <c r="M46" s="3093"/>
      <c r="N46" s="3093"/>
      <c r="O46" s="3093"/>
    </row>
    <row r="47" spans="1:15" ht="12" customHeight="1">
      <c r="A47" s="151" t="s">
        <v>1324</v>
      </c>
      <c r="B47" s="152"/>
      <c r="C47" s="153"/>
      <c r="D47" s="937" t="s">
        <v>1325</v>
      </c>
      <c r="E47" s="292" t="s">
        <v>1326</v>
      </c>
      <c r="F47" s="154" t="s">
        <v>1327</v>
      </c>
      <c r="G47" s="2157" t="s">
        <v>1328</v>
      </c>
      <c r="H47" s="2158"/>
      <c r="I47" s="150"/>
      <c r="J47" s="2134">
        <v>2</v>
      </c>
      <c r="K47" s="3092" t="s">
        <v>1329</v>
      </c>
      <c r="L47" s="3092"/>
      <c r="M47" s="3094">
        <f>'数据-取费表'!B2</f>
        <v>46031</v>
      </c>
      <c r="N47" s="3094"/>
      <c r="O47" s="3094"/>
    </row>
    <row r="48" spans="1:15" ht="25.5">
      <c r="A48" s="3154" t="s">
        <v>1330</v>
      </c>
      <c r="B48" s="3155"/>
      <c r="C48" s="3155"/>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092" t="s">
        <v>1332</v>
      </c>
      <c r="L48" s="3092"/>
      <c r="M48" s="3095" t="e">
        <f ca="1">H101</f>
        <v>#REF!</v>
      </c>
      <c r="N48" s="3095"/>
      <c r="O48" s="3095"/>
    </row>
    <row r="49" spans="1:35" ht="25.5" customHeight="1">
      <c r="A49" s="1976" t="s">
        <v>1333</v>
      </c>
      <c r="B49" s="3140" t="s">
        <v>1334</v>
      </c>
      <c r="C49" s="3140"/>
      <c r="D49" s="1365">
        <v>0</v>
      </c>
      <c r="E49" s="314" t="s">
        <v>1335</v>
      </c>
      <c r="F49" s="2057" t="s">
        <v>23</v>
      </c>
      <c r="G49" s="3123"/>
      <c r="H49" s="1959" t="s">
        <v>2036</v>
      </c>
      <c r="I49" s="1960"/>
      <c r="J49" s="2134">
        <v>4</v>
      </c>
      <c r="K49" s="3092" t="str">
        <f>IF(项目基本情况!E8="房地产抵押价值","房地产抵押价值","抵押担保权已注销时的房地产抵押价值")</f>
        <v>抵押担保权已注销时的房地产抵押价值</v>
      </c>
      <c r="L49" s="3092"/>
      <c r="M49" s="3095" t="str">
        <f>IF(项目基本情况!E8="房地产抵押价值",H107,H109)</f>
        <v>——</v>
      </c>
      <c r="N49" s="3095"/>
      <c r="O49" s="3095"/>
    </row>
    <row r="50" spans="1:35" ht="25.5" customHeight="1">
      <c r="A50" s="2162"/>
      <c r="B50" s="3140" t="s">
        <v>1336</v>
      </c>
      <c r="C50" s="3140"/>
      <c r="D50" s="2013"/>
      <c r="E50" s="321"/>
      <c r="F50" s="2057"/>
      <c r="G50" s="3124"/>
      <c r="H50" s="1961" t="s">
        <v>2037</v>
      </c>
      <c r="I50" s="1960"/>
      <c r="J50" s="3091" t="s">
        <v>1337</v>
      </c>
      <c r="K50" s="3091"/>
      <c r="L50" s="3091"/>
      <c r="M50" s="3091"/>
      <c r="N50" s="3091"/>
      <c r="O50" s="3091"/>
    </row>
    <row r="51" spans="1:35" ht="20.45" customHeight="1">
      <c r="A51" s="2163"/>
      <c r="B51" s="3140" t="s">
        <v>1338</v>
      </c>
      <c r="C51" s="3140"/>
      <c r="D51" s="937"/>
      <c r="E51" s="317"/>
      <c r="F51" s="2057"/>
      <c r="G51" s="3125"/>
      <c r="H51" s="1961" t="s">
        <v>2038</v>
      </c>
      <c r="I51" s="1960"/>
      <c r="J51" s="2135" t="s">
        <v>1339</v>
      </c>
      <c r="K51" s="3092" t="s">
        <v>1340</v>
      </c>
      <c r="L51" s="3092"/>
      <c r="M51" s="2135" t="s">
        <v>1341</v>
      </c>
      <c r="N51" s="2135" t="s">
        <v>1342</v>
      </c>
      <c r="O51" s="2135" t="s">
        <v>1343</v>
      </c>
    </row>
    <row r="52" spans="1:35" ht="24" customHeight="1">
      <c r="A52" s="1977" t="s">
        <v>1344</v>
      </c>
      <c r="B52" s="3140" t="s">
        <v>1345</v>
      </c>
      <c r="C52" s="3140"/>
      <c r="D52" s="937" t="e">
        <f ca="1">ROUND(D45*'数据-取费表'!B41/(1+'数据-取费表'!C42),0)</f>
        <v>#REF!</v>
      </c>
      <c r="E52" s="1143" t="s">
        <v>1346</v>
      </c>
      <c r="F52" s="2164">
        <f>'数据-取费表'!B41</f>
        <v>0</v>
      </c>
      <c r="G52" s="2165"/>
      <c r="H52" s="2155"/>
      <c r="I52" s="1556"/>
      <c r="J52" s="2134">
        <v>1</v>
      </c>
      <c r="K52" s="3117" t="s">
        <v>1347</v>
      </c>
      <c r="L52" s="3117"/>
      <c r="M52" s="2136" t="b">
        <f>D48</f>
        <v>0</v>
      </c>
      <c r="N52" s="2134" t="str">
        <f>E48</f>
        <v>销售额×税（费）率</v>
      </c>
      <c r="O52" s="2137">
        <f>F48</f>
        <v>0</v>
      </c>
    </row>
    <row r="53" spans="1:35" ht="12" customHeight="1">
      <c r="A53" s="1977" t="s">
        <v>1348</v>
      </c>
      <c r="B53" s="3141" t="s">
        <v>2193</v>
      </c>
      <c r="C53" s="3142"/>
      <c r="D53" s="937" t="e">
        <f ca="1">ROUND(D45*'数据-取费表'!B41/(1+'数据-取费表'!C42),0)</f>
        <v>#REF!</v>
      </c>
      <c r="E53" s="1143" t="s">
        <v>1346</v>
      </c>
      <c r="F53" s="2164">
        <f>'数据-取费表'!B41</f>
        <v>0</v>
      </c>
      <c r="G53" s="2165"/>
      <c r="H53" s="2155"/>
      <c r="I53" s="1556"/>
      <c r="J53" s="2134">
        <v>2</v>
      </c>
      <c r="K53" s="3117" t="s">
        <v>1349</v>
      </c>
      <c r="L53" s="3117"/>
      <c r="M53" s="2136" t="e">
        <f t="shared" ref="M53:O54" ca="1" si="0">D55</f>
        <v>#REF!</v>
      </c>
      <c r="N53" s="2134" t="str">
        <f t="shared" si="0"/>
        <v>销售额×税（费）率</v>
      </c>
      <c r="O53" s="2137" t="str">
        <f t="shared" si="0"/>
        <v>免征</v>
      </c>
    </row>
    <row r="54" spans="1:35" ht="12" customHeight="1">
      <c r="A54" s="1977" t="s">
        <v>1350</v>
      </c>
      <c r="B54" s="3141" t="s">
        <v>2194</v>
      </c>
      <c r="C54" s="3142"/>
      <c r="D54" s="937" t="e">
        <f ca="1">C68</f>
        <v>#REF!</v>
      </c>
      <c r="E54" s="317" t="s">
        <v>1351</v>
      </c>
      <c r="F54" s="2164">
        <f>'数据-取费表'!B41</f>
        <v>0</v>
      </c>
      <c r="G54" s="2165"/>
      <c r="H54" s="2166"/>
      <c r="I54" s="1556"/>
      <c r="J54" s="2134">
        <v>3</v>
      </c>
      <c r="K54" s="3117" t="s">
        <v>1352</v>
      </c>
      <c r="L54" s="3117"/>
      <c r="M54" s="2136" t="e">
        <f t="shared" ca="1" si="0"/>
        <v>#REF!</v>
      </c>
      <c r="N54" s="2134" t="str">
        <f t="shared" si="0"/>
        <v>增值额×税（费）率</v>
      </c>
      <c r="O54" s="2138" t="str">
        <f t="shared" si="0"/>
        <v>免征</v>
      </c>
    </row>
    <row r="55" spans="1:35" ht="24" customHeight="1">
      <c r="A55" s="3177" t="s">
        <v>1353</v>
      </c>
      <c r="B55" s="3155"/>
      <c r="C55" s="3155"/>
      <c r="D55" s="12" t="e">
        <f ca="1">IF(H55="个人住宅",0,ROUND(D45*I55,0))</f>
        <v>#REF!</v>
      </c>
      <c r="E55" s="1143" t="s">
        <v>1354</v>
      </c>
      <c r="F55" s="2164" t="str">
        <f>IF(H55="正常",I55,"免征")</f>
        <v>免征</v>
      </c>
      <c r="G55" s="2165"/>
      <c r="H55" s="2161"/>
      <c r="I55" s="156">
        <f>'数据-取费表'!B49</f>
        <v>0</v>
      </c>
      <c r="J55" s="2134">
        <f>IF(H59="非个人房产","",4)</f>
        <v>4</v>
      </c>
      <c r="K55" s="3117" t="str">
        <f>IF(H59="非个人房产","——","个人所得税")</f>
        <v>个人所得税</v>
      </c>
      <c r="L55" s="3117"/>
      <c r="M55" s="2139" t="e">
        <f ca="1">D59</f>
        <v>#REF!</v>
      </c>
      <c r="N55" s="1713" t="str">
        <f>E59</f>
        <v>差额计税</v>
      </c>
      <c r="O55" s="2140">
        <f>F59</f>
        <v>0.01</v>
      </c>
    </row>
    <row r="56" spans="1:35" ht="24.75">
      <c r="A56" s="3177" t="s">
        <v>1355</v>
      </c>
      <c r="B56" s="3155"/>
      <c r="C56" s="3155"/>
      <c r="D56" s="12" t="e">
        <f ca="1">IF(H56="个人住宅",D57,D58)</f>
        <v>#REF!</v>
      </c>
      <c r="E56" s="1143" t="s">
        <v>1356</v>
      </c>
      <c r="F56" s="2164" t="str">
        <f>IF(H56="正常",F58,"免征")</f>
        <v>免征</v>
      </c>
      <c r="G56" s="2167" t="s">
        <v>1357</v>
      </c>
      <c r="H56" s="2168"/>
      <c r="I56" s="1557"/>
      <c r="J56" s="2134" t="str">
        <f>IF(项目基本情况!K6="上海银行",IF(J55="",4,J55+1),"")</f>
        <v/>
      </c>
      <c r="K56" s="3098" t="str">
        <f>IF(项目基本情况!K6="上海银行","其他处置费用","")</f>
        <v/>
      </c>
      <c r="L56" s="3099"/>
      <c r="M56" s="2136" t="str">
        <f>IF(项目基本情况!K6="上海银行",M69,"")</f>
        <v/>
      </c>
      <c r="N56" s="3098" t="str">
        <f>IF(项目基本情况!K6="上海银行","包含处置中涉及的律师、诉讼、拍卖、评估等费用","")</f>
        <v/>
      </c>
      <c r="O56" s="3101"/>
    </row>
    <row r="57" spans="1:35" ht="12.75">
      <c r="A57" s="1977" t="s">
        <v>1333</v>
      </c>
      <c r="B57" s="3141" t="s">
        <v>1358</v>
      </c>
      <c r="C57" s="3142"/>
      <c r="D57" s="1365">
        <v>0</v>
      </c>
      <c r="E57" s="314" t="s">
        <v>1335</v>
      </c>
      <c r="F57" s="292"/>
      <c r="G57" s="2165"/>
      <c r="H57" s="2169"/>
      <c r="I57" s="1557"/>
      <c r="J57" s="3117">
        <f>IF(AND(J55="",J56=""),4,IF(项目基本情况!K6="上海银行",结果表!J56+1,结果表!J55+1))</f>
        <v>5</v>
      </c>
      <c r="K57" s="3117" t="s">
        <v>1359</v>
      </c>
      <c r="L57" s="2141" t="s">
        <v>1360</v>
      </c>
      <c r="M57" s="2142"/>
      <c r="N57" s="2143">
        <f ca="1">SUMIF(M52:M56,"&lt;9e307")</f>
        <v>0</v>
      </c>
      <c r="O57" s="2144"/>
      <c r="P57" s="2289" t="e">
        <f ca="1">N57/M49</f>
        <v>#VALUE!</v>
      </c>
    </row>
    <row r="58" spans="1:35" ht="24.75">
      <c r="A58" s="1977" t="s">
        <v>1344</v>
      </c>
      <c r="B58" s="3141" t="s">
        <v>1361</v>
      </c>
      <c r="C58" s="3140"/>
      <c r="D58" s="12" t="e">
        <f ca="1">IF(H58="转让取得",C81,C97)</f>
        <v>#REF!</v>
      </c>
      <c r="E58" s="1143" t="s">
        <v>1356</v>
      </c>
      <c r="F58" s="292" t="s">
        <v>23</v>
      </c>
      <c r="G58" s="2165"/>
      <c r="H58" s="2168"/>
      <c r="I58" s="1557"/>
      <c r="J58" s="3117"/>
      <c r="K58" s="3117"/>
      <c r="L58" s="2141" t="s">
        <v>1362</v>
      </c>
      <c r="M58" s="2145"/>
      <c r="N58" s="2146" t="str">
        <f ca="1">NUMBERSTRING(INT(N57*10000),2)&amp;"元整"</f>
        <v>零元整</v>
      </c>
      <c r="O58" s="2147"/>
    </row>
    <row r="59" spans="1:35" ht="24.75" thickBot="1">
      <c r="A59" s="3121" t="s">
        <v>1363</v>
      </c>
      <c r="B59" s="3122"/>
      <c r="C59" s="3122"/>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19">
        <f>J57+1</f>
        <v>6</v>
      </c>
      <c r="K59" s="3117" t="s">
        <v>1364</v>
      </c>
      <c r="L59" s="2134" t="s">
        <v>1360</v>
      </c>
      <c r="M59" s="2148"/>
      <c r="N59" s="2149" t="e">
        <f ca="1">M49-N57</f>
        <v>#VALUE!</v>
      </c>
      <c r="O59" s="2150"/>
    </row>
    <row r="60" spans="1:35" ht="12" customHeight="1">
      <c r="A60" s="1558"/>
      <c r="B60" s="626"/>
      <c r="C60" s="626"/>
      <c r="D60" s="626"/>
      <c r="E60" s="1353"/>
      <c r="F60" s="1557"/>
      <c r="G60" s="1557"/>
      <c r="H60" s="150"/>
      <c r="I60" s="120"/>
      <c r="J60" s="3120"/>
      <c r="K60" s="3117"/>
      <c r="L60" s="2141" t="s">
        <v>1362</v>
      </c>
      <c r="M60" s="2145"/>
      <c r="N60" s="2146" t="e">
        <f ca="1">NUMBERSTRING(INT(N59*10000),2)&amp;"元整"</f>
        <v>#VALUE!</v>
      </c>
      <c r="O60" s="2147"/>
    </row>
    <row r="61" spans="1:35" ht="13.5" thickBot="1">
      <c r="A61" s="3176" t="s">
        <v>1365</v>
      </c>
      <c r="B61" s="3176"/>
      <c r="C61" s="3176"/>
      <c r="D61" s="3176"/>
      <c r="E61" s="3176"/>
      <c r="F61" s="1557"/>
      <c r="G61" s="1557"/>
      <c r="H61" s="150"/>
      <c r="I61" s="120"/>
      <c r="J61" s="2134">
        <f>J59+1</f>
        <v>7</v>
      </c>
      <c r="K61" s="3117" t="s">
        <v>1366</v>
      </c>
      <c r="L61" s="3117"/>
      <c r="M61" s="2151"/>
      <c r="N61" s="2152" t="e">
        <f ca="1">ROUND(N59*10000/'数据-汇总表'!E3,0)</f>
        <v>#VALUE!</v>
      </c>
      <c r="O61" s="2153"/>
    </row>
    <row r="62" spans="1:35" ht="12.75">
      <c r="A62" s="3136" t="s">
        <v>1367</v>
      </c>
      <c r="B62" s="3137"/>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00"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00"/>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00"/>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00"/>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00"/>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00"/>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00"/>
      <c r="K69" s="1136" t="s">
        <v>1385</v>
      </c>
      <c r="L69" s="1136"/>
      <c r="M69" s="292" t="e">
        <f>ROUND(SUM(M63:M68),0)</f>
        <v>#VALUE!</v>
      </c>
      <c r="N69" s="2156" t="e">
        <f>M69/M49</f>
        <v>#VALUE!</v>
      </c>
      <c r="Z69" s="1510"/>
      <c r="AI69" s="1448"/>
    </row>
    <row r="70" spans="1:35" s="622" customFormat="1" ht="15" thickBot="1">
      <c r="A70" s="3144" t="s">
        <v>1386</v>
      </c>
      <c r="B70" s="3145"/>
      <c r="C70" s="3145"/>
      <c r="D70" s="3145"/>
      <c r="E70" s="3145"/>
      <c r="F70" s="3145"/>
      <c r="G70" s="3145"/>
      <c r="H70" s="3145"/>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36" t="s">
        <v>1367</v>
      </c>
      <c r="B71" s="3137"/>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41" t="s">
        <v>1394</v>
      </c>
      <c r="F76" s="3140"/>
      <c r="G76" s="3140"/>
      <c r="H76" s="3143"/>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33" t="s">
        <v>1398</v>
      </c>
      <c r="F78" s="3134"/>
      <c r="G78" s="3134"/>
      <c r="H78" s="3135"/>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4" t="s">
        <v>1402</v>
      </c>
      <c r="B83" s="3145"/>
      <c r="C83" s="3145"/>
      <c r="D83" s="3145"/>
      <c r="E83" s="3145"/>
      <c r="F83" s="3145"/>
      <c r="G83" s="3145"/>
      <c r="H83" s="3145"/>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36" t="s">
        <v>1367</v>
      </c>
      <c r="B84" s="3137"/>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02" t="s">
        <v>2031</v>
      </c>
      <c r="H90" s="3103"/>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33" t="s">
        <v>1411</v>
      </c>
      <c r="F91" s="3134"/>
      <c r="G91" s="3134"/>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33" t="s">
        <v>1414</v>
      </c>
      <c r="F92" s="3134"/>
      <c r="G92" s="3134"/>
      <c r="H92" s="3135"/>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33" t="s">
        <v>1398</v>
      </c>
      <c r="F93" s="3134"/>
      <c r="G93" s="3134"/>
      <c r="H93" s="3135"/>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78" t="s">
        <v>1418</v>
      </c>
      <c r="F94" s="3179"/>
      <c r="G94" s="3179"/>
      <c r="H94" s="3180"/>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3" t="s">
        <v>1420</v>
      </c>
      <c r="B100" s="3084"/>
      <c r="C100" s="3084"/>
      <c r="D100" s="3118"/>
      <c r="E100" s="3084" t="s">
        <v>1421</v>
      </c>
      <c r="F100" s="3084"/>
      <c r="G100" s="3084"/>
      <c r="H100" s="3118"/>
      <c r="I100" s="120"/>
    </row>
    <row r="101" spans="1:35" ht="18.75" customHeight="1">
      <c r="A101" s="3126" t="s">
        <v>1422</v>
      </c>
      <c r="B101" s="3127"/>
      <c r="C101" s="2195">
        <f>C4</f>
        <v>0</v>
      </c>
      <c r="D101" s="2196">
        <f>D4</f>
        <v>0</v>
      </c>
      <c r="E101" s="3096" t="s">
        <v>1423</v>
      </c>
      <c r="F101" s="3097"/>
      <c r="G101" s="1574" t="s">
        <v>1424</v>
      </c>
      <c r="H101" s="2205" t="e">
        <f ca="1">H118</f>
        <v>#REF!</v>
      </c>
      <c r="I101" s="120"/>
    </row>
    <row r="102" spans="1:35" ht="18.75" customHeight="1">
      <c r="A102" s="3128" t="s">
        <v>1425</v>
      </c>
      <c r="B102" s="2194" t="s">
        <v>1424</v>
      </c>
      <c r="C102" s="2195" t="e">
        <f ca="1">IF(D32="楼面单价",ROUND(C19,0),C19)</f>
        <v>#REF!</v>
      </c>
      <c r="D102" s="2196" t="e">
        <f ca="1">IF(D32="楼面单价",ROUND(D19,0),D19)</f>
        <v>#REF!</v>
      </c>
      <c r="E102" s="3096"/>
      <c r="F102" s="3097"/>
      <c r="G102" s="1574" t="s">
        <v>1426</v>
      </c>
      <c r="H102" s="2165" t="e">
        <f ca="1">I118</f>
        <v>#REF!</v>
      </c>
      <c r="I102" s="120"/>
    </row>
    <row r="103" spans="1:35" ht="42.75" customHeight="1">
      <c r="A103" s="3128"/>
      <c r="B103" s="2194" t="s">
        <v>1426</v>
      </c>
      <c r="C103" s="2197" t="e">
        <f ca="1">C20</f>
        <v>#REF!</v>
      </c>
      <c r="D103" s="2198" t="e">
        <f ca="1">D20</f>
        <v>#REF!</v>
      </c>
      <c r="E103" s="3089" t="s">
        <v>1427</v>
      </c>
      <c r="F103" s="3090"/>
      <c r="G103" s="1575" t="s">
        <v>1428</v>
      </c>
      <c r="H103" s="2205">
        <f>IF(D36="正常操作",H104+H105+H106,H105+H106)</f>
        <v>0</v>
      </c>
      <c r="I103" s="120"/>
    </row>
    <row r="104" spans="1:35" ht="18.75" customHeight="1">
      <c r="A104" s="3128"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8"/>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9" t="str">
        <f>IF(项目基本情况!E8="已注销","——","3.房地产抵押价值")</f>
        <v>3.房地产抵押价值</v>
      </c>
      <c r="F107" s="3097"/>
      <c r="G107" s="1574" t="s">
        <v>1424</v>
      </c>
      <c r="H107" s="2205" t="e">
        <f ca="1">IF(E107="——","——",H101-H103)</f>
        <v>#REF!</v>
      </c>
      <c r="I107" s="120"/>
    </row>
    <row r="108" spans="1:35" ht="18.75" customHeight="1">
      <c r="A108" s="120"/>
      <c r="B108" s="120"/>
      <c r="C108" s="120"/>
      <c r="D108" s="120"/>
      <c r="E108" s="3129"/>
      <c r="F108" s="3097"/>
      <c r="G108" s="1574" t="s">
        <v>1426</v>
      </c>
      <c r="H108" s="2165">
        <f ca="1">IF(H107=H101,H102,ROUND(H107*10000/'数据-汇总表'!E3,0))</f>
        <v>0</v>
      </c>
      <c r="I108" s="120"/>
    </row>
    <row r="109" spans="1:35" ht="18.75" customHeight="1">
      <c r="A109" s="120"/>
      <c r="B109" s="120"/>
      <c r="C109" s="120"/>
      <c r="D109" s="120"/>
      <c r="E109" s="3129" t="str">
        <f>IF(项目基本情况!E8="已注销及未注销","4.抵押担保权已注销时的房地产抵押价值",IF(项目基本情况!E8="已注销","3.抵押担保权已注销时的房地产抵押价值","——"))</f>
        <v>——</v>
      </c>
      <c r="F109" s="3097"/>
      <c r="G109" s="1574" t="s">
        <v>1424</v>
      </c>
      <c r="H109" s="2208" t="str">
        <f>IF(E109="——","——",H101-H105-H106)</f>
        <v>——</v>
      </c>
      <c r="I109" s="120"/>
    </row>
    <row r="110" spans="1:35" ht="18.75" customHeight="1">
      <c r="A110" s="120"/>
      <c r="B110" s="120"/>
      <c r="C110" s="120"/>
      <c r="D110" s="120"/>
      <c r="E110" s="3129"/>
      <c r="F110" s="3097"/>
      <c r="G110" s="1574" t="s">
        <v>1426</v>
      </c>
      <c r="H110" s="2165" t="str">
        <f>IF(H109="——","——",ROUND(H109*10000/'数据-汇总表'!E3,0))</f>
        <v>——</v>
      </c>
      <c r="I110" s="120"/>
    </row>
    <row r="111" spans="1:35" ht="18.75" customHeight="1">
      <c r="A111" s="120"/>
      <c r="B111" s="120"/>
      <c r="C111" s="120"/>
      <c r="D111" s="120"/>
      <c r="E111" s="3130" t="str">
        <f>IF(项目基本情况!E9="抵押净值",IF(OR(项目基本情况!E8="已注销",项目基本情况!E8="房地产抵押价值"),"4.抵押净值","5.抵押净值"),"——")</f>
        <v>——</v>
      </c>
      <c r="F111" s="3116"/>
      <c r="G111" s="1574" t="s">
        <v>1424</v>
      </c>
      <c r="H111" s="2205" t="str">
        <f>IF(E111="——","——",N59)</f>
        <v>——</v>
      </c>
      <c r="I111" s="120"/>
    </row>
    <row r="112" spans="1:35" ht="18.75" customHeight="1" thickBot="1">
      <c r="A112" s="120"/>
      <c r="B112" s="120"/>
      <c r="C112" s="120"/>
      <c r="D112" s="120"/>
      <c r="E112" s="3131"/>
      <c r="F112" s="3132"/>
      <c r="G112" s="1577" t="s">
        <v>1426</v>
      </c>
      <c r="H112" s="2209" t="str">
        <f>IF(E111="——","——",N61)</f>
        <v>——</v>
      </c>
      <c r="I112" s="120"/>
    </row>
    <row r="113" spans="1:27" ht="18.75" customHeight="1">
      <c r="A113" s="120"/>
      <c r="B113" s="120"/>
      <c r="C113" s="120"/>
      <c r="D113" s="120"/>
      <c r="E113" s="3139" t="s">
        <v>1432</v>
      </c>
      <c r="F113" s="3139"/>
      <c r="G113" s="3139"/>
      <c r="H113" s="3139"/>
      <c r="I113" s="120"/>
    </row>
    <row r="114" spans="1:27" ht="3.75" customHeight="1">
      <c r="A114" s="626"/>
      <c r="B114" s="626"/>
      <c r="C114" s="626"/>
      <c r="D114" s="626"/>
      <c r="E114" s="1558"/>
      <c r="F114" s="1558"/>
      <c r="G114" s="1558"/>
      <c r="H114" s="1558"/>
      <c r="I114" s="626"/>
    </row>
    <row r="115" spans="1:27" ht="18.75" customHeight="1">
      <c r="A115" s="3147" t="s">
        <v>1434</v>
      </c>
      <c r="B115" s="3148"/>
      <c r="C115" s="3148"/>
      <c r="D115" s="3148"/>
      <c r="E115" s="3148"/>
      <c r="F115" s="3148"/>
      <c r="G115" s="3148"/>
      <c r="H115" s="3148"/>
      <c r="I115" s="3149"/>
    </row>
    <row r="116" spans="1:27" ht="27" customHeight="1">
      <c r="A116" s="3104" t="s">
        <v>1435</v>
      </c>
      <c r="B116" s="3108" t="s">
        <v>1436</v>
      </c>
      <c r="C116" s="3108" t="s">
        <v>1437</v>
      </c>
      <c r="D116" s="3114" t="s">
        <v>1438</v>
      </c>
      <c r="E116" s="3115"/>
      <c r="F116" s="3146" t="s">
        <v>1439</v>
      </c>
      <c r="G116" s="3146"/>
      <c r="H116" s="3104" t="s">
        <v>1440</v>
      </c>
      <c r="I116" s="3104"/>
    </row>
    <row r="117" spans="1:27" ht="18.75" customHeight="1">
      <c r="A117" s="3104"/>
      <c r="B117" s="3109"/>
      <c r="C117" s="3109"/>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4" t="s">
        <v>1444</v>
      </c>
      <c r="B119" s="3104"/>
      <c r="C119" s="3104"/>
      <c r="D119" s="3110" t="e">
        <f ca="1">NUMBERSTRING(INT(D118*10000),2)&amp;"元整"</f>
        <v>#REF!</v>
      </c>
      <c r="E119" s="3111"/>
      <c r="F119" s="3110" t="e">
        <f ca="1">NUMBERSTRING(INT(F118*10000),2)&amp;"元整"</f>
        <v>#REF!</v>
      </c>
      <c r="G119" s="3111"/>
      <c r="H119" s="3110" t="e">
        <f ca="1">NUMBERSTRING(INT(H118*10000),2)&amp;"元整"</f>
        <v>#REF!</v>
      </c>
      <c r="I119" s="3111"/>
    </row>
    <row r="120" spans="1:27" ht="18.75" customHeight="1">
      <c r="A120" s="3105" t="str">
        <f>IF(项目基本情况!B9="房地产市场价值","",MID(E103,3,LEN(E103)-2))</f>
        <v>估价师知悉的法定优先受偿款</v>
      </c>
      <c r="B120" s="3106"/>
      <c r="C120" s="3107"/>
      <c r="D120" s="3105">
        <f>H103</f>
        <v>0</v>
      </c>
      <c r="E120" s="3106"/>
      <c r="F120" s="3106"/>
      <c r="G120" s="3106"/>
      <c r="H120" s="3106"/>
      <c r="I120" s="3107"/>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10" t="s">
        <v>1444</v>
      </c>
      <c r="B121" s="3112"/>
      <c r="C121" s="3111"/>
      <c r="D121" s="3110" t="str">
        <f>IF(D120=0,"零元整",NUMBERSTRING(INT(D120*10000),2)&amp;"元整")</f>
        <v>零元整</v>
      </c>
      <c r="E121" s="3112"/>
      <c r="F121" s="3112"/>
      <c r="G121" s="3112"/>
      <c r="H121" s="3112"/>
      <c r="I121" s="3111"/>
      <c r="AA121" s="664"/>
    </row>
    <row r="122" spans="1:27" ht="18.75" customHeight="1">
      <c r="A122" s="3116" t="str">
        <f>IF(项目基本情况!B9="房地产市场价值","",MID(E107,3,LEN(E107)-2))</f>
        <v>房地产抵押价值</v>
      </c>
      <c r="B122" s="3116"/>
      <c r="C122" s="3116"/>
      <c r="D122" s="3105" t="e">
        <f ca="1">H107</f>
        <v>#REF!</v>
      </c>
      <c r="E122" s="3106"/>
      <c r="F122" s="3106"/>
      <c r="G122" s="3106"/>
      <c r="H122" s="3106"/>
      <c r="I122" s="3107"/>
      <c r="AA122" s="664"/>
    </row>
    <row r="123" spans="1:27" ht="18.75" customHeight="1">
      <c r="A123" s="3104" t="s">
        <v>1444</v>
      </c>
      <c r="B123" s="3104"/>
      <c r="C123" s="3104"/>
      <c r="D123" s="3110" t="e">
        <f ca="1">NUMBERSTRING(INT(D122*10000),2)&amp;"元整"</f>
        <v>#REF!</v>
      </c>
      <c r="E123" s="3112"/>
      <c r="F123" s="3112"/>
      <c r="G123" s="3112"/>
      <c r="H123" s="3112"/>
      <c r="I123" s="3111"/>
      <c r="AA123" s="664"/>
    </row>
    <row r="124" spans="1:27" ht="18.75" customHeight="1">
      <c r="A124" s="3116" t="str">
        <f>IF(项目基本情况!B9="房地产市场价值","",MID(E109,3,LEN(E109)-2))</f>
        <v/>
      </c>
      <c r="B124" s="3116"/>
      <c r="C124" s="3116"/>
      <c r="D124" s="3105" t="str">
        <f>H109</f>
        <v>——</v>
      </c>
      <c r="E124" s="3106"/>
      <c r="F124" s="3106"/>
      <c r="G124" s="3106"/>
      <c r="H124" s="3106"/>
      <c r="I124" s="3107"/>
      <c r="AA124" s="664"/>
    </row>
    <row r="125" spans="1:27" ht="18.75" customHeight="1">
      <c r="A125" s="3104" t="s">
        <v>1444</v>
      </c>
      <c r="B125" s="3104"/>
      <c r="C125" s="3104"/>
      <c r="D125" s="3110" t="e">
        <f>NUMBERSTRING(INT(D124*10000),2)&amp;"元整"</f>
        <v>#VALUE!</v>
      </c>
      <c r="E125" s="3112"/>
      <c r="F125" s="3112"/>
      <c r="G125" s="3112"/>
      <c r="H125" s="3112"/>
      <c r="I125" s="3111"/>
      <c r="AA125" s="664"/>
    </row>
    <row r="126" spans="1:27" ht="18.75" customHeight="1">
      <c r="A126" s="3116" t="str">
        <f>IF(项目基本情况!B9="房地产市场价值","",MID(E111,3,LEN(E111)-2))</f>
        <v/>
      </c>
      <c r="B126" s="3116"/>
      <c r="C126" s="3116"/>
      <c r="D126" s="3105" t="str">
        <f>H111</f>
        <v>——</v>
      </c>
      <c r="E126" s="3106"/>
      <c r="F126" s="3106"/>
      <c r="G126" s="3106"/>
      <c r="H126" s="3106"/>
      <c r="I126" s="3107"/>
      <c r="AA126" s="664"/>
    </row>
    <row r="127" spans="1:27" ht="18.75" customHeight="1">
      <c r="A127" s="3104" t="s">
        <v>1444</v>
      </c>
      <c r="B127" s="3104"/>
      <c r="C127" s="3104"/>
      <c r="D127" s="3110" t="e">
        <f>NUMBERSTRING(INT(D126*10000),2)&amp;"元整"</f>
        <v>#VALUE!</v>
      </c>
      <c r="E127" s="3112"/>
      <c r="F127" s="3112"/>
      <c r="G127" s="3112"/>
      <c r="H127" s="3112"/>
      <c r="I127" s="3111"/>
      <c r="AA127" s="664"/>
    </row>
    <row r="128" spans="1:27" ht="21.75" customHeight="1">
      <c r="A128" s="3113" t="s">
        <v>1445</v>
      </c>
      <c r="B128" s="3113"/>
      <c r="C128" s="3113"/>
      <c r="D128" s="3113"/>
      <c r="E128" s="3113"/>
      <c r="F128" s="3113"/>
      <c r="G128" s="3113"/>
      <c r="H128" s="3113"/>
      <c r="I128" s="3113"/>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3" t="s">
        <v>1536</v>
      </c>
    </row>
    <row r="43" spans="1:7" ht="13.5" customHeight="1">
      <c r="A43" s="712" t="s">
        <v>342</v>
      </c>
      <c r="B43" s="206" t="s">
        <v>1537</v>
      </c>
      <c r="C43" s="229" t="e">
        <f ca="1">ROUND(IF('数据-取费表'!B22&lt;=1,C39*F22*'数据-取费表'!B21/2,C39*(POWER((1+F22),'数据-取费表'!B21/2)-1)),0)</f>
        <v>#VALUE!</v>
      </c>
      <c r="D43" s="229"/>
      <c r="E43" s="229"/>
      <c r="F43" s="230"/>
      <c r="G43" s="3184"/>
    </row>
    <row r="44" spans="1:7" ht="13.5" customHeight="1">
      <c r="A44" s="712" t="s">
        <v>343</v>
      </c>
      <c r="B44" s="206" t="s">
        <v>1538</v>
      </c>
      <c r="C44" s="229" t="e">
        <f ca="1">ROUND(IF('数据-取费表'!B22&lt;=1,C40*F22*'数据-取费表'!B21/2,C40*(POWER((1+F22),'数据-取费表'!B21/2)-1)),4)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1" t="str">
        <f>项目基本情况!B1</f>
        <v>北京市预评估</v>
      </c>
      <c r="C37" s="3001"/>
      <c r="D37" s="3001"/>
      <c r="E37" s="3001"/>
      <c r="F37" s="3001"/>
      <c r="G37" s="3001"/>
      <c r="H37" s="3001"/>
      <c r="I37" s="3001"/>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3" t="s">
        <v>1583</v>
      </c>
    </row>
    <row r="43" spans="1:7" ht="13.5" customHeight="1">
      <c r="A43" s="712" t="s">
        <v>342</v>
      </c>
      <c r="B43" s="206" t="s">
        <v>1537</v>
      </c>
      <c r="C43" s="229" t="e">
        <f ca="1">ROUND(IF('数据-取费表'!B22&lt;=1,C39*F22*'数据-取费表'!B20/2,C39*(POWER((1+F22),'数据-取费表'!B20/2)-1)),0)</f>
        <v>#VALUE!</v>
      </c>
      <c r="D43" s="229"/>
      <c r="E43" s="229"/>
      <c r="F43" s="230"/>
      <c r="G43" s="3184"/>
    </row>
    <row r="44" spans="1:7" ht="13.5" customHeight="1">
      <c r="A44" s="712" t="s">
        <v>343</v>
      </c>
      <c r="B44" s="206" t="s">
        <v>1538</v>
      </c>
      <c r="C44" s="229" t="e">
        <f ca="1">ROUND(IF('数据-取费表'!B22&lt;=1,C40*F22*'数据-取费表'!B20/2,C40*(POWER((1+F22),'数据-取费表'!B20/2)-1)),4)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8" t="s">
        <v>688</v>
      </c>
      <c r="C6" s="924">
        <f ca="1">ROUND(F6*F8*F7*(1-F9)/10000,0)</f>
        <v>0</v>
      </c>
      <c r="D6" s="146" t="s">
        <v>2011</v>
      </c>
      <c r="E6" s="292" t="s">
        <v>690</v>
      </c>
      <c r="F6" s="293">
        <f ca="1">INDIRECT("'数据-取费表'!u"&amp;$G$1)</f>
        <v>0</v>
      </c>
      <c r="G6" s="1179"/>
      <c r="H6" s="919" t="s">
        <v>393</v>
      </c>
      <c r="I6" s="3188" t="s">
        <v>688</v>
      </c>
      <c r="J6" s="291">
        <f ca="1">ROUND(M6*M8*M7*(1-M9)/10000,0)</f>
        <v>0</v>
      </c>
      <c r="K6" s="146" t="s">
        <v>2010</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8" t="s">
        <v>688</v>
      </c>
      <c r="C6" s="924">
        <f ca="1">ROUND(F6*F8*F7*(1-F9),0)</f>
        <v>0</v>
      </c>
      <c r="D6" s="146" t="s">
        <v>2008</v>
      </c>
      <c r="E6" s="292" t="s">
        <v>690</v>
      </c>
      <c r="F6" s="293">
        <f ca="1">INDIRECT("'数据-取费表'!u"&amp;$G$1)</f>
        <v>0</v>
      </c>
      <c r="G6" s="1179"/>
      <c r="H6" s="919" t="s">
        <v>393</v>
      </c>
      <c r="I6" s="3188" t="s">
        <v>688</v>
      </c>
      <c r="J6" s="291">
        <f ca="1">ROUND(M6*M8*M7*(1-M9),0)</f>
        <v>0</v>
      </c>
      <c r="K6" s="1171" t="s">
        <v>2009</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1" t="s">
        <v>2219</v>
      </c>
      <c r="K2" s="3192"/>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3" t="s">
        <v>2229</v>
      </c>
      <c r="K3" s="3194"/>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3" t="s">
        <v>2231</v>
      </c>
      <c r="K4" s="3194"/>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5" t="s">
        <v>2235</v>
      </c>
      <c r="B6" s="3196"/>
      <c r="C6" s="3197"/>
      <c r="D6" s="2441"/>
      <c r="E6" s="2442"/>
      <c r="F6" s="2443"/>
      <c r="G6" s="2444"/>
      <c r="H6" s="2419"/>
      <c r="I6" s="2420"/>
      <c r="J6" s="3198">
        <v>1</v>
      </c>
      <c r="K6" s="3199"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8"/>
      <c r="K7" s="3200"/>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2" t="s">
        <v>2249</v>
      </c>
      <c r="C8" s="3203"/>
      <c r="D8" s="2460" t="s">
        <v>2250</v>
      </c>
      <c r="E8" s="2461" t="s">
        <v>2251</v>
      </c>
      <c r="F8" s="2462" t="s">
        <v>2252</v>
      </c>
      <c r="G8" s="2463"/>
      <c r="H8" s="2419"/>
      <c r="I8" s="2420"/>
      <c r="J8" s="3198"/>
      <c r="K8" s="3200"/>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2" t="s">
        <v>2255</v>
      </c>
      <c r="C9" s="3203"/>
      <c r="D9" s="2460">
        <f>ROUND(D6*E9,0)</f>
        <v>0</v>
      </c>
      <c r="E9" s="2464"/>
      <c r="F9" s="2465" t="s">
        <v>2256</v>
      </c>
      <c r="G9" s="2444"/>
      <c r="H9" s="2419"/>
      <c r="I9" s="2420"/>
      <c r="J9" s="3198"/>
      <c r="K9" s="3200"/>
      <c r="L9" s="2454" t="s">
        <v>2257</v>
      </c>
      <c r="M9" s="2455"/>
      <c r="N9" s="2431"/>
      <c r="O9" s="2456"/>
      <c r="P9" s="2456"/>
      <c r="Q9" s="2457">
        <v>365</v>
      </c>
      <c r="R9" s="2458">
        <f t="shared" si="0"/>
        <v>0</v>
      </c>
      <c r="S9" s="2412"/>
      <c r="T9" s="2412"/>
      <c r="U9" s="2412"/>
      <c r="V9" s="2420"/>
    </row>
    <row r="10" spans="1:22" s="2424" customFormat="1" ht="13.15" customHeight="1">
      <c r="A10" s="2459">
        <v>2</v>
      </c>
      <c r="B10" s="3202" t="s">
        <v>2258</v>
      </c>
      <c r="C10" s="3203"/>
      <c r="D10" s="2460">
        <f>ROUND(D6*E10,0)</f>
        <v>0</v>
      </c>
      <c r="E10" s="2464"/>
      <c r="F10" s="2465" t="s">
        <v>2259</v>
      </c>
      <c r="G10" s="2444"/>
      <c r="H10" s="2419"/>
      <c r="I10" s="2420"/>
      <c r="J10" s="3198"/>
      <c r="K10" s="3200"/>
      <c r="L10" s="2454" t="s">
        <v>2260</v>
      </c>
      <c r="M10" s="2455"/>
      <c r="N10" s="2431"/>
      <c r="O10" s="2456"/>
      <c r="P10" s="2456"/>
      <c r="Q10" s="2457">
        <v>365</v>
      </c>
      <c r="R10" s="2458">
        <f t="shared" si="0"/>
        <v>0</v>
      </c>
      <c r="S10" s="2412"/>
      <c r="T10" s="2412"/>
      <c r="U10" s="2412"/>
      <c r="V10" s="2420"/>
    </row>
    <row r="11" spans="1:22" s="2424" customFormat="1" ht="13.15" customHeight="1">
      <c r="A11" s="2459">
        <v>3</v>
      </c>
      <c r="B11" s="3202" t="s">
        <v>2261</v>
      </c>
      <c r="C11" s="3203"/>
      <c r="D11" s="2460">
        <f>D12+D14+D15+D16</f>
        <v>0</v>
      </c>
      <c r="E11" s="2466" t="e">
        <f>D11/D6</f>
        <v>#DIV/0!</v>
      </c>
      <c r="F11" s="2462"/>
      <c r="G11" s="2463"/>
      <c r="H11" s="2419"/>
      <c r="I11" s="2420"/>
      <c r="J11" s="3198"/>
      <c r="K11" s="3200"/>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4" t="s">
        <v>2264</v>
      </c>
      <c r="C12" s="3205"/>
      <c r="D12" s="2468">
        <f>ROUND(D13*1.2%*(1-30%),0)</f>
        <v>0</v>
      </c>
      <c r="E12" s="2469">
        <v>1.2E-2</v>
      </c>
      <c r="F12" s="2462" t="s">
        <v>2265</v>
      </c>
      <c r="G12" s="2463"/>
      <c r="H12" s="2419"/>
      <c r="I12" s="2420"/>
      <c r="J12" s="3198"/>
      <c r="K12" s="3200"/>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8"/>
      <c r="K13" s="3200"/>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4" t="s">
        <v>2270</v>
      </c>
      <c r="C14" s="3205"/>
      <c r="D14" s="2468">
        <f>ROUND(E14*B5/10000,0)</f>
        <v>0</v>
      </c>
      <c r="E14" s="2457"/>
      <c r="F14" s="2462" t="s">
        <v>2271</v>
      </c>
      <c r="G14" s="2463"/>
      <c r="H14" s="2419"/>
      <c r="I14" s="2420"/>
      <c r="J14" s="3198"/>
      <c r="K14" s="3201"/>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4" t="s">
        <v>2274</v>
      </c>
      <c r="C15" s="3205"/>
      <c r="D15" s="2468">
        <f>ROUND(D6*E15,0)</f>
        <v>0</v>
      </c>
      <c r="E15" s="2469">
        <v>5.5E-2</v>
      </c>
      <c r="F15" s="2462" t="s">
        <v>2275</v>
      </c>
      <c r="G15" s="2444"/>
      <c r="H15" s="2419"/>
      <c r="I15" s="2420"/>
      <c r="J15" s="3198">
        <v>2</v>
      </c>
      <c r="K15" s="3199"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4" t="s">
        <v>2283</v>
      </c>
      <c r="C16" s="3205"/>
      <c r="D16" s="2479">
        <f>D6*E16</f>
        <v>0</v>
      </c>
      <c r="E16" s="2480"/>
      <c r="F16" s="2465" t="s">
        <v>2284</v>
      </c>
      <c r="G16" s="2444"/>
      <c r="H16" s="2419"/>
      <c r="I16" s="2420"/>
      <c r="J16" s="3198"/>
      <c r="K16" s="3200"/>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6" t="s">
        <v>2286</v>
      </c>
      <c r="C17" s="3207"/>
      <c r="D17" s="2482">
        <f>ROUND(D6*E17,0)</f>
        <v>0</v>
      </c>
      <c r="E17" s="2483"/>
      <c r="F17" s="2484" t="s">
        <v>2287</v>
      </c>
      <c r="G17" s="2444"/>
      <c r="H17" s="2419"/>
      <c r="I17" s="2420"/>
      <c r="J17" s="3198"/>
      <c r="K17" s="3200"/>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8"/>
      <c r="K18" s="3200"/>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8"/>
      <c r="K19" s="3201"/>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8">
        <v>3</v>
      </c>
      <c r="K20" s="3199"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8"/>
      <c r="K21" s="3200"/>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8"/>
      <c r="K22" s="3200"/>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8"/>
      <c r="K23" s="3200"/>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8"/>
      <c r="K24" s="3201"/>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8">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09"/>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1" t="s">
        <v>2219</v>
      </c>
      <c r="K32" s="3192"/>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3" t="s">
        <v>2229</v>
      </c>
      <c r="K33" s="3194"/>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3" t="s">
        <v>2231</v>
      </c>
      <c r="K34" s="3194"/>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8">
        <v>1</v>
      </c>
      <c r="K36" s="3199"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8"/>
      <c r="K37" s="3200"/>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8"/>
      <c r="K38" s="3200"/>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8"/>
      <c r="K39" s="3200"/>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8"/>
      <c r="K40" s="3201"/>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8">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09"/>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10" t="s">
        <v>1646</v>
      </c>
      <c r="C5" s="3211"/>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811"/>
      <c r="M4" s="812"/>
      <c r="N4" s="812"/>
      <c r="O4" s="812"/>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811"/>
      <c r="M5" s="812"/>
      <c r="N5" s="812"/>
      <c r="O5" s="812"/>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811"/>
      <c r="M6" s="812"/>
      <c r="N6" s="812"/>
      <c r="O6" s="812"/>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15" t="s">
        <v>1664</v>
      </c>
      <c r="Q8" s="3216"/>
      <c r="R8" s="644" t="s">
        <v>14</v>
      </c>
      <c r="S8" s="645">
        <f t="shared" si="0"/>
        <v>100</v>
      </c>
      <c r="T8" s="644" t="s">
        <v>14</v>
      </c>
      <c r="U8" s="645">
        <f t="shared" si="1"/>
        <v>100</v>
      </c>
      <c r="V8" s="644" t="s">
        <v>14</v>
      </c>
      <c r="W8" s="645">
        <f t="shared" si="2"/>
        <v>100</v>
      </c>
      <c r="X8" s="646"/>
      <c r="Y8" s="3215" t="s">
        <v>1664</v>
      </c>
      <c r="Z8" s="3216"/>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9"/>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45"/>
      <c r="Q16" s="1150"/>
      <c r="R16" s="647"/>
      <c r="S16" s="648"/>
      <c r="T16" s="647"/>
      <c r="U16" s="648"/>
      <c r="V16" s="647"/>
      <c r="W16" s="648"/>
      <c r="X16" s="1152"/>
      <c r="Y16" s="3245"/>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45"/>
      <c r="Q18" s="1150"/>
      <c r="R18" s="647"/>
      <c r="S18" s="648"/>
      <c r="T18" s="647"/>
      <c r="U18" s="648"/>
      <c r="V18" s="647"/>
      <c r="W18" s="648"/>
      <c r="X18" s="1152"/>
      <c r="Y18" s="3245"/>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45"/>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45"/>
      <c r="Q20" s="1150"/>
      <c r="R20" s="647"/>
      <c r="S20" s="648"/>
      <c r="T20" s="647"/>
      <c r="U20" s="648"/>
      <c r="V20" s="647"/>
      <c r="W20" s="648"/>
      <c r="X20" s="1152"/>
      <c r="Y20" s="3245"/>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45"/>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45"/>
      <c r="Q22" s="1150"/>
      <c r="R22" s="647"/>
      <c r="S22" s="648"/>
      <c r="T22" s="647"/>
      <c r="U22" s="648"/>
      <c r="V22" s="647"/>
      <c r="W22" s="648"/>
      <c r="X22" s="1152"/>
      <c r="Y22" s="3245"/>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45"/>
      <c r="Q23" s="1150" t="str">
        <f>B23</f>
        <v>环境质量</v>
      </c>
      <c r="R23" s="647" t="s">
        <v>14</v>
      </c>
      <c r="S23" s="648">
        <f>F23</f>
        <v>100</v>
      </c>
      <c r="T23" s="647" t="s">
        <v>14</v>
      </c>
      <c r="U23" s="648">
        <f>H23</f>
        <v>100</v>
      </c>
      <c r="V23" s="647" t="s">
        <v>14</v>
      </c>
      <c r="W23" s="648">
        <f>J23</f>
        <v>100</v>
      </c>
      <c r="X23" s="1152"/>
      <c r="Y23" s="3245"/>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45"/>
      <c r="Q24" s="1150"/>
      <c r="R24" s="647"/>
      <c r="S24" s="648"/>
      <c r="T24" s="647"/>
      <c r="U24" s="648"/>
      <c r="V24" s="647"/>
      <c r="W24" s="648"/>
      <c r="X24" s="1152"/>
      <c r="Y24" s="3245"/>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45"/>
      <c r="Q25" s="1150">
        <f>B25</f>
        <v>111</v>
      </c>
      <c r="R25" s="647" t="s">
        <v>14</v>
      </c>
      <c r="S25" s="648">
        <f>F25</f>
        <v>100</v>
      </c>
      <c r="T25" s="647" t="s">
        <v>14</v>
      </c>
      <c r="U25" s="648">
        <f>H25</f>
        <v>100</v>
      </c>
      <c r="V25" s="647" t="s">
        <v>14</v>
      </c>
      <c r="W25" s="648">
        <f>J25</f>
        <v>100</v>
      </c>
      <c r="X25" s="1152"/>
      <c r="Y25" s="3245"/>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45"/>
      <c r="Q26" s="1150">
        <f t="shared" ref="Q26:Q40" si="11">B26</f>
        <v>111</v>
      </c>
      <c r="R26" s="647" t="s">
        <v>14</v>
      </c>
      <c r="S26" s="648">
        <f>F26</f>
        <v>100</v>
      </c>
      <c r="T26" s="647" t="s">
        <v>14</v>
      </c>
      <c r="U26" s="648">
        <f>H26</f>
        <v>100</v>
      </c>
      <c r="V26" s="647" t="s">
        <v>14</v>
      </c>
      <c r="W26" s="648">
        <f>J26</f>
        <v>100</v>
      </c>
      <c r="X26" s="1152"/>
      <c r="Y26" s="3245"/>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45"/>
      <c r="Q27" s="525">
        <f t="shared" si="11"/>
        <v>111</v>
      </c>
      <c r="R27" s="644" t="s">
        <v>14</v>
      </c>
      <c r="S27" s="645">
        <f>F27</f>
        <v>100</v>
      </c>
      <c r="T27" s="644" t="s">
        <v>14</v>
      </c>
      <c r="U27" s="645">
        <f>H27</f>
        <v>100</v>
      </c>
      <c r="V27" s="644" t="s">
        <v>14</v>
      </c>
      <c r="W27" s="645">
        <f>J27</f>
        <v>100</v>
      </c>
      <c r="X27" s="646"/>
      <c r="Y27" s="3245"/>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45"/>
      <c r="Q28" s="1150">
        <f t="shared" si="11"/>
        <v>111</v>
      </c>
      <c r="R28" s="647" t="s">
        <v>14</v>
      </c>
      <c r="S28" s="648">
        <f t="shared" ref="S28:S40" si="12">F28</f>
        <v>100</v>
      </c>
      <c r="T28" s="647" t="s">
        <v>14</v>
      </c>
      <c r="U28" s="648">
        <f t="shared" ref="U28:U40" si="13">H28</f>
        <v>100</v>
      </c>
      <c r="V28" s="647" t="s">
        <v>14</v>
      </c>
      <c r="W28" s="648">
        <f t="shared" ref="W28:W40" si="14">J28</f>
        <v>100</v>
      </c>
      <c r="X28" s="1152"/>
      <c r="Y28" s="3245"/>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46" t="s">
        <v>1674</v>
      </c>
      <c r="Q29" s="1150" t="str">
        <f t="shared" si="11"/>
        <v>建筑类型</v>
      </c>
      <c r="R29" s="647" t="s">
        <v>14</v>
      </c>
      <c r="S29" s="648">
        <f t="shared" si="12"/>
        <v>100</v>
      </c>
      <c r="T29" s="647" t="s">
        <v>14</v>
      </c>
      <c r="U29" s="648">
        <f t="shared" si="13"/>
        <v>100</v>
      </c>
      <c r="V29" s="647" t="s">
        <v>14</v>
      </c>
      <c r="W29" s="648">
        <f t="shared" si="14"/>
        <v>100</v>
      </c>
      <c r="X29" s="1152"/>
      <c r="Y29" s="3247"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47"/>
      <c r="Q30" s="526" t="str">
        <f t="shared" si="11"/>
        <v>项目建筑规模</v>
      </c>
      <c r="R30" s="649" t="s">
        <v>14</v>
      </c>
      <c r="S30" s="650" t="e">
        <f t="shared" si="12"/>
        <v>#N/A</v>
      </c>
      <c r="T30" s="649" t="s">
        <v>14</v>
      </c>
      <c r="U30" s="650" t="e">
        <f t="shared" si="13"/>
        <v>#N/A</v>
      </c>
      <c r="V30" s="649" t="s">
        <v>14</v>
      </c>
      <c r="W30" s="650" t="e">
        <f t="shared" si="14"/>
        <v>#N/A</v>
      </c>
      <c r="X30" s="651"/>
      <c r="Y30" s="3247"/>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47"/>
      <c r="Q31" s="1150" t="str">
        <f t="shared" si="11"/>
        <v>建筑结构</v>
      </c>
      <c r="R31" s="647" t="s">
        <v>14</v>
      </c>
      <c r="S31" s="648">
        <f t="shared" si="12"/>
        <v>100</v>
      </c>
      <c r="T31" s="647" t="s">
        <v>14</v>
      </c>
      <c r="U31" s="648">
        <f t="shared" si="13"/>
        <v>100</v>
      </c>
      <c r="V31" s="647" t="s">
        <v>14</v>
      </c>
      <c r="W31" s="648">
        <f t="shared" si="14"/>
        <v>100</v>
      </c>
      <c r="X31" s="1152"/>
      <c r="Y31" s="3247"/>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47"/>
      <c r="Q32" s="1150" t="str">
        <f t="shared" si="11"/>
        <v>公共部分装修</v>
      </c>
      <c r="R32" s="647" t="s">
        <v>14</v>
      </c>
      <c r="S32" s="648">
        <f t="shared" si="12"/>
        <v>100</v>
      </c>
      <c r="T32" s="647" t="s">
        <v>14</v>
      </c>
      <c r="U32" s="648">
        <f t="shared" si="13"/>
        <v>100</v>
      </c>
      <c r="V32" s="647" t="s">
        <v>14</v>
      </c>
      <c r="W32" s="648">
        <f t="shared" si="14"/>
        <v>100</v>
      </c>
      <c r="X32" s="1152"/>
      <c r="Y32" s="3247"/>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47"/>
      <c r="Q33" s="1150" t="str">
        <f t="shared" si="11"/>
        <v>成新度</v>
      </c>
      <c r="R33" s="647" t="s">
        <v>14</v>
      </c>
      <c r="S33" s="648" t="e">
        <f t="shared" si="12"/>
        <v>#N/A</v>
      </c>
      <c r="T33" s="647" t="s">
        <v>14</v>
      </c>
      <c r="U33" s="648" t="e">
        <f t="shared" si="13"/>
        <v>#N/A</v>
      </c>
      <c r="V33" s="647" t="s">
        <v>14</v>
      </c>
      <c r="W33" s="648" t="e">
        <f t="shared" si="14"/>
        <v>#N/A</v>
      </c>
      <c r="X33" s="1152"/>
      <c r="Y33" s="3247"/>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47"/>
      <c r="Q34" s="525" t="str">
        <f t="shared" si="11"/>
        <v>物业管理</v>
      </c>
      <c r="R34" s="644" t="s">
        <v>14</v>
      </c>
      <c r="S34" s="645">
        <f t="shared" si="12"/>
        <v>100</v>
      </c>
      <c r="T34" s="644" t="s">
        <v>14</v>
      </c>
      <c r="U34" s="645">
        <f t="shared" si="13"/>
        <v>100</v>
      </c>
      <c r="V34" s="644" t="s">
        <v>14</v>
      </c>
      <c r="W34" s="645">
        <f t="shared" si="14"/>
        <v>100</v>
      </c>
      <c r="X34" s="646"/>
      <c r="Y34" s="3247"/>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47" t="s">
        <v>1674</v>
      </c>
      <c r="Q35" s="1150" t="str">
        <f t="shared" si="11"/>
        <v>市政基础设施</v>
      </c>
      <c r="R35" s="647" t="s">
        <v>14</v>
      </c>
      <c r="S35" s="648">
        <f t="shared" si="12"/>
        <v>100</v>
      </c>
      <c r="T35" s="647" t="s">
        <v>14</v>
      </c>
      <c r="U35" s="648">
        <f t="shared" si="13"/>
        <v>100</v>
      </c>
      <c r="V35" s="647" t="s">
        <v>14</v>
      </c>
      <c r="W35" s="648">
        <f t="shared" si="14"/>
        <v>100</v>
      </c>
      <c r="X35" s="1152"/>
      <c r="Y35" s="3247"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47"/>
      <c r="Q36" s="1150" t="str">
        <f t="shared" si="11"/>
        <v>内部装修</v>
      </c>
      <c r="R36" s="647" t="s">
        <v>14</v>
      </c>
      <c r="S36" s="648">
        <f t="shared" si="12"/>
        <v>100</v>
      </c>
      <c r="T36" s="647" t="s">
        <v>14</v>
      </c>
      <c r="U36" s="648">
        <f t="shared" si="13"/>
        <v>100</v>
      </c>
      <c r="V36" s="647" t="s">
        <v>14</v>
      </c>
      <c r="W36" s="648">
        <f t="shared" si="14"/>
        <v>100</v>
      </c>
      <c r="X36" s="1152"/>
      <c r="Y36" s="3247"/>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47"/>
      <c r="Q37" s="1150" t="str">
        <f t="shared" si="11"/>
        <v>内部装修状况</v>
      </c>
      <c r="R37" s="647" t="s">
        <v>14</v>
      </c>
      <c r="S37" s="648">
        <f t="shared" si="12"/>
        <v>100</v>
      </c>
      <c r="T37" s="647" t="s">
        <v>14</v>
      </c>
      <c r="U37" s="648">
        <f t="shared" si="13"/>
        <v>100</v>
      </c>
      <c r="V37" s="647" t="s">
        <v>14</v>
      </c>
      <c r="W37" s="648">
        <f t="shared" si="14"/>
        <v>100</v>
      </c>
      <c r="X37" s="1152"/>
      <c r="Y37" s="3247"/>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47"/>
      <c r="Q38" s="526">
        <f t="shared" si="11"/>
        <v>111</v>
      </c>
      <c r="R38" s="649" t="s">
        <v>14</v>
      </c>
      <c r="S38" s="650">
        <f t="shared" si="12"/>
        <v>100</v>
      </c>
      <c r="T38" s="649" t="s">
        <v>14</v>
      </c>
      <c r="U38" s="650">
        <f t="shared" si="13"/>
        <v>100</v>
      </c>
      <c r="V38" s="649" t="s">
        <v>14</v>
      </c>
      <c r="W38" s="650">
        <f t="shared" si="14"/>
        <v>100</v>
      </c>
      <c r="X38" s="651"/>
      <c r="Y38" s="3247"/>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47"/>
      <c r="Q39" s="1150">
        <f t="shared" si="11"/>
        <v>111</v>
      </c>
      <c r="R39" s="647" t="s">
        <v>14</v>
      </c>
      <c r="S39" s="648">
        <f t="shared" si="12"/>
        <v>100</v>
      </c>
      <c r="T39" s="647" t="s">
        <v>14</v>
      </c>
      <c r="U39" s="648">
        <f t="shared" si="13"/>
        <v>100</v>
      </c>
      <c r="V39" s="647" t="s">
        <v>14</v>
      </c>
      <c r="W39" s="648">
        <f t="shared" si="14"/>
        <v>100</v>
      </c>
      <c r="X39" s="1152"/>
      <c r="Y39" s="3247"/>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48"/>
      <c r="Q40" s="1150">
        <f t="shared" si="11"/>
        <v>111</v>
      </c>
      <c r="R40" s="647" t="s">
        <v>14</v>
      </c>
      <c r="S40" s="648">
        <f t="shared" si="12"/>
        <v>100</v>
      </c>
      <c r="T40" s="647" t="s">
        <v>14</v>
      </c>
      <c r="U40" s="648">
        <f t="shared" si="13"/>
        <v>100</v>
      </c>
      <c r="V40" s="647" t="s">
        <v>14</v>
      </c>
      <c r="W40" s="648">
        <f t="shared" si="14"/>
        <v>100</v>
      </c>
      <c r="X40" s="1152"/>
      <c r="Y40" s="3248"/>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29" t="str">
        <f>A41</f>
        <v>成交单价（元/平方米）</v>
      </c>
      <c r="Q41" s="3229"/>
      <c r="R41" s="3242">
        <f>E41</f>
        <v>0</v>
      </c>
      <c r="S41" s="3242"/>
      <c r="T41" s="3242">
        <f>G41</f>
        <v>0</v>
      </c>
      <c r="U41" s="3242"/>
      <c r="V41" s="3242">
        <f>I41</f>
        <v>0</v>
      </c>
      <c r="W41" s="3242"/>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9" t="str">
        <f>A42</f>
        <v>比较价值（元/平方米）</v>
      </c>
      <c r="Q42" s="3229"/>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49" t="str">
        <f>A43</f>
        <v>估价对象XX用房的比较价值（楼面单价，元/平方米）</v>
      </c>
      <c r="Q43" s="3250"/>
      <c r="R43" s="3251" t="e">
        <f>IF(F1="售价",ROUND(IF(D42="简单平均",AVERAGE(R42:V42),R42*F42+T42*H42+V42*J42),0),ROUND(IF(D42="简单平均",AVERAGE(R42:V42),R42*F42+T42*H42+V42*J42),1))</f>
        <v>#DIV/0!</v>
      </c>
      <c r="S43" s="3251"/>
      <c r="T43" s="3251"/>
      <c r="U43" s="3251"/>
      <c r="V43" s="3251"/>
      <c r="W43" s="3251"/>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45"/>
      <c r="Q15" s="1150"/>
      <c r="R15" s="647"/>
      <c r="S15" s="648"/>
      <c r="T15" s="647"/>
      <c r="U15" s="648"/>
      <c r="V15" s="647"/>
      <c r="W15" s="648"/>
      <c r="X15" s="1152"/>
      <c r="Y15" s="3245"/>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45"/>
      <c r="Q17" s="1150"/>
      <c r="R17" s="647"/>
      <c r="S17" s="648"/>
      <c r="T17" s="647"/>
      <c r="U17" s="648"/>
      <c r="V17" s="647"/>
      <c r="W17" s="648"/>
      <c r="X17" s="1152"/>
      <c r="Y17" s="3245"/>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45"/>
      <c r="Q19" s="1150"/>
      <c r="R19" s="647"/>
      <c r="S19" s="648"/>
      <c r="T19" s="647"/>
      <c r="U19" s="648"/>
      <c r="V19" s="647"/>
      <c r="W19" s="648"/>
      <c r="X19" s="1152"/>
      <c r="Y19" s="3245"/>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45"/>
      <c r="Q21" s="1150"/>
      <c r="R21" s="647"/>
      <c r="S21" s="648"/>
      <c r="T21" s="647"/>
      <c r="U21" s="648"/>
      <c r="V21" s="647"/>
      <c r="W21" s="648"/>
      <c r="X21" s="1152"/>
      <c r="Y21" s="3245"/>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45"/>
      <c r="Q24" s="1150">
        <f t="shared" ref="Q24:Q36"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46"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47"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47"/>
      <c r="Q27" s="526" t="str">
        <f t="shared" si="11"/>
        <v>项目停车位配比</v>
      </c>
      <c r="R27" s="649" t="s">
        <v>14</v>
      </c>
      <c r="S27" s="650">
        <f t="shared" si="12"/>
        <v>100</v>
      </c>
      <c r="T27" s="649" t="s">
        <v>14</v>
      </c>
      <c r="U27" s="650">
        <f t="shared" si="13"/>
        <v>100</v>
      </c>
      <c r="V27" s="649" t="s">
        <v>14</v>
      </c>
      <c r="W27" s="650">
        <f t="shared" si="14"/>
        <v>100</v>
      </c>
      <c r="X27" s="651"/>
      <c r="Y27" s="3247"/>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47"/>
      <c r="Q28" s="1150" t="str">
        <f t="shared" si="11"/>
        <v>公共部分装修</v>
      </c>
      <c r="R28" s="647" t="s">
        <v>14</v>
      </c>
      <c r="S28" s="648">
        <f t="shared" si="12"/>
        <v>100</v>
      </c>
      <c r="T28" s="647" t="s">
        <v>14</v>
      </c>
      <c r="U28" s="648">
        <f t="shared" si="13"/>
        <v>100</v>
      </c>
      <c r="V28" s="647" t="s">
        <v>14</v>
      </c>
      <c r="W28" s="648">
        <f t="shared" si="14"/>
        <v>100</v>
      </c>
      <c r="X28" s="1152"/>
      <c r="Y28" s="3247"/>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47"/>
      <c r="Q29" s="1150" t="str">
        <f t="shared" si="11"/>
        <v>成新率</v>
      </c>
      <c r="R29" s="647" t="s">
        <v>14</v>
      </c>
      <c r="S29" s="648" t="e">
        <f t="shared" si="12"/>
        <v>#N/A</v>
      </c>
      <c r="T29" s="647" t="s">
        <v>14</v>
      </c>
      <c r="U29" s="648" t="e">
        <f t="shared" si="13"/>
        <v>#N/A</v>
      </c>
      <c r="V29" s="647" t="s">
        <v>14</v>
      </c>
      <c r="W29" s="648" t="e">
        <f t="shared" si="14"/>
        <v>#N/A</v>
      </c>
      <c r="X29" s="1152"/>
      <c r="Y29" s="3247"/>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47"/>
      <c r="Q30" s="1150" t="str">
        <f t="shared" si="11"/>
        <v>物业等级</v>
      </c>
      <c r="R30" s="647" t="s">
        <v>14</v>
      </c>
      <c r="S30" s="648">
        <f t="shared" si="12"/>
        <v>100</v>
      </c>
      <c r="T30" s="647" t="s">
        <v>14</v>
      </c>
      <c r="U30" s="648">
        <f t="shared" si="13"/>
        <v>100</v>
      </c>
      <c r="V30" s="647" t="s">
        <v>14</v>
      </c>
      <c r="W30" s="648">
        <f t="shared" si="14"/>
        <v>100</v>
      </c>
      <c r="X30" s="1152"/>
      <c r="Y30" s="3247"/>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47"/>
      <c r="Q31" s="525" t="str">
        <f t="shared" si="11"/>
        <v>停车位面积</v>
      </c>
      <c r="R31" s="644" t="s">
        <v>14</v>
      </c>
      <c r="S31" s="645" t="e">
        <f t="shared" si="12"/>
        <v>#N/A</v>
      </c>
      <c r="T31" s="644" t="s">
        <v>14</v>
      </c>
      <c r="U31" s="645" t="e">
        <f t="shared" si="13"/>
        <v>#N/A</v>
      </c>
      <c r="V31" s="644" t="s">
        <v>14</v>
      </c>
      <c r="W31" s="645" t="e">
        <f t="shared" si="14"/>
        <v>#N/A</v>
      </c>
      <c r="X31" s="646"/>
      <c r="Y31" s="3247"/>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47" t="s">
        <v>1674</v>
      </c>
      <c r="Q32" s="1150" t="str">
        <f t="shared" si="11"/>
        <v>车位类型</v>
      </c>
      <c r="R32" s="647" t="s">
        <v>14</v>
      </c>
      <c r="S32" s="648">
        <f t="shared" si="12"/>
        <v>100</v>
      </c>
      <c r="T32" s="647" t="s">
        <v>14</v>
      </c>
      <c r="U32" s="648">
        <f t="shared" si="13"/>
        <v>100</v>
      </c>
      <c r="V32" s="647" t="s">
        <v>14</v>
      </c>
      <c r="W32" s="648">
        <f t="shared" si="14"/>
        <v>100</v>
      </c>
      <c r="X32" s="1152"/>
      <c r="Y32" s="3247"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47"/>
      <c r="Q33" s="1150" t="str">
        <f t="shared" si="11"/>
        <v>是否直接入户</v>
      </c>
      <c r="R33" s="647" t="s">
        <v>14</v>
      </c>
      <c r="S33" s="648">
        <f t="shared" si="12"/>
        <v>100</v>
      </c>
      <c r="T33" s="647" t="s">
        <v>14</v>
      </c>
      <c r="U33" s="648">
        <f t="shared" si="13"/>
        <v>100</v>
      </c>
      <c r="V33" s="647" t="s">
        <v>14</v>
      </c>
      <c r="W33" s="648">
        <f t="shared" si="14"/>
        <v>100</v>
      </c>
      <c r="X33" s="1152"/>
      <c r="Y33" s="3247"/>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47"/>
      <c r="Q35" s="526">
        <f t="shared" si="11"/>
        <v>111</v>
      </c>
      <c r="R35" s="649" t="s">
        <v>14</v>
      </c>
      <c r="S35" s="650">
        <f t="shared" si="12"/>
        <v>100</v>
      </c>
      <c r="T35" s="649" t="s">
        <v>14</v>
      </c>
      <c r="U35" s="650">
        <f t="shared" si="13"/>
        <v>100</v>
      </c>
      <c r="V35" s="649" t="s">
        <v>14</v>
      </c>
      <c r="W35" s="650">
        <f t="shared" si="14"/>
        <v>100</v>
      </c>
      <c r="X35" s="651"/>
      <c r="Y35" s="3247"/>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47"/>
      <c r="Q36" s="1150">
        <f t="shared" si="11"/>
        <v>111</v>
      </c>
      <c r="R36" s="647" t="s">
        <v>14</v>
      </c>
      <c r="S36" s="648">
        <f t="shared" si="12"/>
        <v>100</v>
      </c>
      <c r="T36" s="647" t="s">
        <v>14</v>
      </c>
      <c r="U36" s="648">
        <f t="shared" si="13"/>
        <v>100</v>
      </c>
      <c r="V36" s="647" t="s">
        <v>14</v>
      </c>
      <c r="W36" s="648">
        <f t="shared" si="14"/>
        <v>100</v>
      </c>
      <c r="X36" s="1152"/>
      <c r="Y36" s="3247"/>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29" t="str">
        <f>A37</f>
        <v>成交单价</v>
      </c>
      <c r="Q37" s="3229"/>
      <c r="R37" s="3242">
        <f>E37</f>
        <v>0</v>
      </c>
      <c r="S37" s="3242"/>
      <c r="T37" s="3242">
        <f>G37</f>
        <v>0</v>
      </c>
      <c r="U37" s="3242"/>
      <c r="V37" s="3242">
        <f>I37</f>
        <v>0</v>
      </c>
      <c r="W37" s="3242"/>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9" t="str">
        <f>A38</f>
        <v>比较价值（元/平方米）</v>
      </c>
      <c r="Q38" s="3229"/>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49" t="str">
        <f>A39</f>
        <v>估价对象XX用房的比较价值（楼面单价，元/平方米）</v>
      </c>
      <c r="Q39" s="3250"/>
      <c r="R39" s="3252" t="e">
        <f>IF(F1="售价",ROUND(IF(D38="简单平均",AVERAGE(R38:W38),R38*F38+T38*H38+V38*J38),0),ROUND(IF(D38="简单平均",AVERAGE(R38:V38),R38*F38+T38*H38+V38*J38),1))</f>
        <v>#DIV/0!</v>
      </c>
      <c r="S39" s="3252"/>
      <c r="T39" s="3252"/>
      <c r="U39" s="3252"/>
      <c r="V39" s="3252"/>
      <c r="W39" s="3252"/>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45"/>
      <c r="Q15" s="1150"/>
      <c r="R15" s="647"/>
      <c r="S15" s="648"/>
      <c r="T15" s="647"/>
      <c r="U15" s="648"/>
      <c r="V15" s="647"/>
      <c r="W15" s="648"/>
      <c r="X15" s="1152"/>
      <c r="Y15" s="3245"/>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45"/>
      <c r="Q17" s="1150"/>
      <c r="R17" s="647"/>
      <c r="S17" s="648"/>
      <c r="T17" s="647"/>
      <c r="U17" s="648"/>
      <c r="V17" s="647"/>
      <c r="W17" s="648"/>
      <c r="X17" s="1152"/>
      <c r="Y17" s="3245"/>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45"/>
      <c r="Q19" s="1150"/>
      <c r="R19" s="647"/>
      <c r="S19" s="648"/>
      <c r="T19" s="647"/>
      <c r="U19" s="648"/>
      <c r="V19" s="647"/>
      <c r="W19" s="648"/>
      <c r="X19" s="1152"/>
      <c r="Y19" s="3245"/>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45"/>
      <c r="Q21" s="1150"/>
      <c r="R21" s="647"/>
      <c r="S21" s="648"/>
      <c r="T21" s="647"/>
      <c r="U21" s="648"/>
      <c r="V21" s="647"/>
      <c r="W21" s="648"/>
      <c r="X21" s="1152"/>
      <c r="Y21" s="3245"/>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45"/>
      <c r="Q24" s="1150">
        <f t="shared" ref="Q24:Q34"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46"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47"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47"/>
      <c r="Q27" s="526" t="str">
        <f t="shared" si="11"/>
        <v>成新率</v>
      </c>
      <c r="R27" s="649" t="s">
        <v>14</v>
      </c>
      <c r="S27" s="650" t="e">
        <f t="shared" si="12"/>
        <v>#N/A</v>
      </c>
      <c r="T27" s="649" t="s">
        <v>14</v>
      </c>
      <c r="U27" s="650" t="e">
        <f t="shared" si="13"/>
        <v>#N/A</v>
      </c>
      <c r="V27" s="649" t="s">
        <v>14</v>
      </c>
      <c r="W27" s="650" t="e">
        <f t="shared" si="14"/>
        <v>#N/A</v>
      </c>
      <c r="X27" s="651"/>
      <c r="Y27" s="3247"/>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47"/>
      <c r="Q28" s="1150" t="str">
        <f t="shared" si="11"/>
        <v>物业等级</v>
      </c>
      <c r="R28" s="647" t="s">
        <v>14</v>
      </c>
      <c r="S28" s="648">
        <f t="shared" si="12"/>
        <v>100</v>
      </c>
      <c r="T28" s="647" t="s">
        <v>14</v>
      </c>
      <c r="U28" s="648">
        <f t="shared" si="13"/>
        <v>100</v>
      </c>
      <c r="V28" s="647" t="s">
        <v>14</v>
      </c>
      <c r="W28" s="648">
        <f t="shared" si="14"/>
        <v>100</v>
      </c>
      <c r="X28" s="1152"/>
      <c r="Y28" s="3247"/>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47"/>
      <c r="Q29" s="1150" t="str">
        <f t="shared" si="11"/>
        <v>有无电梯</v>
      </c>
      <c r="R29" s="647" t="s">
        <v>14</v>
      </c>
      <c r="S29" s="648">
        <f t="shared" si="12"/>
        <v>100</v>
      </c>
      <c r="T29" s="647" t="s">
        <v>14</v>
      </c>
      <c r="U29" s="648">
        <f t="shared" si="13"/>
        <v>100</v>
      </c>
      <c r="V29" s="647" t="s">
        <v>14</v>
      </c>
      <c r="W29" s="648">
        <f t="shared" si="14"/>
        <v>100</v>
      </c>
      <c r="X29" s="1152"/>
      <c r="Y29" s="3247"/>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47"/>
      <c r="Q30" s="1150" t="str">
        <f t="shared" si="11"/>
        <v>建筑面积</v>
      </c>
      <c r="R30" s="647" t="s">
        <v>14</v>
      </c>
      <c r="S30" s="648" t="e">
        <f t="shared" si="12"/>
        <v>#N/A</v>
      </c>
      <c r="T30" s="647" t="s">
        <v>14</v>
      </c>
      <c r="U30" s="648" t="e">
        <f t="shared" si="13"/>
        <v>#N/A</v>
      </c>
      <c r="V30" s="647" t="s">
        <v>14</v>
      </c>
      <c r="W30" s="648" t="e">
        <f t="shared" si="14"/>
        <v>#N/A</v>
      </c>
      <c r="X30" s="1152"/>
      <c r="Y30" s="3247"/>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47"/>
      <c r="Q31" s="525" t="str">
        <f t="shared" si="11"/>
        <v>是否封闭</v>
      </c>
      <c r="R31" s="644" t="s">
        <v>14</v>
      </c>
      <c r="S31" s="645">
        <f t="shared" si="12"/>
        <v>100</v>
      </c>
      <c r="T31" s="644" t="s">
        <v>14</v>
      </c>
      <c r="U31" s="645">
        <f t="shared" si="13"/>
        <v>100</v>
      </c>
      <c r="V31" s="644" t="s">
        <v>14</v>
      </c>
      <c r="W31" s="645">
        <f t="shared" si="14"/>
        <v>100</v>
      </c>
      <c r="X31" s="646"/>
      <c r="Y31" s="3247"/>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47" t="s">
        <v>1674</v>
      </c>
      <c r="Q32" s="1150">
        <f t="shared" si="11"/>
        <v>111</v>
      </c>
      <c r="R32" s="647" t="s">
        <v>14</v>
      </c>
      <c r="S32" s="648">
        <f t="shared" si="12"/>
        <v>100</v>
      </c>
      <c r="T32" s="647" t="s">
        <v>14</v>
      </c>
      <c r="U32" s="648">
        <f t="shared" si="13"/>
        <v>100</v>
      </c>
      <c r="V32" s="647" t="s">
        <v>14</v>
      </c>
      <c r="W32" s="648">
        <f t="shared" si="14"/>
        <v>100</v>
      </c>
      <c r="X32" s="1152"/>
      <c r="Y32" s="3247"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47"/>
      <c r="Q33" s="1150">
        <f t="shared" si="11"/>
        <v>111</v>
      </c>
      <c r="R33" s="647" t="s">
        <v>14</v>
      </c>
      <c r="S33" s="648">
        <f t="shared" si="12"/>
        <v>100</v>
      </c>
      <c r="T33" s="647" t="s">
        <v>14</v>
      </c>
      <c r="U33" s="648">
        <f t="shared" si="13"/>
        <v>100</v>
      </c>
      <c r="V33" s="647" t="s">
        <v>14</v>
      </c>
      <c r="W33" s="648">
        <f t="shared" si="14"/>
        <v>100</v>
      </c>
      <c r="X33" s="1152"/>
      <c r="Y33" s="3247"/>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29" t="str">
        <f>A35</f>
        <v>成交单价（元/平方米）</v>
      </c>
      <c r="Q35" s="3229"/>
      <c r="R35" s="3242">
        <f>E35</f>
        <v>0</v>
      </c>
      <c r="S35" s="3242"/>
      <c r="T35" s="3242">
        <f>G35</f>
        <v>0</v>
      </c>
      <c r="U35" s="3242"/>
      <c r="V35" s="3242">
        <f>I35</f>
        <v>0</v>
      </c>
      <c r="W35" s="3242"/>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9" t="str">
        <f>A36</f>
        <v>比较价值（元/平方米）</v>
      </c>
      <c r="Q36" s="3229"/>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49" t="str">
        <f>A37</f>
        <v>估价对象XX用房的比较价值（楼面单价，元/平方米）</v>
      </c>
      <c r="Q37" s="3250"/>
      <c r="R37" s="3252" t="e">
        <f>IF(F1="售价",ROUND(IF(D36="简单平均",AVERAGE(R36:W36),R36*F36+T36*H36+V36*J36),0),ROUND(IF(D36="简单平均",AVERAGE(R36:V36),R36*F36+T36*H36+V36*J36),1))</f>
        <v>#DIV/0!</v>
      </c>
      <c r="S37" s="3252"/>
      <c r="T37" s="3252"/>
      <c r="U37" s="3252"/>
      <c r="V37" s="3252"/>
      <c r="W37" s="3252"/>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9"/>
      <c r="Q12" s="525" t="str">
        <f t="shared" si="6"/>
        <v>配建</v>
      </c>
      <c r="R12" s="644" t="s">
        <v>14</v>
      </c>
      <c r="S12" s="645">
        <f t="shared" si="0"/>
        <v>100</v>
      </c>
      <c r="T12" s="644" t="s">
        <v>14</v>
      </c>
      <c r="U12" s="645">
        <f t="shared" si="1"/>
        <v>100</v>
      </c>
      <c r="V12" s="644" t="s">
        <v>14</v>
      </c>
      <c r="W12" s="645">
        <f t="shared" si="2"/>
        <v>100</v>
      </c>
      <c r="X12" s="646"/>
      <c r="Y12" s="3159"/>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44" t="s">
        <v>1672</v>
      </c>
      <c r="Q15" s="1150" t="str">
        <f t="shared" si="6"/>
        <v>居住社区成熟度</v>
      </c>
      <c r="R15" s="647" t="s">
        <v>14</v>
      </c>
      <c r="S15" s="648">
        <f t="shared" si="0"/>
        <v>100</v>
      </c>
      <c r="T15" s="647" t="s">
        <v>14</v>
      </c>
      <c r="U15" s="648">
        <f t="shared" si="1"/>
        <v>100</v>
      </c>
      <c r="V15" s="647" t="s">
        <v>14</v>
      </c>
      <c r="W15" s="648">
        <f t="shared" si="2"/>
        <v>100</v>
      </c>
      <c r="X15" s="1152"/>
      <c r="Y15" s="3244"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45"/>
      <c r="Q17" s="1150" t="str">
        <f>B17</f>
        <v>商业繁华度</v>
      </c>
      <c r="R17" s="647" t="s">
        <v>14</v>
      </c>
      <c r="S17" s="648">
        <f>F17</f>
        <v>100</v>
      </c>
      <c r="T17" s="647" t="s">
        <v>14</v>
      </c>
      <c r="U17" s="648">
        <f>H17</f>
        <v>100</v>
      </c>
      <c r="V17" s="647" t="s">
        <v>14</v>
      </c>
      <c r="W17" s="648">
        <f>J17</f>
        <v>100</v>
      </c>
      <c r="X17" s="1152"/>
      <c r="Y17" s="3245"/>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45"/>
      <c r="Q19" s="1150" t="str">
        <f>B19</f>
        <v>办公集聚程度</v>
      </c>
      <c r="R19" s="647" t="s">
        <v>14</v>
      </c>
      <c r="S19" s="648">
        <f>F19</f>
        <v>100</v>
      </c>
      <c r="T19" s="647" t="s">
        <v>14</v>
      </c>
      <c r="U19" s="648">
        <f>H19</f>
        <v>100</v>
      </c>
      <c r="V19" s="647" t="s">
        <v>14</v>
      </c>
      <c r="W19" s="648">
        <f>J19</f>
        <v>100</v>
      </c>
      <c r="X19" s="1152"/>
      <c r="Y19" s="3245"/>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45"/>
      <c r="Q20" s="1150"/>
      <c r="R20" s="647"/>
      <c r="S20" s="648"/>
      <c r="T20" s="647"/>
      <c r="U20" s="648"/>
      <c r="V20" s="647"/>
      <c r="W20" s="648"/>
      <c r="X20" s="1152"/>
      <c r="Y20" s="3245"/>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45"/>
      <c r="Q21" s="1150" t="str">
        <f>B21</f>
        <v>交通便捷度</v>
      </c>
      <c r="R21" s="647" t="s">
        <v>14</v>
      </c>
      <c r="S21" s="648">
        <f>F21</f>
        <v>100</v>
      </c>
      <c r="T21" s="647" t="s">
        <v>14</v>
      </c>
      <c r="U21" s="648">
        <f>H21</f>
        <v>100</v>
      </c>
      <c r="V21" s="647" t="s">
        <v>14</v>
      </c>
      <c r="W21" s="648">
        <f>J21</f>
        <v>100</v>
      </c>
      <c r="X21" s="1152"/>
      <c r="Y21" s="3245"/>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45"/>
      <c r="Q23" s="1150" t="str">
        <f t="shared" ref="Q23:Q37" si="8">B23</f>
        <v>区域土地利用方向</v>
      </c>
      <c r="R23" s="647" t="s">
        <v>14</v>
      </c>
      <c r="S23" s="648">
        <f>F23</f>
        <v>100</v>
      </c>
      <c r="T23" s="647" t="s">
        <v>14</v>
      </c>
      <c r="U23" s="648">
        <f>H23</f>
        <v>100</v>
      </c>
      <c r="V23" s="647" t="s">
        <v>14</v>
      </c>
      <c r="W23" s="648">
        <f>J23</f>
        <v>100</v>
      </c>
      <c r="X23" s="1152"/>
      <c r="Y23" s="3245"/>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45"/>
      <c r="Q24" s="1150"/>
      <c r="R24" s="647"/>
      <c r="S24" s="648"/>
      <c r="T24" s="647"/>
      <c r="U24" s="648"/>
      <c r="V24" s="647"/>
      <c r="W24" s="648"/>
      <c r="X24" s="1152"/>
      <c r="Y24" s="3245"/>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45"/>
      <c r="Q25" s="1150" t="str">
        <f t="shared" si="8"/>
        <v>自然及人文环境状况</v>
      </c>
      <c r="R25" s="647" t="s">
        <v>14</v>
      </c>
      <c r="S25" s="648">
        <f>F25</f>
        <v>100</v>
      </c>
      <c r="T25" s="647" t="s">
        <v>14</v>
      </c>
      <c r="U25" s="648">
        <f>H25</f>
        <v>100</v>
      </c>
      <c r="V25" s="647" t="s">
        <v>14</v>
      </c>
      <c r="W25" s="648">
        <f>J25</f>
        <v>100</v>
      </c>
      <c r="X25" s="1152"/>
      <c r="Y25" s="3245"/>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45"/>
      <c r="Q26" s="1150"/>
      <c r="R26" s="647"/>
      <c r="S26" s="648"/>
      <c r="T26" s="647"/>
      <c r="U26" s="648"/>
      <c r="V26" s="647"/>
      <c r="W26" s="648"/>
      <c r="X26" s="1152"/>
      <c r="Y26" s="3245"/>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45"/>
      <c r="Q27" s="525" t="str">
        <f t="shared" si="8"/>
        <v>公共配套设施</v>
      </c>
      <c r="R27" s="644" t="s">
        <v>14</v>
      </c>
      <c r="S27" s="645">
        <f>F27</f>
        <v>100</v>
      </c>
      <c r="T27" s="644" t="s">
        <v>14</v>
      </c>
      <c r="U27" s="645">
        <f>H27</f>
        <v>100</v>
      </c>
      <c r="V27" s="644" t="s">
        <v>14</v>
      </c>
      <c r="W27" s="645">
        <f>J27</f>
        <v>100</v>
      </c>
      <c r="X27" s="646"/>
      <c r="Y27" s="3245"/>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45"/>
      <c r="Q28" s="525"/>
      <c r="R28" s="644"/>
      <c r="S28" s="645"/>
      <c r="T28" s="644"/>
      <c r="U28" s="645"/>
      <c r="V28" s="644"/>
      <c r="W28" s="645"/>
      <c r="X28" s="646"/>
      <c r="Y28" s="3245"/>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45"/>
      <c r="Q29" s="525" t="str">
        <f t="shared" ref="Q29" si="9">B29</f>
        <v>基础设施水平</v>
      </c>
      <c r="R29" s="644" t="s">
        <v>14</v>
      </c>
      <c r="S29" s="645">
        <f>F29</f>
        <v>100</v>
      </c>
      <c r="T29" s="644" t="s">
        <v>14</v>
      </c>
      <c r="U29" s="645">
        <f>H29</f>
        <v>100</v>
      </c>
      <c r="V29" s="644" t="s">
        <v>14</v>
      </c>
      <c r="W29" s="645">
        <f>J29</f>
        <v>100</v>
      </c>
      <c r="X29" s="646"/>
      <c r="Y29" s="3245"/>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45"/>
      <c r="Q30" s="525"/>
      <c r="R30" s="644"/>
      <c r="S30" s="645"/>
      <c r="T30" s="644"/>
      <c r="U30" s="645"/>
      <c r="V30" s="644"/>
      <c r="W30" s="645"/>
      <c r="X30" s="646"/>
      <c r="Y30" s="3245"/>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45"/>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45"/>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45"/>
      <c r="Q32" s="1150" t="str">
        <f t="shared" si="8"/>
        <v>毗邻道路的类型与等级</v>
      </c>
      <c r="R32" s="647" t="s">
        <v>14</v>
      </c>
      <c r="S32" s="648">
        <f t="shared" si="10"/>
        <v>100</v>
      </c>
      <c r="T32" s="647" t="s">
        <v>14</v>
      </c>
      <c r="U32" s="648">
        <f t="shared" si="11"/>
        <v>100</v>
      </c>
      <c r="V32" s="647" t="s">
        <v>14</v>
      </c>
      <c r="W32" s="648">
        <f t="shared" si="12"/>
        <v>100</v>
      </c>
      <c r="X32" s="1152"/>
      <c r="Y32" s="3245"/>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45"/>
      <c r="Q33" s="1150"/>
      <c r="R33" s="647"/>
      <c r="S33" s="648"/>
      <c r="T33" s="647"/>
      <c r="U33" s="648"/>
      <c r="V33" s="647"/>
      <c r="W33" s="648"/>
      <c r="X33" s="1152"/>
      <c r="Y33" s="3245"/>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45"/>
      <c r="Q34" s="1150" t="str">
        <f t="shared" si="8"/>
        <v>土地级别</v>
      </c>
      <c r="R34" s="647" t="s">
        <v>14</v>
      </c>
      <c r="S34" s="648">
        <f t="shared" si="10"/>
        <v>100</v>
      </c>
      <c r="T34" s="647" t="s">
        <v>14</v>
      </c>
      <c r="U34" s="648">
        <f t="shared" si="11"/>
        <v>100</v>
      </c>
      <c r="V34" s="647" t="s">
        <v>14</v>
      </c>
      <c r="W34" s="648">
        <f t="shared" si="12"/>
        <v>100</v>
      </c>
      <c r="X34" s="1152"/>
      <c r="Y34" s="3245"/>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45"/>
      <c r="Q35" s="1150">
        <f t="shared" si="8"/>
        <v>111</v>
      </c>
      <c r="R35" s="647" t="s">
        <v>14</v>
      </c>
      <c r="S35" s="648">
        <f t="shared" si="10"/>
        <v>100</v>
      </c>
      <c r="T35" s="647" t="s">
        <v>14</v>
      </c>
      <c r="U35" s="648">
        <f t="shared" si="11"/>
        <v>100</v>
      </c>
      <c r="V35" s="647" t="s">
        <v>14</v>
      </c>
      <c r="W35" s="648">
        <f t="shared" si="12"/>
        <v>100</v>
      </c>
      <c r="X35" s="1152"/>
      <c r="Y35" s="3245"/>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46" t="s">
        <v>1674</v>
      </c>
      <c r="Q36" s="1150">
        <f t="shared" si="8"/>
        <v>111</v>
      </c>
      <c r="R36" s="647" t="s">
        <v>14</v>
      </c>
      <c r="S36" s="648">
        <f t="shared" si="10"/>
        <v>100</v>
      </c>
      <c r="T36" s="647" t="s">
        <v>14</v>
      </c>
      <c r="U36" s="648">
        <f t="shared" si="11"/>
        <v>100</v>
      </c>
      <c r="V36" s="647" t="s">
        <v>14</v>
      </c>
      <c r="W36" s="648">
        <f t="shared" si="12"/>
        <v>100</v>
      </c>
      <c r="X36" s="1152"/>
      <c r="Y36" s="3247"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47"/>
      <c r="Q37" s="1150">
        <f t="shared" si="8"/>
        <v>111</v>
      </c>
      <c r="R37" s="649" t="s">
        <v>14</v>
      </c>
      <c r="S37" s="650">
        <f t="shared" si="10"/>
        <v>100</v>
      </c>
      <c r="T37" s="649" t="s">
        <v>14</v>
      </c>
      <c r="U37" s="650">
        <f t="shared" si="11"/>
        <v>100</v>
      </c>
      <c r="V37" s="649" t="s">
        <v>14</v>
      </c>
      <c r="W37" s="650">
        <f t="shared" si="12"/>
        <v>100</v>
      </c>
      <c r="X37" s="651"/>
      <c r="Y37" s="3247"/>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47"/>
      <c r="Q38" s="1150" t="str">
        <f>B38</f>
        <v>宗地面积</v>
      </c>
      <c r="R38" s="647" t="s">
        <v>14</v>
      </c>
      <c r="S38" s="648" t="e">
        <f t="shared" si="10"/>
        <v>#N/A</v>
      </c>
      <c r="T38" s="647" t="s">
        <v>14</v>
      </c>
      <c r="U38" s="648" t="e">
        <f t="shared" si="11"/>
        <v>#N/A</v>
      </c>
      <c r="V38" s="647" t="s">
        <v>14</v>
      </c>
      <c r="W38" s="648" t="e">
        <f t="shared" si="12"/>
        <v>#N/A</v>
      </c>
      <c r="X38" s="1152"/>
      <c r="Y38" s="3247"/>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47"/>
      <c r="Q39" s="1150" t="str">
        <f t="shared" ref="Q39:Q45" si="14">B39</f>
        <v>宗地形状</v>
      </c>
      <c r="R39" s="647" t="s">
        <v>14</v>
      </c>
      <c r="S39" s="648">
        <f t="shared" si="10"/>
        <v>100</v>
      </c>
      <c r="T39" s="647" t="s">
        <v>14</v>
      </c>
      <c r="U39" s="648">
        <f t="shared" si="11"/>
        <v>100</v>
      </c>
      <c r="V39" s="647" t="s">
        <v>14</v>
      </c>
      <c r="W39" s="648">
        <f t="shared" si="12"/>
        <v>100</v>
      </c>
      <c r="X39" s="1152"/>
      <c r="Y39" s="3247"/>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47"/>
      <c r="Q40" s="1150" t="str">
        <f t="shared" si="14"/>
        <v>临街宽度及深度</v>
      </c>
      <c r="R40" s="647" t="s">
        <v>14</v>
      </c>
      <c r="S40" s="648">
        <f t="shared" si="10"/>
        <v>100</v>
      </c>
      <c r="T40" s="647" t="s">
        <v>14</v>
      </c>
      <c r="U40" s="648">
        <f t="shared" si="11"/>
        <v>100</v>
      </c>
      <c r="V40" s="647" t="s">
        <v>14</v>
      </c>
      <c r="W40" s="648">
        <f t="shared" si="12"/>
        <v>100</v>
      </c>
      <c r="X40" s="1152"/>
      <c r="Y40" s="3247"/>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47"/>
      <c r="Q41" s="1150" t="str">
        <f t="shared" si="14"/>
        <v>宗地开发程度</v>
      </c>
      <c r="R41" s="644" t="s">
        <v>14</v>
      </c>
      <c r="S41" s="645">
        <f t="shared" si="10"/>
        <v>100</v>
      </c>
      <c r="T41" s="644" t="s">
        <v>14</v>
      </c>
      <c r="U41" s="645">
        <f t="shared" si="11"/>
        <v>100</v>
      </c>
      <c r="V41" s="644" t="s">
        <v>14</v>
      </c>
      <c r="W41" s="645">
        <f t="shared" si="12"/>
        <v>100</v>
      </c>
      <c r="X41" s="646"/>
      <c r="Y41" s="3247"/>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47" t="s">
        <v>1674</v>
      </c>
      <c r="Q42" s="1150" t="str">
        <f t="shared" si="14"/>
        <v>工程地质条件</v>
      </c>
      <c r="R42" s="647" t="s">
        <v>14</v>
      </c>
      <c r="S42" s="648">
        <f t="shared" si="10"/>
        <v>100</v>
      </c>
      <c r="T42" s="647" t="s">
        <v>14</v>
      </c>
      <c r="U42" s="648">
        <f t="shared" si="11"/>
        <v>100</v>
      </c>
      <c r="V42" s="647" t="s">
        <v>14</v>
      </c>
      <c r="W42" s="648">
        <f t="shared" si="12"/>
        <v>100</v>
      </c>
      <c r="X42" s="1152"/>
      <c r="Y42" s="3247"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47"/>
      <c r="Q43" s="1150">
        <f t="shared" si="14"/>
        <v>111</v>
      </c>
      <c r="R43" s="647" t="s">
        <v>14</v>
      </c>
      <c r="S43" s="648">
        <f t="shared" si="10"/>
        <v>100</v>
      </c>
      <c r="T43" s="647" t="s">
        <v>14</v>
      </c>
      <c r="U43" s="648">
        <f t="shared" si="11"/>
        <v>100</v>
      </c>
      <c r="V43" s="647" t="s">
        <v>14</v>
      </c>
      <c r="W43" s="648">
        <f t="shared" si="12"/>
        <v>100</v>
      </c>
      <c r="X43" s="1152"/>
      <c r="Y43" s="3247"/>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47"/>
      <c r="Q44" s="1150">
        <f t="shared" si="14"/>
        <v>111</v>
      </c>
      <c r="R44" s="647" t="s">
        <v>14</v>
      </c>
      <c r="S44" s="648">
        <f t="shared" si="10"/>
        <v>100</v>
      </c>
      <c r="T44" s="647" t="s">
        <v>14</v>
      </c>
      <c r="U44" s="648">
        <f t="shared" si="11"/>
        <v>100</v>
      </c>
      <c r="V44" s="647" t="s">
        <v>14</v>
      </c>
      <c r="W44" s="648">
        <f t="shared" si="12"/>
        <v>100</v>
      </c>
      <c r="X44" s="1152"/>
      <c r="Y44" s="3247"/>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47"/>
      <c r="Q45" s="1150">
        <f t="shared" si="14"/>
        <v>111</v>
      </c>
      <c r="R45" s="649" t="s">
        <v>14</v>
      </c>
      <c r="S45" s="650">
        <f t="shared" si="10"/>
        <v>100</v>
      </c>
      <c r="T45" s="649" t="s">
        <v>14</v>
      </c>
      <c r="U45" s="650">
        <f t="shared" si="11"/>
        <v>100</v>
      </c>
      <c r="V45" s="649" t="s">
        <v>14</v>
      </c>
      <c r="W45" s="650">
        <f t="shared" si="12"/>
        <v>100</v>
      </c>
      <c r="X45" s="651"/>
      <c r="Y45" s="3247"/>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29" t="str">
        <f>A46</f>
        <v>成交单价</v>
      </c>
      <c r="Q46" s="3229"/>
      <c r="R46" s="3242">
        <f>E46</f>
        <v>0</v>
      </c>
      <c r="S46" s="3242"/>
      <c r="T46" s="3242">
        <f>G46</f>
        <v>0</v>
      </c>
      <c r="U46" s="3242"/>
      <c r="V46" s="3242">
        <f>I46</f>
        <v>0</v>
      </c>
      <c r="W46" s="3242"/>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9" t="str">
        <f>A47</f>
        <v>比较价值（元/平方米）</v>
      </c>
      <c r="Q47" s="3229"/>
      <c r="R47" s="3253" t="e">
        <f>ROUND(PRODUCT(R46,AA7:AA45),0)</f>
        <v>#DIV/0!</v>
      </c>
      <c r="S47" s="3253"/>
      <c r="T47" s="3253" t="e">
        <f>ROUND(PRODUCT(T46,AB7:AB45),0)</f>
        <v>#DIV/0!</v>
      </c>
      <c r="U47" s="3253"/>
      <c r="V47" s="3253" t="e">
        <f>ROUND(PRODUCT(V46,AC7:AC45),0)</f>
        <v>#DIV/0!</v>
      </c>
      <c r="W47" s="3253"/>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49" t="str">
        <f>A48</f>
        <v>估价对象XX用房的比较价值（楼面单价，元/平方米）</v>
      </c>
      <c r="Q48" s="3250"/>
      <c r="R48" s="3254" t="e">
        <f>ROUND(IF(D47="简单平均",AVERAGE(R47:W47),R47*F47+T47*H47+V47*J47),0)</f>
        <v>#DIV/0!</v>
      </c>
      <c r="S48" s="3254"/>
      <c r="T48" s="3254"/>
      <c r="U48" s="3254"/>
      <c r="V48" s="3254"/>
      <c r="W48" s="3254"/>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30" t="s">
        <v>1812</v>
      </c>
      <c r="H55" s="3255"/>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6"/>
      <c r="H56" s="3229"/>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2026年1月9日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57" t="s">
        <v>1844</v>
      </c>
      <c r="D6" s="3258"/>
      <c r="E6" s="3259" t="s">
        <v>1844</v>
      </c>
      <c r="F6" s="3260"/>
      <c r="G6" s="3257" t="s">
        <v>1844</v>
      </c>
      <c r="H6" s="3258"/>
      <c r="I6" s="3257" t="s">
        <v>1844</v>
      </c>
      <c r="J6" s="3258"/>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45"/>
      <c r="Q19" s="1150" t="str">
        <f t="shared" ref="Q19:Q33" si="8">B19</f>
        <v>区域土地利用方向</v>
      </c>
      <c r="R19" s="647" t="s">
        <v>14</v>
      </c>
      <c r="S19" s="648">
        <f>F19</f>
        <v>100</v>
      </c>
      <c r="T19" s="647" t="s">
        <v>14</v>
      </c>
      <c r="U19" s="648">
        <f>H19</f>
        <v>100</v>
      </c>
      <c r="V19" s="647" t="s">
        <v>14</v>
      </c>
      <c r="W19" s="648">
        <f>J19</f>
        <v>100</v>
      </c>
      <c r="X19" s="1152"/>
      <c r="Y19" s="3245"/>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45"/>
      <c r="Q20" s="1150"/>
      <c r="R20" s="647"/>
      <c r="S20" s="648"/>
      <c r="T20" s="647"/>
      <c r="U20" s="648"/>
      <c r="V20" s="647"/>
      <c r="W20" s="648"/>
      <c r="X20" s="1152"/>
      <c r="Y20" s="3245"/>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45"/>
      <c r="Q21" s="1150" t="str">
        <f t="shared" si="8"/>
        <v>环境状况</v>
      </c>
      <c r="R21" s="647" t="s">
        <v>14</v>
      </c>
      <c r="S21" s="648">
        <f>F21</f>
        <v>100</v>
      </c>
      <c r="T21" s="647" t="s">
        <v>14</v>
      </c>
      <c r="U21" s="648">
        <f>H21</f>
        <v>100</v>
      </c>
      <c r="V21" s="647" t="s">
        <v>14</v>
      </c>
      <c r="W21" s="648">
        <f>J21</f>
        <v>100</v>
      </c>
      <c r="X21" s="1152"/>
      <c r="Y21" s="3245"/>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45"/>
      <c r="Q23" s="525" t="str">
        <f t="shared" si="8"/>
        <v>公共配套设施</v>
      </c>
      <c r="R23" s="644" t="s">
        <v>14</v>
      </c>
      <c r="S23" s="645">
        <f>F23</f>
        <v>100</v>
      </c>
      <c r="T23" s="644" t="s">
        <v>14</v>
      </c>
      <c r="U23" s="645">
        <f>H23</f>
        <v>100</v>
      </c>
      <c r="V23" s="644" t="s">
        <v>14</v>
      </c>
      <c r="W23" s="645">
        <f>J23</f>
        <v>100</v>
      </c>
      <c r="X23" s="646"/>
      <c r="Y23" s="3245"/>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45"/>
      <c r="Q24" s="525"/>
      <c r="R24" s="644"/>
      <c r="S24" s="645"/>
      <c r="T24" s="644"/>
      <c r="U24" s="645"/>
      <c r="V24" s="644"/>
      <c r="W24" s="645"/>
      <c r="X24" s="646"/>
      <c r="Y24" s="3245"/>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45"/>
      <c r="Q25" s="525" t="str">
        <f t="shared" ref="Q25" si="9">B25</f>
        <v>基础设施水平</v>
      </c>
      <c r="R25" s="644" t="s">
        <v>14</v>
      </c>
      <c r="S25" s="645">
        <f>F25</f>
        <v>100</v>
      </c>
      <c r="T25" s="644" t="s">
        <v>14</v>
      </c>
      <c r="U25" s="645">
        <f>H25</f>
        <v>100</v>
      </c>
      <c r="V25" s="644" t="s">
        <v>14</v>
      </c>
      <c r="W25" s="645">
        <f>J25</f>
        <v>100</v>
      </c>
      <c r="X25" s="646"/>
      <c r="Y25" s="3245"/>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45"/>
      <c r="Q26" s="525"/>
      <c r="R26" s="644"/>
      <c r="S26" s="645"/>
      <c r="T26" s="644"/>
      <c r="U26" s="645"/>
      <c r="V26" s="644"/>
      <c r="W26" s="645"/>
      <c r="X26" s="646"/>
      <c r="Y26" s="3245"/>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45"/>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45"/>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45"/>
      <c r="Q28" s="1150" t="str">
        <f t="shared" si="8"/>
        <v>毗邻道路的类型与等级</v>
      </c>
      <c r="R28" s="647" t="s">
        <v>14</v>
      </c>
      <c r="S28" s="648">
        <f t="shared" si="10"/>
        <v>100</v>
      </c>
      <c r="T28" s="647" t="s">
        <v>14</v>
      </c>
      <c r="U28" s="648">
        <f t="shared" si="11"/>
        <v>100</v>
      </c>
      <c r="V28" s="647" t="s">
        <v>14</v>
      </c>
      <c r="W28" s="648">
        <f t="shared" si="12"/>
        <v>100</v>
      </c>
      <c r="X28" s="1152"/>
      <c r="Y28" s="3245"/>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45"/>
      <c r="Q29" s="1150"/>
      <c r="R29" s="647"/>
      <c r="S29" s="648"/>
      <c r="T29" s="647"/>
      <c r="U29" s="648"/>
      <c r="V29" s="647"/>
      <c r="W29" s="648"/>
      <c r="X29" s="1152"/>
      <c r="Y29" s="3245"/>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45"/>
      <c r="Q30" s="1150" t="str">
        <f t="shared" si="8"/>
        <v>土地级别</v>
      </c>
      <c r="R30" s="647" t="s">
        <v>14</v>
      </c>
      <c r="S30" s="648">
        <f t="shared" si="10"/>
        <v>100</v>
      </c>
      <c r="T30" s="647" t="s">
        <v>14</v>
      </c>
      <c r="U30" s="648">
        <f t="shared" si="11"/>
        <v>100</v>
      </c>
      <c r="V30" s="647" t="s">
        <v>14</v>
      </c>
      <c r="W30" s="648">
        <f t="shared" si="12"/>
        <v>100</v>
      </c>
      <c r="X30" s="1152"/>
      <c r="Y30" s="3245"/>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45"/>
      <c r="Q31" s="1150">
        <f t="shared" si="8"/>
        <v>111</v>
      </c>
      <c r="R31" s="647" t="s">
        <v>14</v>
      </c>
      <c r="S31" s="648">
        <f t="shared" si="10"/>
        <v>100</v>
      </c>
      <c r="T31" s="647" t="s">
        <v>14</v>
      </c>
      <c r="U31" s="648">
        <f t="shared" si="11"/>
        <v>100</v>
      </c>
      <c r="V31" s="647" t="s">
        <v>14</v>
      </c>
      <c r="W31" s="648">
        <f t="shared" si="12"/>
        <v>100</v>
      </c>
      <c r="X31" s="1152"/>
      <c r="Y31" s="3245"/>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46" t="s">
        <v>1674</v>
      </c>
      <c r="Q32" s="1150">
        <f t="shared" si="8"/>
        <v>111</v>
      </c>
      <c r="R32" s="647" t="s">
        <v>14</v>
      </c>
      <c r="S32" s="648">
        <f t="shared" si="10"/>
        <v>100</v>
      </c>
      <c r="T32" s="647" t="s">
        <v>14</v>
      </c>
      <c r="U32" s="648">
        <f t="shared" si="11"/>
        <v>100</v>
      </c>
      <c r="V32" s="647" t="s">
        <v>14</v>
      </c>
      <c r="W32" s="648">
        <f t="shared" si="12"/>
        <v>100</v>
      </c>
      <c r="X32" s="1152"/>
      <c r="Y32" s="3247"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47"/>
      <c r="Q33" s="1150">
        <f t="shared" si="8"/>
        <v>111</v>
      </c>
      <c r="R33" s="649" t="s">
        <v>14</v>
      </c>
      <c r="S33" s="650">
        <f t="shared" si="10"/>
        <v>100</v>
      </c>
      <c r="T33" s="649" t="s">
        <v>14</v>
      </c>
      <c r="U33" s="650">
        <f t="shared" si="11"/>
        <v>100</v>
      </c>
      <c r="V33" s="649" t="s">
        <v>14</v>
      </c>
      <c r="W33" s="650">
        <f t="shared" si="12"/>
        <v>100</v>
      </c>
      <c r="X33" s="651"/>
      <c r="Y33" s="3247"/>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47"/>
      <c r="Q34" s="1150" t="str">
        <f>B34</f>
        <v>宗地面积</v>
      </c>
      <c r="R34" s="647" t="s">
        <v>14</v>
      </c>
      <c r="S34" s="648" t="e">
        <f t="shared" si="10"/>
        <v>#N/A</v>
      </c>
      <c r="T34" s="647" t="s">
        <v>14</v>
      </c>
      <c r="U34" s="648" t="e">
        <f t="shared" si="11"/>
        <v>#N/A</v>
      </c>
      <c r="V34" s="647" t="s">
        <v>14</v>
      </c>
      <c r="W34" s="648" t="e">
        <f t="shared" si="12"/>
        <v>#N/A</v>
      </c>
      <c r="X34" s="1152"/>
      <c r="Y34" s="3247"/>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47"/>
      <c r="Q35" s="1150" t="str">
        <f t="shared" ref="Q35:Q40" si="14">B35</f>
        <v>宗地形状</v>
      </c>
      <c r="R35" s="647" t="s">
        <v>14</v>
      </c>
      <c r="S35" s="648">
        <f t="shared" si="10"/>
        <v>100</v>
      </c>
      <c r="T35" s="647" t="s">
        <v>14</v>
      </c>
      <c r="U35" s="648">
        <f t="shared" si="11"/>
        <v>100</v>
      </c>
      <c r="V35" s="647" t="s">
        <v>14</v>
      </c>
      <c r="W35" s="648">
        <f t="shared" si="12"/>
        <v>100</v>
      </c>
      <c r="X35" s="1152"/>
      <c r="Y35" s="3247"/>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47"/>
      <c r="Q36" s="1150" t="str">
        <f t="shared" si="14"/>
        <v>宗地开发程度</v>
      </c>
      <c r="R36" s="644" t="s">
        <v>14</v>
      </c>
      <c r="S36" s="645">
        <f t="shared" si="10"/>
        <v>100</v>
      </c>
      <c r="T36" s="644" t="s">
        <v>14</v>
      </c>
      <c r="U36" s="645">
        <f t="shared" si="11"/>
        <v>100</v>
      </c>
      <c r="V36" s="644" t="s">
        <v>14</v>
      </c>
      <c r="W36" s="645">
        <f t="shared" si="12"/>
        <v>100</v>
      </c>
      <c r="X36" s="646"/>
      <c r="Y36" s="3247"/>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47" t="s">
        <v>1674</v>
      </c>
      <c r="Q37" s="1150" t="str">
        <f t="shared" si="14"/>
        <v>工程地质条件</v>
      </c>
      <c r="R37" s="647" t="s">
        <v>14</v>
      </c>
      <c r="S37" s="648">
        <f t="shared" si="10"/>
        <v>100</v>
      </c>
      <c r="T37" s="647" t="s">
        <v>14</v>
      </c>
      <c r="U37" s="648">
        <f t="shared" si="11"/>
        <v>100</v>
      </c>
      <c r="V37" s="647" t="s">
        <v>14</v>
      </c>
      <c r="W37" s="648">
        <f t="shared" si="12"/>
        <v>100</v>
      </c>
      <c r="X37" s="1152"/>
      <c r="Y37" s="3247"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47"/>
      <c r="Q38" s="1150">
        <f t="shared" si="14"/>
        <v>111</v>
      </c>
      <c r="R38" s="647" t="s">
        <v>14</v>
      </c>
      <c r="S38" s="648">
        <f t="shared" si="10"/>
        <v>100</v>
      </c>
      <c r="T38" s="647" t="s">
        <v>14</v>
      </c>
      <c r="U38" s="648">
        <f t="shared" si="11"/>
        <v>100</v>
      </c>
      <c r="V38" s="647" t="s">
        <v>14</v>
      </c>
      <c r="W38" s="648">
        <f t="shared" si="12"/>
        <v>100</v>
      </c>
      <c r="X38" s="1152"/>
      <c r="Y38" s="3247"/>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47"/>
      <c r="Q39" s="1150">
        <f t="shared" si="14"/>
        <v>111</v>
      </c>
      <c r="R39" s="647" t="s">
        <v>14</v>
      </c>
      <c r="S39" s="648">
        <f t="shared" si="10"/>
        <v>100</v>
      </c>
      <c r="T39" s="647" t="s">
        <v>14</v>
      </c>
      <c r="U39" s="648">
        <f t="shared" si="11"/>
        <v>100</v>
      </c>
      <c r="V39" s="647" t="s">
        <v>14</v>
      </c>
      <c r="W39" s="648">
        <f t="shared" si="12"/>
        <v>100</v>
      </c>
      <c r="X39" s="1152"/>
      <c r="Y39" s="3247"/>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47"/>
      <c r="Q40" s="1150">
        <f t="shared" si="14"/>
        <v>111</v>
      </c>
      <c r="R40" s="649" t="s">
        <v>14</v>
      </c>
      <c r="S40" s="650">
        <f t="shared" si="10"/>
        <v>100</v>
      </c>
      <c r="T40" s="649" t="s">
        <v>14</v>
      </c>
      <c r="U40" s="650">
        <f t="shared" si="11"/>
        <v>100</v>
      </c>
      <c r="V40" s="649" t="s">
        <v>14</v>
      </c>
      <c r="W40" s="650">
        <f t="shared" si="12"/>
        <v>100</v>
      </c>
      <c r="X40" s="651"/>
      <c r="Y40" s="3247"/>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29" t="str">
        <f>A41</f>
        <v>成交单价</v>
      </c>
      <c r="Q41" s="3229"/>
      <c r="R41" s="3242">
        <f>E41</f>
        <v>0</v>
      </c>
      <c r="S41" s="3242"/>
      <c r="T41" s="3242">
        <f>G41</f>
        <v>0</v>
      </c>
      <c r="U41" s="3242"/>
      <c r="V41" s="3242">
        <f>I41</f>
        <v>0</v>
      </c>
      <c r="W41" s="3242"/>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9" t="str">
        <f>A42</f>
        <v>比较价值（元/平方米）</v>
      </c>
      <c r="Q42" s="3229"/>
      <c r="R42" s="3253" t="e">
        <f>ROUND(PRODUCT(R41,AA7:AA40),0)</f>
        <v>#DIV/0!</v>
      </c>
      <c r="S42" s="3253"/>
      <c r="T42" s="3253" t="e">
        <f>ROUND(PRODUCT(T41,AB7:AB40),0)</f>
        <v>#DIV/0!</v>
      </c>
      <c r="U42" s="3253"/>
      <c r="V42" s="3253" t="e">
        <f>ROUND(PRODUCT(V41,AC7:AC40),0)</f>
        <v>#DIV/0!</v>
      </c>
      <c r="W42" s="3253"/>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49" t="str">
        <f>A43</f>
        <v>估价对象XX用房的比较价值（楼面单价，元/平方米）</v>
      </c>
      <c r="Q43" s="3250"/>
      <c r="R43" s="3254" t="e">
        <f>ROUND(IF(D42="简单平均",AVERAGE(R42:W42),R42*F42+T42*H42+V42*J42),0)</f>
        <v>#DIV/0!</v>
      </c>
      <c r="S43" s="3254"/>
      <c r="T43" s="3254"/>
      <c r="U43" s="3254"/>
      <c r="V43" s="3254"/>
      <c r="W43" s="3254"/>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30" t="s">
        <v>1812</v>
      </c>
      <c r="H50" s="3255"/>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6"/>
      <c r="H51" s="3229"/>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C22" zoomScale="130" zoomScaleNormal="70" zoomScaleSheetLayoutView="130" workbookViewId="0">
      <selection activeCell="M48" sqref="M48"/>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42" t="s">
        <v>1704</v>
      </c>
      <c r="AC4" s="3212" t="s">
        <v>1705</v>
      </c>
    </row>
    <row r="5" spans="1:29" ht="15">
      <c r="A5" s="345"/>
      <c r="B5" s="346"/>
      <c r="C5" s="3223" t="s">
        <v>1654</v>
      </c>
      <c r="D5" s="3224"/>
      <c r="E5" s="3221" t="str">
        <f>Sheet1!E38</f>
        <v>雅世合金</v>
      </c>
      <c r="F5" s="3222"/>
      <c r="G5" s="3261" t="s">
        <v>3360</v>
      </c>
      <c r="H5" s="3224"/>
      <c r="I5" s="3223" t="str">
        <f>Sheet1!E44</f>
        <v>京粮广场</v>
      </c>
      <c r="J5" s="3224"/>
      <c r="K5" s="530"/>
      <c r="L5" s="2309"/>
      <c r="M5" s="2310"/>
      <c r="N5" s="2310"/>
      <c r="O5" s="2310"/>
      <c r="P5" s="3236"/>
      <c r="Q5" s="3237"/>
      <c r="R5" s="3219"/>
      <c r="S5" s="3220"/>
      <c r="T5" s="3219"/>
      <c r="U5" s="3220"/>
      <c r="V5" s="3242"/>
      <c r="W5" s="3242"/>
      <c r="X5" s="1152"/>
      <c r="Y5" s="3219"/>
      <c r="Z5" s="3220"/>
      <c r="AA5" s="3213"/>
      <c r="AB5" s="3242"/>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42"/>
      <c r="AC6" s="3214"/>
    </row>
    <row r="7" spans="1:29" s="101" customFormat="1" ht="15.7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15" t="s">
        <v>1661</v>
      </c>
      <c r="Q7" s="3243"/>
      <c r="R7" s="644" t="s">
        <v>14</v>
      </c>
      <c r="S7" s="645">
        <f t="shared" ref="S7:S15" si="0">F7</f>
        <v>100</v>
      </c>
      <c r="T7" s="644" t="s">
        <v>14</v>
      </c>
      <c r="U7" s="645">
        <f t="shared" ref="U7:U15" si="1">H7</f>
        <v>100</v>
      </c>
      <c r="V7" s="644" t="s">
        <v>14</v>
      </c>
      <c r="W7" s="645">
        <f t="shared" ref="W7:W15" si="2">J7</f>
        <v>100</v>
      </c>
      <c r="X7" s="646"/>
      <c r="Y7" s="3215" t="s">
        <v>1661</v>
      </c>
      <c r="Z7" s="3216"/>
      <c r="AA7" s="50">
        <f>D7/F7</f>
        <v>1</v>
      </c>
      <c r="AB7" s="50">
        <f>D7/H7</f>
        <v>1</v>
      </c>
      <c r="AC7" s="50">
        <f>D7/J7</f>
        <v>1</v>
      </c>
    </row>
    <row r="8" spans="1:29" s="101" customFormat="1" ht="15.75" thickBot="1">
      <c r="A8" s="349" t="s">
        <v>1662</v>
      </c>
      <c r="B8" s="350"/>
      <c r="C8" s="355" t="s">
        <v>3325</v>
      </c>
      <c r="D8" s="352">
        <v>100</v>
      </c>
      <c r="E8" s="355" t="s">
        <v>3326</v>
      </c>
      <c r="F8" s="354">
        <f>SUMIF(61:61,E8,62:62)-SUMIF(61:61,C8,62:62)+100</f>
        <v>105</v>
      </c>
      <c r="G8" s="355" t="s">
        <v>3326</v>
      </c>
      <c r="H8" s="352">
        <f>SUMIF(61:61,G8,62:62)-SUMIF(61:61,C8,62:62)+100</f>
        <v>105</v>
      </c>
      <c r="I8" s="355" t="s">
        <v>3326</v>
      </c>
      <c r="J8" s="352">
        <f>SUMIF(61:61,I8,62:62)-SUMIF(61:61,C8,62:62)+100</f>
        <v>105</v>
      </c>
      <c r="K8" s="38"/>
      <c r="L8" s="2311"/>
      <c r="M8" s="2264"/>
      <c r="N8" s="2264"/>
      <c r="O8" s="2264"/>
      <c r="P8" s="3215" t="s">
        <v>1664</v>
      </c>
      <c r="Q8" s="3216"/>
      <c r="R8" s="644" t="s">
        <v>14</v>
      </c>
      <c r="S8" s="645">
        <f t="shared" si="0"/>
        <v>105</v>
      </c>
      <c r="T8" s="644" t="s">
        <v>14</v>
      </c>
      <c r="U8" s="645">
        <f t="shared" si="1"/>
        <v>105</v>
      </c>
      <c r="V8" s="644" t="s">
        <v>14</v>
      </c>
      <c r="W8" s="645">
        <f t="shared" si="2"/>
        <v>105</v>
      </c>
      <c r="X8" s="646"/>
      <c r="Y8" s="3215" t="s">
        <v>1664</v>
      </c>
      <c r="Z8" s="3216"/>
      <c r="AA8" s="50">
        <f t="shared" ref="AA8:AA46" si="3">D8/F8</f>
        <v>0.95238095238095233</v>
      </c>
      <c r="AB8" s="50">
        <f t="shared" ref="AB8:AB46" si="4">D8/H8</f>
        <v>0.95238095238095233</v>
      </c>
      <c r="AC8" s="50">
        <f t="shared" ref="AC8:AC46" si="5">D8/J8</f>
        <v>0.95238095238095233</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6"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6"/>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6"/>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6"/>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6"/>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6"/>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98</v>
      </c>
      <c r="G15" s="379"/>
      <c r="H15" s="376">
        <f>SUMIF(76:76,G16,77:77)-SUMIF(76:76,C16,77:77)+100</f>
        <v>100</v>
      </c>
      <c r="I15" s="377"/>
      <c r="J15" s="376">
        <f>SUMIF(76:76,I16,77:77)-SUMIF(76:76,C16,77:77)+100</f>
        <v>100</v>
      </c>
      <c r="K15" s="533">
        <v>2</v>
      </c>
      <c r="L15" s="2315"/>
      <c r="M15" s="2310"/>
      <c r="N15" s="2310"/>
      <c r="O15" s="2310"/>
      <c r="P15" s="3262" t="s">
        <v>1672</v>
      </c>
      <c r="Q15" s="1150" t="str">
        <f t="shared" si="6"/>
        <v>商业繁华度</v>
      </c>
      <c r="R15" s="647" t="s">
        <v>14</v>
      </c>
      <c r="S15" s="648">
        <f t="shared" si="0"/>
        <v>98</v>
      </c>
      <c r="T15" s="647" t="s">
        <v>14</v>
      </c>
      <c r="U15" s="648">
        <f t="shared" si="1"/>
        <v>100</v>
      </c>
      <c r="V15" s="647" t="s">
        <v>14</v>
      </c>
      <c r="W15" s="648">
        <f t="shared" si="2"/>
        <v>100</v>
      </c>
      <c r="X15" s="1152"/>
      <c r="Y15" s="3244" t="s">
        <v>1672</v>
      </c>
      <c r="Z15" s="1151" t="str">
        <f t="shared" si="7"/>
        <v>商业繁华度</v>
      </c>
      <c r="AA15" s="1151">
        <f t="shared" si="3"/>
        <v>1.0204081632653061</v>
      </c>
      <c r="AB15" s="1151">
        <f t="shared" si="4"/>
        <v>1</v>
      </c>
      <c r="AC15" s="1151">
        <f t="shared" si="5"/>
        <v>1</v>
      </c>
    </row>
    <row r="16" spans="1:29" ht="15">
      <c r="A16" s="363"/>
      <c r="B16" s="380"/>
      <c r="C16" s="381" t="s">
        <v>3328</v>
      </c>
      <c r="D16" s="382"/>
      <c r="E16" s="381" t="s">
        <v>3329</v>
      </c>
      <c r="F16" s="383"/>
      <c r="G16" s="381" t="s">
        <v>3328</v>
      </c>
      <c r="H16" s="384"/>
      <c r="I16" s="381" t="s">
        <v>3328</v>
      </c>
      <c r="J16" s="382"/>
      <c r="K16" s="534"/>
      <c r="L16" s="2315"/>
      <c r="M16" s="2310"/>
      <c r="N16" s="2310"/>
      <c r="O16" s="2310"/>
      <c r="P16" s="3263"/>
      <c r="Q16" s="1150"/>
      <c r="R16" s="647"/>
      <c r="S16" s="648"/>
      <c r="T16" s="647"/>
      <c r="U16" s="648"/>
      <c r="V16" s="647"/>
      <c r="W16" s="648"/>
      <c r="X16" s="1152"/>
      <c r="Y16" s="3245"/>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97</v>
      </c>
      <c r="G17" s="388"/>
      <c r="H17" s="389">
        <f>SUMIF(78:78,G18,79:79)-SUMIF(78:78,C18,79:79)+100</f>
        <v>100</v>
      </c>
      <c r="I17" s="386"/>
      <c r="J17" s="389">
        <f>SUMIF(78:78,I18,79:79)-SUMIF(78:78,C18,79:79)+100</f>
        <v>100</v>
      </c>
      <c r="K17" s="533">
        <v>3</v>
      </c>
      <c r="L17" s="2315"/>
      <c r="M17" s="2310"/>
      <c r="N17" s="2310"/>
      <c r="O17" s="2310"/>
      <c r="P17" s="3263"/>
      <c r="Q17" s="1150" t="str">
        <f>B17</f>
        <v>交通便捷度</v>
      </c>
      <c r="R17" s="647" t="s">
        <v>14</v>
      </c>
      <c r="S17" s="648">
        <f>F17</f>
        <v>97</v>
      </c>
      <c r="T17" s="647" t="s">
        <v>14</v>
      </c>
      <c r="U17" s="648">
        <f>H17</f>
        <v>100</v>
      </c>
      <c r="V17" s="647" t="s">
        <v>14</v>
      </c>
      <c r="W17" s="648">
        <f>J17</f>
        <v>100</v>
      </c>
      <c r="X17" s="1152"/>
      <c r="Y17" s="3245"/>
      <c r="Z17" s="1151" t="str">
        <f>Q17</f>
        <v>交通便捷度</v>
      </c>
      <c r="AA17" s="1151">
        <f t="shared" si="3"/>
        <v>1.0309278350515463</v>
      </c>
      <c r="AB17" s="1151">
        <f t="shared" si="4"/>
        <v>1</v>
      </c>
      <c r="AC17" s="1151">
        <f t="shared" si="5"/>
        <v>1</v>
      </c>
    </row>
    <row r="18" spans="1:29" ht="15">
      <c r="A18" s="363"/>
      <c r="B18" s="390"/>
      <c r="C18" s="1631" t="s">
        <v>3328</v>
      </c>
      <c r="D18" s="384"/>
      <c r="E18" s="1632" t="s">
        <v>3329</v>
      </c>
      <c r="F18" s="387"/>
      <c r="G18" s="381" t="s">
        <v>3328</v>
      </c>
      <c r="H18" s="382"/>
      <c r="I18" s="381" t="s">
        <v>3328</v>
      </c>
      <c r="J18" s="382"/>
      <c r="K18" s="534"/>
      <c r="L18" s="2315"/>
      <c r="M18" s="2310"/>
      <c r="N18" s="2310"/>
      <c r="O18" s="2310"/>
      <c r="P18" s="3263"/>
      <c r="Q18" s="1150"/>
      <c r="R18" s="647"/>
      <c r="S18" s="648"/>
      <c r="T18" s="647"/>
      <c r="U18" s="648"/>
      <c r="V18" s="647"/>
      <c r="W18" s="648"/>
      <c r="X18" s="1152"/>
      <c r="Y18" s="3245"/>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3"/>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3"/>
      <c r="Q20" s="1150"/>
      <c r="R20" s="647"/>
      <c r="S20" s="648"/>
      <c r="T20" s="647"/>
      <c r="U20" s="648"/>
      <c r="V20" s="647"/>
      <c r="W20" s="648"/>
      <c r="X20" s="1152"/>
      <c r="Y20" s="3245"/>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3"/>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3"/>
      <c r="Q22" s="1150"/>
      <c r="R22" s="647"/>
      <c r="S22" s="648"/>
      <c r="T22" s="647"/>
      <c r="U22" s="648"/>
      <c r="V22" s="647"/>
      <c r="W22" s="648"/>
      <c r="X22" s="1152"/>
      <c r="Y22" s="3245"/>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3"/>
      <c r="Q23" s="1150" t="str">
        <f>B23</f>
        <v>自然及人文环境</v>
      </c>
      <c r="R23" s="647" t="s">
        <v>14</v>
      </c>
      <c r="S23" s="648">
        <f>F23</f>
        <v>100</v>
      </c>
      <c r="T23" s="647" t="s">
        <v>14</v>
      </c>
      <c r="U23" s="648">
        <f>H23</f>
        <v>100</v>
      </c>
      <c r="V23" s="647" t="s">
        <v>14</v>
      </c>
      <c r="W23" s="648">
        <f>J23</f>
        <v>100</v>
      </c>
      <c r="X23" s="1152"/>
      <c r="Y23" s="3245"/>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3"/>
      <c r="Q24" s="1150"/>
      <c r="R24" s="647"/>
      <c r="S24" s="648"/>
      <c r="T24" s="647"/>
      <c r="U24" s="648"/>
      <c r="V24" s="647"/>
      <c r="W24" s="648"/>
      <c r="X24" s="1152"/>
      <c r="Y24" s="3245"/>
      <c r="Z24" s="1151"/>
      <c r="AA24" s="1151">
        <v>1</v>
      </c>
      <c r="AB24" s="1151">
        <v>1</v>
      </c>
      <c r="AC24" s="1151">
        <v>1</v>
      </c>
    </row>
    <row r="25" spans="1:29" ht="15">
      <c r="A25" s="363"/>
      <c r="B25" s="361" t="s">
        <v>1712</v>
      </c>
      <c r="C25" s="535" t="s">
        <v>3340</v>
      </c>
      <c r="D25" s="370">
        <v>100</v>
      </c>
      <c r="E25" s="535" t="s">
        <v>3340</v>
      </c>
      <c r="F25" s="395">
        <f>SUMIF(86:86,E25,87:87)-SUMIF(86:86,C25,87:87)+100</f>
        <v>100</v>
      </c>
      <c r="G25" s="535" t="s">
        <v>3340</v>
      </c>
      <c r="H25" s="370">
        <f>SUMIF(86:86,G25,87:87)-SUMIF(86:86,C25,87:87)+100</f>
        <v>100</v>
      </c>
      <c r="I25" s="535" t="s">
        <v>3340</v>
      </c>
      <c r="J25" s="370">
        <f>SUMIF(86:86,I25,87:87)-SUMIF(86:86,C25,87:87)+100</f>
        <v>100</v>
      </c>
      <c r="K25" s="531">
        <v>1</v>
      </c>
      <c r="L25" s="2315"/>
      <c r="M25" s="2310"/>
      <c r="N25" s="2310"/>
      <c r="O25" s="2310"/>
      <c r="P25" s="3263"/>
      <c r="Q25" s="1150" t="str">
        <f t="shared" ref="Q25:Q46" si="11">B25</f>
        <v>临街状况</v>
      </c>
      <c r="R25" s="647" t="s">
        <v>14</v>
      </c>
      <c r="S25" s="648">
        <f>F25</f>
        <v>100</v>
      </c>
      <c r="T25" s="647" t="s">
        <v>14</v>
      </c>
      <c r="U25" s="648">
        <f>H25</f>
        <v>100</v>
      </c>
      <c r="V25" s="647" t="s">
        <v>14</v>
      </c>
      <c r="W25" s="648">
        <f>J25</f>
        <v>100</v>
      </c>
      <c r="X25" s="1152"/>
      <c r="Y25" s="3245"/>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63"/>
      <c r="Q26" s="1150" t="str">
        <f t="shared" si="11"/>
        <v>平面位置/可视性</v>
      </c>
      <c r="R26" s="647" t="s">
        <v>14</v>
      </c>
      <c r="S26" s="648">
        <f>F26</f>
        <v>100</v>
      </c>
      <c r="T26" s="647" t="s">
        <v>14</v>
      </c>
      <c r="U26" s="648">
        <f>H26</f>
        <v>100</v>
      </c>
      <c r="V26" s="647" t="s">
        <v>14</v>
      </c>
      <c r="W26" s="648">
        <f>J26</f>
        <v>100</v>
      </c>
      <c r="X26" s="1152"/>
      <c r="Y26" s="3245"/>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3"/>
      <c r="Q27" s="525" t="str">
        <f t="shared" si="11"/>
        <v>人流量</v>
      </c>
      <c r="R27" s="644" t="s">
        <v>14</v>
      </c>
      <c r="S27" s="645">
        <f>F27</f>
        <v>100</v>
      </c>
      <c r="T27" s="644" t="s">
        <v>14</v>
      </c>
      <c r="U27" s="645">
        <f>H27</f>
        <v>100</v>
      </c>
      <c r="V27" s="644" t="s">
        <v>14</v>
      </c>
      <c r="W27" s="645">
        <f>J27</f>
        <v>100</v>
      </c>
      <c r="X27" s="646"/>
      <c r="Y27" s="3245"/>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3"/>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45"/>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3"/>
      <c r="Q29" s="1150">
        <f t="shared" si="11"/>
        <v>111</v>
      </c>
      <c r="R29" s="647" t="s">
        <v>14</v>
      </c>
      <c r="S29" s="648">
        <f t="shared" si="12"/>
        <v>100</v>
      </c>
      <c r="T29" s="647" t="s">
        <v>14</v>
      </c>
      <c r="U29" s="648">
        <f t="shared" si="13"/>
        <v>100</v>
      </c>
      <c r="V29" s="647" t="s">
        <v>14</v>
      </c>
      <c r="W29" s="648">
        <f t="shared" si="14"/>
        <v>100</v>
      </c>
      <c r="X29" s="1152"/>
      <c r="Y29" s="3245"/>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3"/>
      <c r="Q30" s="1150">
        <f t="shared" si="11"/>
        <v>111</v>
      </c>
      <c r="R30" s="647" t="s">
        <v>14</v>
      </c>
      <c r="S30" s="648">
        <f t="shared" si="12"/>
        <v>100</v>
      </c>
      <c r="T30" s="647" t="s">
        <v>14</v>
      </c>
      <c r="U30" s="648">
        <f t="shared" si="13"/>
        <v>100</v>
      </c>
      <c r="V30" s="647" t="s">
        <v>14</v>
      </c>
      <c r="W30" s="648">
        <f t="shared" si="14"/>
        <v>100</v>
      </c>
      <c r="X30" s="1152"/>
      <c r="Y30" s="3245"/>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3"/>
      <c r="Q31" s="1150">
        <f t="shared" si="11"/>
        <v>111</v>
      </c>
      <c r="R31" s="647" t="s">
        <v>14</v>
      </c>
      <c r="S31" s="648">
        <f t="shared" si="12"/>
        <v>100</v>
      </c>
      <c r="T31" s="647" t="s">
        <v>14</v>
      </c>
      <c r="U31" s="648">
        <f t="shared" si="13"/>
        <v>100</v>
      </c>
      <c r="V31" s="647" t="s">
        <v>14</v>
      </c>
      <c r="W31" s="648">
        <f t="shared" si="14"/>
        <v>100</v>
      </c>
      <c r="X31" s="1152"/>
      <c r="Y31" s="3245"/>
      <c r="Z31" s="1151">
        <f t="shared" si="15"/>
        <v>111</v>
      </c>
      <c r="AA31" s="1151">
        <f t="shared" si="3"/>
        <v>1</v>
      </c>
      <c r="AB31" s="1151">
        <f t="shared" si="4"/>
        <v>1</v>
      </c>
      <c r="AC31" s="1151">
        <f t="shared" si="5"/>
        <v>1</v>
      </c>
    </row>
    <row r="32" spans="1:29" ht="15">
      <c r="A32" s="375" t="s">
        <v>1673</v>
      </c>
      <c r="B32" s="59" t="s">
        <v>1716</v>
      </c>
      <c r="C32" s="1636" t="s">
        <v>3361</v>
      </c>
      <c r="D32" s="400">
        <v>100</v>
      </c>
      <c r="E32" s="1636" t="s">
        <v>3344</v>
      </c>
      <c r="F32" s="395">
        <f>SUMIF(100:100,E32,101:101)-SUMIF(100:100,C32,101:101)+100</f>
        <v>100</v>
      </c>
      <c r="G32" s="1636" t="s">
        <v>3361</v>
      </c>
      <c r="H32" s="370">
        <f>SUMIF(100:100,G32,101:101)-SUMIF(100:100,C32,101:101)+100</f>
        <v>100</v>
      </c>
      <c r="I32" s="1636" t="s">
        <v>3344</v>
      </c>
      <c r="J32" s="400">
        <f>SUMIF(100:100,I32,101:101)-SUMIF(100:100,C32,101:101)+100</f>
        <v>100</v>
      </c>
      <c r="K32" s="531">
        <v>0</v>
      </c>
      <c r="L32" s="2315"/>
      <c r="M32" s="2310"/>
      <c r="N32" s="2310"/>
      <c r="O32" s="2310"/>
      <c r="P32" s="3264" t="s">
        <v>1674</v>
      </c>
      <c r="Q32" s="1150" t="str">
        <f t="shared" si="11"/>
        <v>商业类型</v>
      </c>
      <c r="R32" s="647" t="s">
        <v>14</v>
      </c>
      <c r="S32" s="648">
        <f t="shared" si="12"/>
        <v>100</v>
      </c>
      <c r="T32" s="647" t="s">
        <v>14</v>
      </c>
      <c r="U32" s="648">
        <f t="shared" si="13"/>
        <v>100</v>
      </c>
      <c r="V32" s="647" t="s">
        <v>14</v>
      </c>
      <c r="W32" s="648">
        <f t="shared" si="14"/>
        <v>100</v>
      </c>
      <c r="X32" s="1152"/>
      <c r="Y32" s="3247" t="s">
        <v>1674</v>
      </c>
      <c r="Z32" s="1151" t="str">
        <f t="shared" si="15"/>
        <v>商业类型</v>
      </c>
      <c r="AA32" s="1151">
        <f t="shared" si="3"/>
        <v>1</v>
      </c>
      <c r="AB32" s="1151">
        <f t="shared" si="4"/>
        <v>1</v>
      </c>
      <c r="AC32" s="1151">
        <f t="shared" si="5"/>
        <v>1</v>
      </c>
    </row>
    <row r="33" spans="1:29" s="403" customFormat="1" ht="15">
      <c r="A33" s="401"/>
      <c r="B33" s="361" t="s">
        <v>1675</v>
      </c>
      <c r="C33" s="402">
        <v>253</v>
      </c>
      <c r="D33" s="118">
        <v>100</v>
      </c>
      <c r="E33" s="365">
        <f>Sheet1!F38</f>
        <v>70</v>
      </c>
      <c r="F33" s="361">
        <f>LOOKUP(E33,103:103,104:104)-LOOKUP(C33,103:103,104:104)+100</f>
        <v>101</v>
      </c>
      <c r="G33" s="364">
        <v>200</v>
      </c>
      <c r="H33" s="118">
        <f>LOOKUP(G33,103:103,104:104)-LOOKUP(C33,103:103,104:104)+100</f>
        <v>100</v>
      </c>
      <c r="I33" s="364">
        <f>Sheet1!F44</f>
        <v>300</v>
      </c>
      <c r="J33" s="118">
        <f>LOOKUP(I33,103:103,104:104)-LOOKUP(C33,103:103,104:104)+100</f>
        <v>100</v>
      </c>
      <c r="K33" s="532"/>
      <c r="L33" s="2314"/>
      <c r="M33" s="2316"/>
      <c r="N33" s="2316"/>
      <c r="O33" s="2316"/>
      <c r="P33" s="3265"/>
      <c r="Q33" s="526" t="str">
        <f t="shared" si="11"/>
        <v>项目建筑规模</v>
      </c>
      <c r="R33" s="649" t="s">
        <v>14</v>
      </c>
      <c r="S33" s="650">
        <f t="shared" si="12"/>
        <v>101</v>
      </c>
      <c r="T33" s="649" t="s">
        <v>14</v>
      </c>
      <c r="U33" s="650">
        <f t="shared" si="13"/>
        <v>100</v>
      </c>
      <c r="V33" s="649" t="s">
        <v>14</v>
      </c>
      <c r="W33" s="650">
        <f t="shared" si="14"/>
        <v>100</v>
      </c>
      <c r="X33" s="651"/>
      <c r="Y33" s="3247"/>
      <c r="Z33" s="652" t="str">
        <f t="shared" si="15"/>
        <v>项目建筑规模</v>
      </c>
      <c r="AA33" s="1151">
        <f t="shared" si="3"/>
        <v>0.99009900990099009</v>
      </c>
      <c r="AB33" s="1151">
        <f t="shared" si="4"/>
        <v>1</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1-(2026-E50)/60</f>
        <v>0.71666666666666667</v>
      </c>
      <c r="N34" s="2310"/>
      <c r="O34" s="2310"/>
      <c r="P34" s="3265"/>
      <c r="Q34" s="1150" t="str">
        <f t="shared" si="11"/>
        <v>建筑结构</v>
      </c>
      <c r="R34" s="647" t="s">
        <v>14</v>
      </c>
      <c r="S34" s="648">
        <f t="shared" si="12"/>
        <v>100</v>
      </c>
      <c r="T34" s="647" t="s">
        <v>14</v>
      </c>
      <c r="U34" s="648">
        <f t="shared" si="13"/>
        <v>100</v>
      </c>
      <c r="V34" s="647" t="s">
        <v>14</v>
      </c>
      <c r="W34" s="648">
        <f t="shared" si="14"/>
        <v>100</v>
      </c>
      <c r="X34" s="1152"/>
      <c r="Y34" s="3247"/>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1-(2026-C50)/60</f>
        <v>0.91666666666666663</v>
      </c>
      <c r="N35" s="2310"/>
      <c r="O35" s="2310"/>
      <c r="P35" s="3265"/>
      <c r="Q35" s="1150" t="str">
        <f t="shared" si="11"/>
        <v>公共部分装修</v>
      </c>
      <c r="R35" s="647" t="s">
        <v>14</v>
      </c>
      <c r="S35" s="648">
        <f t="shared" si="12"/>
        <v>100</v>
      </c>
      <c r="T35" s="647" t="s">
        <v>14</v>
      </c>
      <c r="U35" s="648">
        <f t="shared" si="13"/>
        <v>100</v>
      </c>
      <c r="V35" s="647" t="s">
        <v>14</v>
      </c>
      <c r="W35" s="648">
        <f t="shared" si="14"/>
        <v>100</v>
      </c>
      <c r="X35" s="1152"/>
      <c r="Y35" s="3247"/>
      <c r="Z35" s="1151" t="str">
        <f t="shared" si="15"/>
        <v>公共部分装修</v>
      </c>
      <c r="AA35" s="1151">
        <f t="shared" si="3"/>
        <v>1</v>
      </c>
      <c r="AB35" s="1151">
        <f t="shared" si="4"/>
        <v>1</v>
      </c>
      <c r="AC35" s="1151">
        <f t="shared" si="5"/>
        <v>1</v>
      </c>
    </row>
    <row r="36" spans="1:29" ht="15">
      <c r="A36" s="404"/>
      <c r="B36" s="361" t="s">
        <v>1718</v>
      </c>
      <c r="C36" s="406">
        <v>0.9</v>
      </c>
      <c r="D36" s="370">
        <v>100</v>
      </c>
      <c r="E36" s="406">
        <v>0.7</v>
      </c>
      <c r="F36" s="395">
        <f>LOOKUP(E36,110:110,111:111)-LOOKUP(C36,110:110,111:111)+100</f>
        <v>96</v>
      </c>
      <c r="G36" s="406">
        <v>0.9</v>
      </c>
      <c r="H36" s="395">
        <f>LOOKUP(G36,110:110,111:111)-LOOKUP(C36,110:110,111:111)+100</f>
        <v>100</v>
      </c>
      <c r="I36" s="406">
        <v>0.8</v>
      </c>
      <c r="J36" s="370">
        <f>LOOKUP(I36,110:110,111:111)-LOOKUP(C36,110:110,111:111)+100</f>
        <v>98</v>
      </c>
      <c r="K36" s="531">
        <v>2</v>
      </c>
      <c r="L36" s="2315"/>
      <c r="M36" s="2310">
        <f>1-(2026-I50)/60</f>
        <v>0.78333333333333333</v>
      </c>
      <c r="N36" s="2310"/>
      <c r="O36" s="2310"/>
      <c r="P36" s="3265"/>
      <c r="Q36" s="1150" t="str">
        <f t="shared" si="11"/>
        <v>成新度</v>
      </c>
      <c r="R36" s="647" t="s">
        <v>14</v>
      </c>
      <c r="S36" s="648">
        <f t="shared" si="12"/>
        <v>96</v>
      </c>
      <c r="T36" s="647" t="s">
        <v>14</v>
      </c>
      <c r="U36" s="648">
        <f t="shared" si="13"/>
        <v>100</v>
      </c>
      <c r="V36" s="647" t="s">
        <v>14</v>
      </c>
      <c r="W36" s="648">
        <f t="shared" si="14"/>
        <v>98</v>
      </c>
      <c r="X36" s="1152"/>
      <c r="Y36" s="3247"/>
      <c r="Z36" s="1151" t="str">
        <f t="shared" si="15"/>
        <v>成新度</v>
      </c>
      <c r="AA36" s="1151">
        <f t="shared" si="3"/>
        <v>1.0416666666666667</v>
      </c>
      <c r="AB36" s="1151">
        <f t="shared" si="4"/>
        <v>1</v>
      </c>
      <c r="AC36" s="1151">
        <f t="shared" si="5"/>
        <v>1.0204081632653061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5"/>
      <c r="Q37" s="525" t="str">
        <f t="shared" si="11"/>
        <v>市政基础设施</v>
      </c>
      <c r="R37" s="644" t="s">
        <v>14</v>
      </c>
      <c r="S37" s="645">
        <f t="shared" si="12"/>
        <v>100</v>
      </c>
      <c r="T37" s="644" t="s">
        <v>14</v>
      </c>
      <c r="U37" s="645">
        <f t="shared" si="13"/>
        <v>100</v>
      </c>
      <c r="V37" s="644" t="s">
        <v>14</v>
      </c>
      <c r="W37" s="645">
        <f t="shared" si="14"/>
        <v>100</v>
      </c>
      <c r="X37" s="646"/>
      <c r="Y37" s="3247"/>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5" t="s">
        <v>1674</v>
      </c>
      <c r="Q38" s="1150" t="str">
        <f t="shared" si="11"/>
        <v>业态</v>
      </c>
      <c r="R38" s="647" t="s">
        <v>14</v>
      </c>
      <c r="S38" s="648">
        <f t="shared" si="12"/>
        <v>100</v>
      </c>
      <c r="T38" s="647" t="s">
        <v>14</v>
      </c>
      <c r="U38" s="648">
        <f t="shared" si="13"/>
        <v>100</v>
      </c>
      <c r="V38" s="647" t="s">
        <v>14</v>
      </c>
      <c r="W38" s="648">
        <f t="shared" si="14"/>
        <v>100</v>
      </c>
      <c r="X38" s="1152"/>
      <c r="Y38" s="3247" t="s">
        <v>1674</v>
      </c>
      <c r="Z38" s="1151" t="str">
        <f t="shared" si="15"/>
        <v>业态</v>
      </c>
      <c r="AA38" s="1151">
        <f t="shared" si="3"/>
        <v>1</v>
      </c>
      <c r="AB38" s="1151">
        <f t="shared" si="4"/>
        <v>1</v>
      </c>
      <c r="AC38" s="1151">
        <f t="shared" si="5"/>
        <v>1</v>
      </c>
    </row>
    <row r="39" spans="1:29" ht="15">
      <c r="A39" s="404"/>
      <c r="B39" s="361" t="s">
        <v>1721</v>
      </c>
      <c r="C39" s="1635" t="s">
        <v>3342</v>
      </c>
      <c r="D39" s="370">
        <v>100</v>
      </c>
      <c r="E39" s="1635" t="s">
        <v>3342</v>
      </c>
      <c r="F39" s="395">
        <f>SUMIF(116:116,E39,117:117)-SUMIF(116:116,C39,117:117)+100</f>
        <v>100</v>
      </c>
      <c r="G39" s="1635" t="s">
        <v>3342</v>
      </c>
      <c r="H39" s="370">
        <f>SUMIF(116:116,G39,117:117)-SUMIF(116:116,C39,117:117)+100</f>
        <v>100</v>
      </c>
      <c r="I39" s="1635" t="s">
        <v>3342</v>
      </c>
      <c r="J39" s="370">
        <f>SUMIF(116:116,I39,117:117)-SUMIF(116:116,C39,117:117)+100</f>
        <v>100</v>
      </c>
      <c r="K39" s="531">
        <v>5</v>
      </c>
      <c r="L39" s="2315"/>
      <c r="M39" s="2310"/>
      <c r="N39" s="2999"/>
      <c r="O39" s="2310"/>
      <c r="P39" s="3265"/>
      <c r="Q39" s="1150" t="str">
        <f t="shared" si="11"/>
        <v>层高</v>
      </c>
      <c r="R39" s="647" t="s">
        <v>14</v>
      </c>
      <c r="S39" s="648">
        <f t="shared" si="12"/>
        <v>100</v>
      </c>
      <c r="T39" s="647" t="s">
        <v>14</v>
      </c>
      <c r="U39" s="648">
        <f t="shared" si="13"/>
        <v>100</v>
      </c>
      <c r="V39" s="647" t="s">
        <v>14</v>
      </c>
      <c r="W39" s="648">
        <f t="shared" si="14"/>
        <v>100</v>
      </c>
      <c r="X39" s="1152"/>
      <c r="Y39" s="3247"/>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5"/>
      <c r="Q40" s="1150" t="str">
        <f t="shared" si="11"/>
        <v>单套建筑面积</v>
      </c>
      <c r="R40" s="647" t="s">
        <v>14</v>
      </c>
      <c r="S40" s="648">
        <f t="shared" si="12"/>
        <v>100</v>
      </c>
      <c r="T40" s="647" t="s">
        <v>14</v>
      </c>
      <c r="U40" s="648">
        <f t="shared" si="13"/>
        <v>100</v>
      </c>
      <c r="V40" s="647" t="s">
        <v>14</v>
      </c>
      <c r="W40" s="648">
        <f t="shared" si="14"/>
        <v>100</v>
      </c>
      <c r="X40" s="1152"/>
      <c r="Y40" s="3247"/>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5"/>
      <c r="Q41" s="526" t="str">
        <f t="shared" si="11"/>
        <v>进深比</v>
      </c>
      <c r="R41" s="649" t="s">
        <v>14</v>
      </c>
      <c r="S41" s="650">
        <f t="shared" si="12"/>
        <v>100</v>
      </c>
      <c r="T41" s="649" t="s">
        <v>14</v>
      </c>
      <c r="U41" s="650">
        <f t="shared" si="13"/>
        <v>100</v>
      </c>
      <c r="V41" s="649" t="s">
        <v>14</v>
      </c>
      <c r="W41" s="650">
        <f t="shared" si="14"/>
        <v>100</v>
      </c>
      <c r="X41" s="651"/>
      <c r="Y41" s="3247"/>
      <c r="Z41" s="652" t="str">
        <f t="shared" si="15"/>
        <v>进深比</v>
      </c>
      <c r="AA41" s="1151">
        <f t="shared" si="3"/>
        <v>1</v>
      </c>
      <c r="AB41" s="1151">
        <f t="shared" si="4"/>
        <v>1</v>
      </c>
      <c r="AC41" s="1151">
        <f t="shared" si="5"/>
        <v>1</v>
      </c>
    </row>
    <row r="42" spans="1:29" ht="15">
      <c r="A42" s="404"/>
      <c r="B42" s="361" t="s">
        <v>1724</v>
      </c>
      <c r="C42" s="1635" t="s">
        <v>3346</v>
      </c>
      <c r="D42" s="370">
        <v>100</v>
      </c>
      <c r="E42" s="1635" t="s">
        <v>3346</v>
      </c>
      <c r="F42" s="395">
        <f>SUMIF(122:122,E42,123:123)-SUMIF(122:122,C42,123:123)+100</f>
        <v>100</v>
      </c>
      <c r="G42" s="1635" t="s">
        <v>3346</v>
      </c>
      <c r="H42" s="370">
        <f>SUMIF(122:122,G42,123:123)-SUMIF(122:122,C42,123:123)+100</f>
        <v>100</v>
      </c>
      <c r="I42" s="1635" t="s">
        <v>3346</v>
      </c>
      <c r="J42" s="370">
        <f>SUMIF(122:122,I42,123:123)-SUMIF(122:122,C42,123:123)+100</f>
        <v>100</v>
      </c>
      <c r="K42" s="531">
        <v>1</v>
      </c>
      <c r="L42" s="2315"/>
      <c r="M42" s="2997"/>
      <c r="N42" s="2994"/>
      <c r="O42" s="2310"/>
      <c r="P42" s="3265"/>
      <c r="Q42" s="1150" t="str">
        <f t="shared" si="11"/>
        <v>内部装修</v>
      </c>
      <c r="R42" s="647" t="s">
        <v>14</v>
      </c>
      <c r="S42" s="648">
        <f t="shared" si="12"/>
        <v>100</v>
      </c>
      <c r="T42" s="647" t="s">
        <v>14</v>
      </c>
      <c r="U42" s="648">
        <f t="shared" si="13"/>
        <v>100</v>
      </c>
      <c r="V42" s="647" t="s">
        <v>14</v>
      </c>
      <c r="W42" s="648">
        <f t="shared" si="14"/>
        <v>100</v>
      </c>
      <c r="X42" s="1152"/>
      <c r="Y42" s="3247"/>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c r="M43" s="2998">
        <v>11.33</v>
      </c>
      <c r="N43" s="2310"/>
      <c r="O43" s="2310"/>
      <c r="P43" s="3265"/>
      <c r="Q43" s="1150" t="str">
        <f t="shared" si="11"/>
        <v>内部装修维护情况</v>
      </c>
      <c r="R43" s="647" t="s">
        <v>14</v>
      </c>
      <c r="S43" s="648">
        <f t="shared" si="12"/>
        <v>100</v>
      </c>
      <c r="T43" s="647" t="s">
        <v>14</v>
      </c>
      <c r="U43" s="648">
        <f t="shared" si="13"/>
        <v>100</v>
      </c>
      <c r="V43" s="647" t="s">
        <v>14</v>
      </c>
      <c r="W43" s="648">
        <f t="shared" si="14"/>
        <v>100</v>
      </c>
      <c r="X43" s="1152"/>
      <c r="Y43" s="3247"/>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0.36235708003518036</v>
      </c>
      <c r="O44" s="2264"/>
      <c r="P44" s="3265"/>
      <c r="Q44" s="525">
        <f t="shared" si="11"/>
        <v>111</v>
      </c>
      <c r="R44" s="644" t="s">
        <v>14</v>
      </c>
      <c r="S44" s="645">
        <f t="shared" si="12"/>
        <v>100</v>
      </c>
      <c r="T44" s="644" t="s">
        <v>14</v>
      </c>
      <c r="U44" s="645">
        <f t="shared" si="13"/>
        <v>100</v>
      </c>
      <c r="V44" s="644" t="s">
        <v>14</v>
      </c>
      <c r="W44" s="645">
        <f t="shared" si="14"/>
        <v>100</v>
      </c>
      <c r="X44" s="646"/>
      <c r="Y44" s="3247"/>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ROUND(C48*0.364,2)</f>
        <v>4.1399999999999997</v>
      </c>
      <c r="O45" s="2310"/>
      <c r="P45" s="3265"/>
      <c r="Q45" s="1150">
        <f t="shared" si="11"/>
        <v>111</v>
      </c>
      <c r="R45" s="647" t="s">
        <v>14</v>
      </c>
      <c r="S45" s="648">
        <f t="shared" si="12"/>
        <v>100</v>
      </c>
      <c r="T45" s="647" t="s">
        <v>14</v>
      </c>
      <c r="U45" s="648">
        <f t="shared" si="13"/>
        <v>100</v>
      </c>
      <c r="V45" s="647" t="s">
        <v>14</v>
      </c>
      <c r="W45" s="648">
        <f t="shared" si="14"/>
        <v>100</v>
      </c>
      <c r="X45" s="1152"/>
      <c r="Y45" s="3247"/>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6"/>
      <c r="Q46" s="1150">
        <f t="shared" si="11"/>
        <v>111</v>
      </c>
      <c r="R46" s="647" t="s">
        <v>14</v>
      </c>
      <c r="S46" s="648">
        <f t="shared" si="12"/>
        <v>100</v>
      </c>
      <c r="T46" s="647" t="s">
        <v>14</v>
      </c>
      <c r="U46" s="648">
        <f t="shared" si="13"/>
        <v>100</v>
      </c>
      <c r="V46" s="647" t="s">
        <v>14</v>
      </c>
      <c r="W46" s="648">
        <f t="shared" si="14"/>
        <v>100</v>
      </c>
      <c r="X46" s="1152"/>
      <c r="Y46" s="3248"/>
      <c r="Z46" s="1151">
        <f t="shared" si="15"/>
        <v>111</v>
      </c>
      <c r="AA46" s="1151">
        <f t="shared" si="3"/>
        <v>1</v>
      </c>
      <c r="AB46" s="1151">
        <f t="shared" si="4"/>
        <v>1</v>
      </c>
      <c r="AC46" s="1151">
        <f t="shared" si="5"/>
        <v>1</v>
      </c>
    </row>
    <row r="47" spans="1:29" ht="15">
      <c r="A47" s="411" t="s">
        <v>1678</v>
      </c>
      <c r="B47" s="412"/>
      <c r="C47" s="994" t="s">
        <v>0</v>
      </c>
      <c r="D47" s="413"/>
      <c r="E47" s="414">
        <f>Sheet1!$G$38</f>
        <v>10.96</v>
      </c>
      <c r="F47" s="415"/>
      <c r="G47" s="416">
        <v>11.7</v>
      </c>
      <c r="H47" s="417"/>
      <c r="I47" s="414">
        <f>Sheet1!$G$44</f>
        <v>12</v>
      </c>
      <c r="J47" s="417"/>
      <c r="K47" s="654"/>
      <c r="L47" s="3318" t="s">
        <v>3363</v>
      </c>
      <c r="M47" s="2310">
        <v>0.4</v>
      </c>
      <c r="N47" s="2310"/>
      <c r="O47" s="2310"/>
      <c r="P47" s="3229" t="str">
        <f>A47</f>
        <v>成交单价（元/平方米）</v>
      </c>
      <c r="Q47" s="3229"/>
      <c r="R47" s="3242">
        <f>E47</f>
        <v>10.96</v>
      </c>
      <c r="S47" s="3242"/>
      <c r="T47" s="3242">
        <f>G47</f>
        <v>11.7</v>
      </c>
      <c r="U47" s="3242"/>
      <c r="V47" s="3242">
        <f>I47</f>
        <v>12</v>
      </c>
      <c r="W47" s="3242"/>
      <c r="X47" s="380"/>
      <c r="Y47" s="653"/>
      <c r="Z47" s="380"/>
      <c r="AA47" s="380"/>
      <c r="AB47" s="380"/>
      <c r="AC47" s="380"/>
    </row>
    <row r="48" spans="1:29" ht="15.75" thickBot="1">
      <c r="A48" s="418" t="s">
        <v>1725</v>
      </c>
      <c r="B48" s="419"/>
      <c r="C48" s="995">
        <f>R49</f>
        <v>11.37</v>
      </c>
      <c r="D48" s="1966" t="s">
        <v>2040</v>
      </c>
      <c r="E48" s="996">
        <f>R48</f>
        <v>11.32</v>
      </c>
      <c r="F48" s="1967"/>
      <c r="G48" s="995">
        <f>T48</f>
        <v>11.14</v>
      </c>
      <c r="H48" s="1967"/>
      <c r="I48" s="996">
        <f>V48</f>
        <v>11.66</v>
      </c>
      <c r="J48" s="1967"/>
      <c r="K48" s="1968">
        <f>F48+H48+J48</f>
        <v>0</v>
      </c>
      <c r="L48" s="3318" t="s">
        <v>3364</v>
      </c>
      <c r="M48" s="2310">
        <v>0.95</v>
      </c>
      <c r="N48" s="2310"/>
      <c r="O48" s="2310"/>
      <c r="P48" s="3229" t="str">
        <f>A48</f>
        <v>比较价值（元/平方米）</v>
      </c>
      <c r="Q48" s="3229"/>
      <c r="R48" s="3242">
        <f>IF(F1="售价",ROUND(PRODUCT(R47,AA7:AA46),0),ROUND(PRODUCT(R47,AA7:AA46),2))</f>
        <v>11.32</v>
      </c>
      <c r="S48" s="3242"/>
      <c r="T48" s="3242">
        <f>IF(F1="售价",ROUND(PRODUCT(T47,AB7:AB46),0),ROUND(PRODUCT(T47,AB7:AB46),2))</f>
        <v>11.14</v>
      </c>
      <c r="U48" s="3242"/>
      <c r="V48" s="3242">
        <f>IF(F1="售价",ROUND(PRODUCT(V47,AC7:AC46),0),ROUND(PRODUCT(V47,AC7:AC46),2))</f>
        <v>11.66</v>
      </c>
      <c r="W48" s="3242"/>
      <c r="X48" s="380"/>
      <c r="Y48" s="380"/>
      <c r="Z48" s="380"/>
      <c r="AA48" s="380"/>
      <c r="AB48" s="380"/>
      <c r="AC48" s="380"/>
    </row>
    <row r="49" spans="1:29" ht="15.75" thickBot="1">
      <c r="A49" s="422" t="s">
        <v>1726</v>
      </c>
      <c r="B49" s="423"/>
      <c r="C49" s="348">
        <f>R49</f>
        <v>11.37</v>
      </c>
      <c r="D49" s="348"/>
      <c r="E49" s="348"/>
      <c r="F49" s="348"/>
      <c r="G49" s="348"/>
      <c r="H49" s="348"/>
      <c r="I49" s="348"/>
      <c r="J49" s="348"/>
      <c r="K49" s="655"/>
      <c r="L49" s="2317"/>
      <c r="M49" s="2310">
        <f>C48*M47*M48</f>
        <v>4.3205999999999998</v>
      </c>
      <c r="N49" s="2310"/>
      <c r="O49" s="2310"/>
      <c r="P49" s="3249" t="str">
        <f>A49</f>
        <v>估价对象XX用房的比较价值（楼面单价，元/平方米）</v>
      </c>
      <c r="Q49" s="3250"/>
      <c r="R49" s="3251">
        <f>IF(F1="售价",ROUND(IF(D48="简单平均",AVERAGE(R48:V48),R48*F48+T48*H48+V48*J48),0),ROUND(IF(D48="简单平均",AVERAGE(R48:V48),R48*F48+T48*H48+V48*J48),2))</f>
        <v>11.37</v>
      </c>
      <c r="S49" s="3251"/>
      <c r="T49" s="3251"/>
      <c r="U49" s="3251"/>
      <c r="V49" s="3251"/>
      <c r="W49" s="3251"/>
      <c r="X49" s="380"/>
      <c r="Y49" s="380"/>
      <c r="Z49" s="380"/>
      <c r="AA49" s="380"/>
      <c r="AB49" s="380"/>
      <c r="AC49" s="380"/>
    </row>
    <row r="50" spans="1:29">
      <c r="A50" s="2310"/>
      <c r="B50" s="2310"/>
      <c r="C50" s="2310">
        <v>2021</v>
      </c>
      <c r="D50" s="2310"/>
      <c r="E50" s="2310">
        <v>2009</v>
      </c>
      <c r="F50" s="2310"/>
      <c r="G50" s="2321">
        <v>20.21</v>
      </c>
      <c r="H50" s="2310"/>
      <c r="I50" s="2310">
        <v>2013</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3.2846715328467058E-2</v>
      </c>
      <c r="F52" s="430" t="str">
        <f>IF(OR(E52&gt;=0.3,E52&lt;=-0.3),"超过30%","")</f>
        <v/>
      </c>
      <c r="G52" s="429">
        <f>IF(G47&lt;G48,G48/G47-1,G47/G48-1)</f>
        <v>5.0269299820466573E-2</v>
      </c>
      <c r="H52" s="430" t="str">
        <f>IF(OR(G52&gt;=0.3,G52&lt;=-0.3),"超过30%","")</f>
        <v/>
      </c>
      <c r="I52" s="429">
        <f>IF(I47&lt;I48,I48/I47-1,I47/I48-1)</f>
        <v>2.9159519725557415E-2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1.6157989228007263E-2</v>
      </c>
      <c r="F53" s="430" t="str">
        <f>IF(OR(E53&gt;=0.2,E53&lt;=-0.2),"超过20%","")</f>
        <v/>
      </c>
      <c r="G53" s="429">
        <f>IF(G48&lt;I48,I48/G48-1,G48/I48-1)</f>
        <v>4.6678635547576341E-2</v>
      </c>
      <c r="H53" s="430" t="str">
        <f>IF(OR(G53&gt;=0.2,G53&lt;=-0.2),"超过20%","")</f>
        <v/>
      </c>
      <c r="I53" s="429">
        <f>IF(I48&lt;E48,E48/I48-1,I48/E48-1)</f>
        <v>3.0035335689045928E-2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6.7518248175182372E-2</v>
      </c>
      <c r="F54" s="430" t="str">
        <f>IF(OR(E54&gt;=0.3,E54&lt;=-0.3),"超过30%","")</f>
        <v/>
      </c>
      <c r="G54" s="429">
        <f>IF(G47&lt;I47,I47/G47-1,G47/I47-1)</f>
        <v>2.5641025641025772E-2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105</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98</v>
      </c>
      <c r="E77" s="470">
        <f>D77-$K15</f>
        <v>96</v>
      </c>
      <c r="F77" s="470">
        <f>E77-$K15</f>
        <v>94</v>
      </c>
      <c r="G77" s="470">
        <f>F77-$K15</f>
        <v>92</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97</v>
      </c>
      <c r="E79" s="470">
        <f>D79-$K17</f>
        <v>94</v>
      </c>
      <c r="F79" s="470">
        <f>E79-$K17</f>
        <v>91</v>
      </c>
      <c r="G79" s="470">
        <f>F79-$K17</f>
        <v>88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3362</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0(含)-150</v>
      </c>
      <c r="D102" s="504" t="str">
        <f t="shared" ref="D102:L102" si="23">D103&amp;"(含)"&amp;"-"&amp;E103</f>
        <v>150(含)-350</v>
      </c>
      <c r="E102" s="504" t="str">
        <f t="shared" si="23"/>
        <v>350(含)-500</v>
      </c>
      <c r="F102" s="504" t="str">
        <f t="shared" si="23"/>
        <v>500(含)-</v>
      </c>
      <c r="G102" s="504" t="str">
        <f t="shared" si="23"/>
        <v>(含)-</v>
      </c>
      <c r="H102" s="504" t="str">
        <f t="shared" si="23"/>
        <v>(含)-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350</v>
      </c>
      <c r="F103" s="6">
        <v>500</v>
      </c>
      <c r="G103" s="6"/>
      <c r="H103" s="6"/>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F104" si="24">D104-1</f>
        <v>98</v>
      </c>
      <c r="F104" s="462">
        <f t="shared" si="24"/>
        <v>97</v>
      </c>
      <c r="G104" s="462"/>
      <c r="H104" s="462"/>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3341</v>
      </c>
      <c r="D116" s="2989" t="s">
        <v>3343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99</v>
      </c>
      <c r="E123" s="470">
        <f t="shared" si="31"/>
        <v>98</v>
      </c>
      <c r="F123" s="470">
        <f t="shared" si="31"/>
        <v>97</v>
      </c>
      <c r="G123" s="470">
        <f t="shared" si="31"/>
        <v>96</v>
      </c>
      <c r="H123" s="470">
        <f t="shared" si="31"/>
        <v>95</v>
      </c>
      <c r="I123" s="470">
        <f t="shared" si="31"/>
        <v>94</v>
      </c>
      <c r="J123" s="470">
        <f t="shared" si="31"/>
        <v>93</v>
      </c>
      <c r="K123" s="470">
        <f t="shared" si="31"/>
        <v>92</v>
      </c>
      <c r="L123" s="470">
        <f t="shared" si="31"/>
        <v>91</v>
      </c>
      <c r="M123" s="471">
        <f t="shared" si="31"/>
        <v>90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G18 C16 E16 G16 I16 I18"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D38:L45"/>
  <sheetViews>
    <sheetView topLeftCell="A16" workbookViewId="0">
      <selection activeCell="I47" sqref="I47"/>
    </sheetView>
  </sheetViews>
  <sheetFormatPr defaultRowHeight="13.5"/>
  <cols>
    <col min="12" max="12" width="12.75" bestFit="1" customWidth="1"/>
  </cols>
  <sheetData>
    <row r="38" spans="4:12">
      <c r="E38" s="3000" t="s">
        <v>3347</v>
      </c>
      <c r="F38" s="2977">
        <v>70</v>
      </c>
      <c r="G38" s="2977">
        <v>10.96</v>
      </c>
      <c r="H38" s="3000" t="s">
        <v>3348</v>
      </c>
      <c r="J38" s="1292" t="s">
        <v>3354</v>
      </c>
    </row>
    <row r="39" spans="4:12">
      <c r="F39">
        <v>120</v>
      </c>
      <c r="G39">
        <v>8</v>
      </c>
      <c r="H39" s="1292" t="s">
        <v>3349</v>
      </c>
      <c r="L39">
        <v>13161939954</v>
      </c>
    </row>
    <row r="40" spans="4:12">
      <c r="F40">
        <v>220</v>
      </c>
      <c r="G40">
        <v>4.0999999999999996</v>
      </c>
      <c r="H40" s="1292" t="s">
        <v>3350</v>
      </c>
    </row>
    <row r="41" spans="4:12">
      <c r="E41" s="1292" t="s">
        <v>3351</v>
      </c>
      <c r="F41">
        <v>64.56</v>
      </c>
      <c r="G41">
        <v>12.74</v>
      </c>
      <c r="H41" s="1292" t="s">
        <v>3352</v>
      </c>
    </row>
    <row r="42" spans="4:12">
      <c r="E42" s="1292" t="s">
        <v>3356</v>
      </c>
      <c r="F42">
        <v>90</v>
      </c>
      <c r="G42">
        <v>7.33</v>
      </c>
      <c r="L42">
        <v>13301367727</v>
      </c>
    </row>
    <row r="43" spans="4:12">
      <c r="E43" s="1292" t="s">
        <v>3351</v>
      </c>
      <c r="F43">
        <v>170</v>
      </c>
      <c r="G43">
        <v>7</v>
      </c>
    </row>
    <row r="44" spans="4:12">
      <c r="E44" s="3000" t="s">
        <v>3353</v>
      </c>
      <c r="F44" s="2977">
        <v>300</v>
      </c>
      <c r="G44" s="2977">
        <v>12</v>
      </c>
      <c r="H44" s="3000" t="s">
        <v>3355</v>
      </c>
    </row>
    <row r="45" spans="4:12">
      <c r="D45" s="3000" t="s">
        <v>3358</v>
      </c>
      <c r="E45" s="3000" t="s">
        <v>3357</v>
      </c>
      <c r="F45" s="2977">
        <v>200</v>
      </c>
      <c r="G45" s="2977">
        <v>11.7</v>
      </c>
      <c r="H45" s="3000" t="s">
        <v>3359</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4"/>
      <c r="B4" s="3275"/>
      <c r="C4" s="3275"/>
      <c r="D4" s="3276"/>
      <c r="E4" s="3276"/>
      <c r="F4" s="3276"/>
      <c r="G4" s="3276"/>
      <c r="H4" s="3276"/>
      <c r="I4" s="3276"/>
      <c r="J4" s="3277"/>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1" t="s">
        <v>1885</v>
      </c>
      <c r="X8" s="3272"/>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3"/>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3"/>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8" t="s">
        <v>3156</v>
      </c>
      <c r="B20" s="158" t="s">
        <v>1919</v>
      </c>
      <c r="C20" s="2851">
        <f>ROUND(IF(F21="与级别开发程度一致",0,(G21-E21)/C21),0)</f>
        <v>-126</v>
      </c>
      <c r="D20" s="2866" t="s">
        <v>1923</v>
      </c>
      <c r="E20" s="2867"/>
      <c r="F20" s="3284" t="s">
        <v>1920</v>
      </c>
      <c r="G20" s="3285"/>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9"/>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2"/>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3"/>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3"/>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80" t="s">
        <v>3194</v>
      </c>
      <c r="B103" s="3280"/>
      <c r="C103" s="3280"/>
      <c r="D103" s="3280"/>
      <c r="E103" s="3280"/>
      <c r="F103" s="3280"/>
      <c r="G103" s="3280"/>
      <c r="H103" s="3280"/>
      <c r="I103" s="3280"/>
      <c r="J103" s="3280"/>
      <c r="K103" s="1554"/>
      <c r="L103" s="1554"/>
      <c r="M103" s="1554"/>
      <c r="N103" s="1554"/>
    </row>
    <row r="104" spans="1:14">
      <c r="A104" s="3281" t="s">
        <v>3195</v>
      </c>
      <c r="B104" s="3281" t="s">
        <v>3196</v>
      </c>
      <c r="C104" s="2910" t="s">
        <v>3197</v>
      </c>
      <c r="D104" s="2911"/>
      <c r="E104" s="2911"/>
      <c r="F104" s="2911"/>
      <c r="G104" s="2911"/>
      <c r="H104" s="2911"/>
      <c r="I104" s="2911"/>
      <c r="J104" s="2912"/>
      <c r="K104" s="2913"/>
      <c r="L104" s="2913"/>
      <c r="M104" s="2913"/>
      <c r="N104" s="2913"/>
    </row>
    <row r="105" spans="1:14">
      <c r="A105" s="3281"/>
      <c r="B105" s="3281"/>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7"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8"/>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8"/>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8"/>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8"/>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8"/>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9"/>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70" t="s">
        <v>3211</v>
      </c>
      <c r="B113" s="3270"/>
      <c r="C113" s="3270"/>
      <c r="D113" s="3270"/>
      <c r="E113" s="3270"/>
      <c r="F113" s="3270"/>
      <c r="G113" s="3270"/>
      <c r="H113" s="3270"/>
      <c r="I113" s="3270"/>
      <c r="J113" s="3270"/>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6" t="s">
        <v>2509</v>
      </c>
      <c r="B20" s="3286" t="s">
        <v>2530</v>
      </c>
      <c r="C20" s="2987" t="s">
        <v>2341</v>
      </c>
      <c r="D20" s="2987"/>
      <c r="E20" s="2664">
        <v>1</v>
      </c>
      <c r="F20" s="2665" t="s">
        <v>2342</v>
      </c>
      <c r="G20" s="2665"/>
    </row>
    <row r="21" spans="1:13" ht="19.5" customHeight="1">
      <c r="A21" s="3297"/>
      <c r="B21" s="3287"/>
      <c r="C21" s="2677" t="s">
        <v>2343</v>
      </c>
      <c r="D21" s="2677"/>
      <c r="E21" s="2668">
        <v>1</v>
      </c>
      <c r="F21" s="2665" t="s">
        <v>2344</v>
      </c>
      <c r="G21" s="2665"/>
    </row>
    <row r="22" spans="1:13" ht="19.5" customHeight="1">
      <c r="A22" s="3297"/>
      <c r="B22" s="3287"/>
      <c r="C22" s="2677" t="s">
        <v>2345</v>
      </c>
      <c r="D22" s="2677"/>
      <c r="E22" s="2668">
        <v>0.9</v>
      </c>
      <c r="F22" s="2665" t="s">
        <v>2346</v>
      </c>
      <c r="G22" s="2665"/>
    </row>
    <row r="23" spans="1:13" ht="19.5" customHeight="1">
      <c r="A23" s="3297"/>
      <c r="B23" s="3287"/>
      <c r="C23" s="2677" t="s">
        <v>2347</v>
      </c>
      <c r="D23" s="2677"/>
      <c r="E23" s="2668">
        <v>0.9</v>
      </c>
      <c r="F23" s="2665" t="s">
        <v>2348</v>
      </c>
      <c r="G23" s="2665"/>
    </row>
    <row r="24" spans="1:13" ht="19.5" customHeight="1">
      <c r="A24" s="3297"/>
      <c r="B24" s="3287"/>
      <c r="C24" s="2677" t="s">
        <v>2349</v>
      </c>
      <c r="D24" s="2677"/>
      <c r="E24" s="2668">
        <v>0.8</v>
      </c>
      <c r="F24" s="2665" t="s">
        <v>2350</v>
      </c>
      <c r="G24" s="2665"/>
    </row>
    <row r="25" spans="1:13" ht="19.5" customHeight="1">
      <c r="A25" s="3297"/>
      <c r="B25" s="3287"/>
      <c r="C25" s="2677" t="s">
        <v>2351</v>
      </c>
      <c r="D25" s="2677"/>
      <c r="E25" s="2668">
        <v>0.8</v>
      </c>
      <c r="F25" s="2665"/>
      <c r="G25" s="2665"/>
    </row>
    <row r="26" spans="1:13" ht="19.5" customHeight="1">
      <c r="A26" s="3297"/>
      <c r="B26" s="3287"/>
      <c r="C26" s="2677" t="s">
        <v>3309</v>
      </c>
      <c r="D26" s="2677"/>
      <c r="E26" s="2668">
        <v>0.43</v>
      </c>
      <c r="F26" s="2665"/>
      <c r="G26" s="2665"/>
    </row>
    <row r="27" spans="1:13" ht="19.5" customHeight="1" thickBot="1">
      <c r="A27" s="3298"/>
      <c r="B27" s="3288"/>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9" t="s">
        <v>2533</v>
      </c>
      <c r="B29" s="3292" t="s">
        <v>2514</v>
      </c>
      <c r="C29" s="2662" t="s">
        <v>2354</v>
      </c>
      <c r="D29" s="2663"/>
      <c r="E29" s="2664">
        <v>1</v>
      </c>
      <c r="F29" s="2665" t="s">
        <v>2355</v>
      </c>
      <c r="G29" s="2665"/>
    </row>
    <row r="30" spans="1:13" ht="19.5" customHeight="1">
      <c r="A30" s="3290"/>
      <c r="B30" s="3293"/>
      <c r="C30" s="2666" t="s">
        <v>2356</v>
      </c>
      <c r="D30" s="2667"/>
      <c r="E30" s="2668">
        <v>1</v>
      </c>
      <c r="F30" s="2665" t="s">
        <v>2357</v>
      </c>
      <c r="G30" s="2665"/>
    </row>
    <row r="31" spans="1:13" ht="19.5" customHeight="1">
      <c r="A31" s="3290"/>
      <c r="B31" s="3293"/>
      <c r="C31" s="2666" t="s">
        <v>2358</v>
      </c>
      <c r="D31" s="2667"/>
      <c r="E31" s="2668">
        <v>0.8</v>
      </c>
      <c r="F31" s="2665" t="s">
        <v>2359</v>
      </c>
      <c r="G31" s="2665"/>
    </row>
    <row r="32" spans="1:13" ht="19.5" customHeight="1">
      <c r="A32" s="3290"/>
      <c r="B32" s="3293"/>
      <c r="C32" s="2666" t="s">
        <v>2360</v>
      </c>
      <c r="D32" s="2667"/>
      <c r="E32" s="2668">
        <v>0.8</v>
      </c>
      <c r="F32" s="2665" t="s">
        <v>2361</v>
      </c>
      <c r="G32" s="2665"/>
    </row>
    <row r="33" spans="1:7" ht="19.5" customHeight="1">
      <c r="A33" s="3290"/>
      <c r="B33" s="3293"/>
      <c r="C33" s="2666" t="s">
        <v>2362</v>
      </c>
      <c r="D33" s="2667"/>
      <c r="E33" s="2668">
        <v>0.8</v>
      </c>
      <c r="F33" s="2665" t="s">
        <v>2363</v>
      </c>
      <c r="G33" s="2665"/>
    </row>
    <row r="34" spans="1:7" ht="19.5" customHeight="1">
      <c r="A34" s="3290"/>
      <c r="B34" s="3293"/>
      <c r="C34" s="2666" t="s">
        <v>2364</v>
      </c>
      <c r="D34" s="2667"/>
      <c r="E34" s="2668">
        <v>0.7</v>
      </c>
      <c r="F34" s="2665" t="s">
        <v>2365</v>
      </c>
      <c r="G34" s="2665"/>
    </row>
    <row r="35" spans="1:7" ht="19.5" customHeight="1">
      <c r="A35" s="3290"/>
      <c r="B35" s="3293"/>
      <c r="C35" s="2666" t="s">
        <v>2366</v>
      </c>
      <c r="D35" s="2667"/>
      <c r="E35" s="2668">
        <v>0.8</v>
      </c>
      <c r="F35" s="2665" t="s">
        <v>2367</v>
      </c>
      <c r="G35" s="2665"/>
    </row>
    <row r="36" spans="1:7" ht="19.5" customHeight="1">
      <c r="A36" s="3290"/>
      <c r="B36" s="3293"/>
      <c r="C36" s="2666" t="s">
        <v>2368</v>
      </c>
      <c r="D36" s="2667"/>
      <c r="E36" s="2668">
        <v>0.6</v>
      </c>
      <c r="F36" s="2665" t="s">
        <v>2369</v>
      </c>
      <c r="G36" s="2665"/>
    </row>
    <row r="37" spans="1:7" ht="19.5" customHeight="1">
      <c r="A37" s="3290"/>
      <c r="B37" s="3293"/>
      <c r="C37" s="2666" t="s">
        <v>2370</v>
      </c>
      <c r="D37" s="2667"/>
      <c r="E37" s="2668">
        <v>0.2</v>
      </c>
      <c r="F37" s="2665" t="s">
        <v>2371</v>
      </c>
      <c r="G37" s="2665"/>
    </row>
    <row r="38" spans="1:7" ht="19.5" customHeight="1">
      <c r="A38" s="3290"/>
      <c r="B38" s="3293"/>
      <c r="C38" s="2666" t="s">
        <v>2372</v>
      </c>
      <c r="D38" s="2667"/>
      <c r="E38" s="2668">
        <v>0.2</v>
      </c>
      <c r="F38" s="2665" t="s">
        <v>2373</v>
      </c>
      <c r="G38" s="2665"/>
    </row>
    <row r="39" spans="1:7" ht="19.5" customHeight="1">
      <c r="A39" s="3290"/>
      <c r="B39" s="3294" t="s">
        <v>2534</v>
      </c>
      <c r="C39" s="2666" t="s">
        <v>2374</v>
      </c>
      <c r="D39" s="2667"/>
      <c r="E39" s="2668">
        <v>0.6</v>
      </c>
      <c r="F39" s="2665" t="s">
        <v>2375</v>
      </c>
      <c r="G39" s="2665"/>
    </row>
    <row r="40" spans="1:7" ht="19.5" customHeight="1">
      <c r="A40" s="3290"/>
      <c r="B40" s="3293"/>
      <c r="C40" s="2666" t="s">
        <v>2376</v>
      </c>
      <c r="D40" s="2667"/>
      <c r="E40" s="2668">
        <v>0.6</v>
      </c>
      <c r="F40" s="2665" t="s">
        <v>2377</v>
      </c>
      <c r="G40" s="2665"/>
    </row>
    <row r="41" spans="1:7" ht="19.5" customHeight="1" thickBot="1">
      <c r="A41" s="3291"/>
      <c r="B41" s="3295"/>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6" t="s">
        <v>2512</v>
      </c>
      <c r="B43" s="3292" t="s">
        <v>2536</v>
      </c>
      <c r="C43" s="2662" t="s">
        <v>2381</v>
      </c>
      <c r="D43" s="2663"/>
      <c r="E43" s="2664">
        <v>1</v>
      </c>
      <c r="F43" s="2665" t="s">
        <v>2382</v>
      </c>
      <c r="G43" s="2665"/>
    </row>
    <row r="44" spans="1:7" ht="19.5" customHeight="1">
      <c r="A44" s="3297"/>
      <c r="B44" s="3293"/>
      <c r="C44" s="2666" t="s">
        <v>2383</v>
      </c>
      <c r="D44" s="2667"/>
      <c r="E44" s="2668">
        <v>1</v>
      </c>
      <c r="F44" s="2665" t="s">
        <v>2384</v>
      </c>
      <c r="G44" s="2665"/>
    </row>
    <row r="45" spans="1:7" ht="19.5" customHeight="1">
      <c r="A45" s="3297"/>
      <c r="B45" s="3299"/>
      <c r="C45" s="2666" t="s">
        <v>2385</v>
      </c>
      <c r="D45" s="2667"/>
      <c r="E45" s="2668">
        <v>1.5</v>
      </c>
      <c r="F45" s="2665" t="s">
        <v>2386</v>
      </c>
      <c r="G45" s="2665"/>
    </row>
    <row r="46" spans="1:7" ht="19.5" customHeight="1">
      <c r="A46" s="3297"/>
      <c r="B46" s="2677" t="s">
        <v>2537</v>
      </c>
      <c r="C46" s="2666" t="s">
        <v>2538</v>
      </c>
      <c r="D46" s="2667"/>
      <c r="E46" s="2668">
        <v>2</v>
      </c>
      <c r="F46" s="2665" t="s">
        <v>2387</v>
      </c>
      <c r="G46" s="2665"/>
    </row>
    <row r="47" spans="1:7" ht="19.5" customHeight="1">
      <c r="A47" s="3297"/>
      <c r="B47" s="3294" t="s">
        <v>2539</v>
      </c>
      <c r="C47" s="2666" t="s">
        <v>2388</v>
      </c>
      <c r="D47" s="2667"/>
      <c r="E47" s="2668">
        <v>1</v>
      </c>
      <c r="F47" s="2665" t="s">
        <v>2389</v>
      </c>
      <c r="G47" s="2665"/>
    </row>
    <row r="48" spans="1:7" ht="19.5" customHeight="1">
      <c r="A48" s="3297"/>
      <c r="B48" s="3293"/>
      <c r="C48" s="2666" t="s">
        <v>2390</v>
      </c>
      <c r="D48" s="2667"/>
      <c r="E48" s="2668">
        <v>1</v>
      </c>
      <c r="F48" s="2665" t="s">
        <v>2391</v>
      </c>
      <c r="G48" s="2665"/>
    </row>
    <row r="49" spans="1:7" ht="19.5" customHeight="1">
      <c r="A49" s="3297"/>
      <c r="B49" s="3293"/>
      <c r="C49" s="2666" t="s">
        <v>2392</v>
      </c>
      <c r="D49" s="2667"/>
      <c r="E49" s="2668">
        <v>1</v>
      </c>
      <c r="F49" s="2665" t="s">
        <v>2393</v>
      </c>
      <c r="G49" s="2665"/>
    </row>
    <row r="50" spans="1:7" ht="19.5" customHeight="1">
      <c r="A50" s="3297"/>
      <c r="B50" s="3293"/>
      <c r="C50" s="2666" t="s">
        <v>2394</v>
      </c>
      <c r="D50" s="2667"/>
      <c r="E50" s="2668">
        <v>1</v>
      </c>
      <c r="F50" s="2665" t="s">
        <v>2395</v>
      </c>
      <c r="G50" s="2665"/>
    </row>
    <row r="51" spans="1:7" ht="19.5" customHeight="1">
      <c r="A51" s="3297"/>
      <c r="B51" s="3293"/>
      <c r="C51" s="2666" t="s">
        <v>2396</v>
      </c>
      <c r="D51" s="2667"/>
      <c r="E51" s="2668">
        <v>1</v>
      </c>
      <c r="F51" s="2665" t="s">
        <v>2397</v>
      </c>
      <c r="G51" s="2665"/>
    </row>
    <row r="52" spans="1:7" ht="19.5" customHeight="1">
      <c r="A52" s="3297"/>
      <c r="B52" s="3293"/>
      <c r="C52" s="2666" t="s">
        <v>2398</v>
      </c>
      <c r="D52" s="2667"/>
      <c r="E52" s="2668">
        <v>1</v>
      </c>
      <c r="F52" s="2665" t="s">
        <v>2399</v>
      </c>
      <c r="G52" s="2665"/>
    </row>
    <row r="53" spans="1:7" ht="19.5" customHeight="1" thickBot="1">
      <c r="A53" s="3298"/>
      <c r="B53" s="3295"/>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94" t="s">
        <v>2553</v>
      </c>
      <c r="C75" s="2651" t="s">
        <v>2554</v>
      </c>
      <c r="D75" s="2651" t="s">
        <v>2555</v>
      </c>
      <c r="E75" s="2677">
        <v>0.2</v>
      </c>
      <c r="F75" s="2677">
        <v>25</v>
      </c>
    </row>
    <row r="76" spans="1:7" ht="24">
      <c r="A76" s="2677">
        <v>2</v>
      </c>
      <c r="B76" s="3293"/>
      <c r="C76" s="2651" t="s">
        <v>2556</v>
      </c>
      <c r="D76" s="2651" t="s">
        <v>2557</v>
      </c>
      <c r="E76" s="2677">
        <v>0.2</v>
      </c>
      <c r="F76" s="2677">
        <v>25</v>
      </c>
    </row>
    <row r="77" spans="1:7" ht="24">
      <c r="A77" s="2677">
        <v>3</v>
      </c>
      <c r="B77" s="3293"/>
      <c r="C77" s="2651" t="s">
        <v>2558</v>
      </c>
      <c r="D77" s="2651" t="s">
        <v>2559</v>
      </c>
      <c r="E77" s="2677">
        <v>0.2</v>
      </c>
      <c r="F77" s="2677">
        <v>25</v>
      </c>
    </row>
    <row r="78" spans="1:7" ht="13.5">
      <c r="A78" s="2677">
        <v>4</v>
      </c>
      <c r="B78" s="3293"/>
      <c r="C78" s="2651" t="s">
        <v>2560</v>
      </c>
      <c r="D78" s="2651" t="s">
        <v>2561</v>
      </c>
      <c r="E78" s="2677">
        <v>0.15</v>
      </c>
      <c r="F78" s="2677">
        <v>20</v>
      </c>
    </row>
    <row r="79" spans="1:7" ht="24">
      <c r="A79" s="2677">
        <v>5</v>
      </c>
      <c r="B79" s="3293"/>
      <c r="C79" s="2651" t="s">
        <v>2562</v>
      </c>
      <c r="D79" s="2651" t="s">
        <v>2563</v>
      </c>
      <c r="E79" s="2677">
        <v>0.15</v>
      </c>
      <c r="F79" s="2677">
        <v>20</v>
      </c>
    </row>
    <row r="80" spans="1:7" ht="24">
      <c r="A80" s="2677">
        <v>6</v>
      </c>
      <c r="B80" s="3293"/>
      <c r="C80" s="2651" t="s">
        <v>2564</v>
      </c>
      <c r="D80" s="2651" t="s">
        <v>2565</v>
      </c>
      <c r="E80" s="2677">
        <v>0.15</v>
      </c>
      <c r="F80" s="2677">
        <v>20</v>
      </c>
    </row>
    <row r="81" spans="1:6" ht="24">
      <c r="A81" s="2677">
        <v>7</v>
      </c>
      <c r="B81" s="3293"/>
      <c r="C81" s="2651" t="s">
        <v>2566</v>
      </c>
      <c r="D81" s="2651" t="s">
        <v>2567</v>
      </c>
      <c r="E81" s="2677">
        <v>0.15</v>
      </c>
      <c r="F81" s="2677">
        <v>20</v>
      </c>
    </row>
    <row r="82" spans="1:6" ht="24">
      <c r="A82" s="2677">
        <v>8</v>
      </c>
      <c r="B82" s="3293"/>
      <c r="C82" s="2651" t="s">
        <v>2568</v>
      </c>
      <c r="D82" s="2651" t="s">
        <v>2569</v>
      </c>
      <c r="E82" s="2677">
        <v>0.1</v>
      </c>
      <c r="F82" s="2677">
        <v>15</v>
      </c>
    </row>
    <row r="83" spans="1:6" ht="24">
      <c r="A83" s="2677">
        <v>9</v>
      </c>
      <c r="B83" s="3293"/>
      <c r="C83" s="2651" t="s">
        <v>2570</v>
      </c>
      <c r="D83" s="2651" t="s">
        <v>2571</v>
      </c>
      <c r="E83" s="2677">
        <v>0.1</v>
      </c>
      <c r="F83" s="2677">
        <v>15</v>
      </c>
    </row>
    <row r="84" spans="1:6" ht="24">
      <c r="A84" s="2677">
        <v>10</v>
      </c>
      <c r="B84" s="3293"/>
      <c r="C84" s="2651" t="s">
        <v>2572</v>
      </c>
      <c r="D84" s="2651" t="s">
        <v>2573</v>
      </c>
      <c r="E84" s="2677">
        <v>0.1</v>
      </c>
      <c r="F84" s="2677">
        <v>15</v>
      </c>
    </row>
    <row r="85" spans="1:6" ht="24">
      <c r="A85" s="2677">
        <v>11</v>
      </c>
      <c r="B85" s="3293"/>
      <c r="C85" s="2651" t="s">
        <v>2574</v>
      </c>
      <c r="D85" s="2651" t="s">
        <v>2575</v>
      </c>
      <c r="E85" s="2677">
        <v>0.1</v>
      </c>
      <c r="F85" s="2677">
        <v>15</v>
      </c>
    </row>
    <row r="86" spans="1:6" ht="24">
      <c r="A86" s="2677">
        <v>12</v>
      </c>
      <c r="B86" s="3293"/>
      <c r="C86" s="2651" t="s">
        <v>2576</v>
      </c>
      <c r="D86" s="2651" t="s">
        <v>2577</v>
      </c>
      <c r="E86" s="2677">
        <v>0.1</v>
      </c>
      <c r="F86" s="2677">
        <v>15</v>
      </c>
    </row>
    <row r="87" spans="1:6" ht="13.5">
      <c r="A87" s="2677">
        <v>13</v>
      </c>
      <c r="B87" s="3293"/>
      <c r="C87" s="2651" t="s">
        <v>2578</v>
      </c>
      <c r="D87" s="2651" t="s">
        <v>2579</v>
      </c>
      <c r="E87" s="2677">
        <v>0.1</v>
      </c>
      <c r="F87" s="2677">
        <v>15</v>
      </c>
    </row>
    <row r="88" spans="1:6" ht="13.5">
      <c r="A88" s="2677">
        <v>14</v>
      </c>
      <c r="B88" s="3293"/>
      <c r="C88" s="2651" t="s">
        <v>2580</v>
      </c>
      <c r="D88" s="2651" t="s">
        <v>2581</v>
      </c>
      <c r="E88" s="2677">
        <v>0.1</v>
      </c>
      <c r="F88" s="2677">
        <v>15</v>
      </c>
    </row>
    <row r="89" spans="1:6" ht="13.5">
      <c r="A89" s="2677">
        <v>15</v>
      </c>
      <c r="B89" s="3293"/>
      <c r="C89" s="2651" t="s">
        <v>2582</v>
      </c>
      <c r="D89" s="2651" t="s">
        <v>2583</v>
      </c>
      <c r="E89" s="2677">
        <v>0.1</v>
      </c>
      <c r="F89" s="2677">
        <v>15</v>
      </c>
    </row>
    <row r="90" spans="1:6" ht="24">
      <c r="A90" s="2677">
        <v>16</v>
      </c>
      <c r="B90" s="3293"/>
      <c r="C90" s="2651" t="s">
        <v>2584</v>
      </c>
      <c r="D90" s="2651" t="s">
        <v>2585</v>
      </c>
      <c r="E90" s="2677">
        <v>0.1</v>
      </c>
      <c r="F90" s="2677">
        <v>15</v>
      </c>
    </row>
    <row r="91" spans="1:6" ht="24">
      <c r="A91" s="2677">
        <v>17</v>
      </c>
      <c r="B91" s="3299"/>
      <c r="C91" s="2651" t="s">
        <v>2586</v>
      </c>
      <c r="D91" s="2651" t="s">
        <v>2587</v>
      </c>
      <c r="E91" s="2677">
        <v>0.1</v>
      </c>
      <c r="F91" s="2677">
        <v>15</v>
      </c>
    </row>
    <row r="92" spans="1:6" ht="13.5">
      <c r="A92" s="2677">
        <v>18</v>
      </c>
      <c r="B92" s="3294" t="s">
        <v>2588</v>
      </c>
      <c r="C92" s="2651" t="s">
        <v>2589</v>
      </c>
      <c r="D92" s="2651" t="s">
        <v>2590</v>
      </c>
      <c r="E92" s="2677">
        <v>0.2</v>
      </c>
      <c r="F92" s="2677">
        <v>25</v>
      </c>
    </row>
    <row r="93" spans="1:6" ht="24">
      <c r="A93" s="2677">
        <v>19</v>
      </c>
      <c r="B93" s="3293"/>
      <c r="C93" s="2651" t="s">
        <v>2591</v>
      </c>
      <c r="D93" s="2651" t="s">
        <v>2592</v>
      </c>
      <c r="E93" s="2677">
        <v>0.2</v>
      </c>
      <c r="F93" s="2677">
        <v>25</v>
      </c>
    </row>
    <row r="94" spans="1:6" ht="13.5">
      <c r="A94" s="2677">
        <v>20</v>
      </c>
      <c r="B94" s="3293"/>
      <c r="C94" s="2651" t="s">
        <v>2593</v>
      </c>
      <c r="D94" s="2651" t="s">
        <v>2594</v>
      </c>
      <c r="E94" s="2677">
        <v>0.15</v>
      </c>
      <c r="F94" s="2677">
        <v>20</v>
      </c>
    </row>
    <row r="95" spans="1:6" ht="13.5">
      <c r="A95" s="2677">
        <v>21</v>
      </c>
      <c r="B95" s="3293"/>
      <c r="C95" s="2651" t="s">
        <v>2595</v>
      </c>
      <c r="D95" s="2651" t="s">
        <v>2596</v>
      </c>
      <c r="E95" s="2677">
        <v>0.15</v>
      </c>
      <c r="F95" s="2677">
        <v>20</v>
      </c>
    </row>
    <row r="96" spans="1:6" ht="13.5">
      <c r="A96" s="2677">
        <v>22</v>
      </c>
      <c r="B96" s="3293"/>
      <c r="C96" s="2651" t="s">
        <v>2597</v>
      </c>
      <c r="D96" s="2651" t="s">
        <v>2598</v>
      </c>
      <c r="E96" s="2677">
        <v>0.15</v>
      </c>
      <c r="F96" s="2677">
        <v>20</v>
      </c>
    </row>
    <row r="97" spans="1:6" ht="36">
      <c r="A97" s="2677">
        <v>23</v>
      </c>
      <c r="B97" s="3293"/>
      <c r="C97" s="2651" t="s">
        <v>2599</v>
      </c>
      <c r="D97" s="2651" t="s">
        <v>2600</v>
      </c>
      <c r="E97" s="2677">
        <v>0.15</v>
      </c>
      <c r="F97" s="2677">
        <v>20</v>
      </c>
    </row>
    <row r="98" spans="1:6" ht="13.5">
      <c r="A98" s="2677">
        <v>24</v>
      </c>
      <c r="B98" s="3293"/>
      <c r="C98" s="2651" t="s">
        <v>2601</v>
      </c>
      <c r="D98" s="2651" t="s">
        <v>2602</v>
      </c>
      <c r="E98" s="2677">
        <v>0.1</v>
      </c>
      <c r="F98" s="2677">
        <v>15</v>
      </c>
    </row>
    <row r="99" spans="1:6" ht="13.5">
      <c r="A99" s="2677">
        <v>25</v>
      </c>
      <c r="B99" s="3293"/>
      <c r="C99" s="2651" t="s">
        <v>2603</v>
      </c>
      <c r="D99" s="2651" t="s">
        <v>2604</v>
      </c>
      <c r="E99" s="2677">
        <v>0.1</v>
      </c>
      <c r="F99" s="2677">
        <v>15</v>
      </c>
    </row>
    <row r="100" spans="1:6" ht="24">
      <c r="A100" s="2677">
        <v>26</v>
      </c>
      <c r="B100" s="3293"/>
      <c r="C100" s="2651" t="s">
        <v>2605</v>
      </c>
      <c r="D100" s="2651" t="s">
        <v>2606</v>
      </c>
      <c r="E100" s="2677">
        <v>0.1</v>
      </c>
      <c r="F100" s="2677">
        <v>15</v>
      </c>
    </row>
    <row r="101" spans="1:6" ht="24">
      <c r="A101" s="2677">
        <v>27</v>
      </c>
      <c r="B101" s="3293"/>
      <c r="C101" s="2651" t="s">
        <v>2607</v>
      </c>
      <c r="D101" s="2651" t="s">
        <v>2608</v>
      </c>
      <c r="E101" s="2677">
        <v>0.1</v>
      </c>
      <c r="F101" s="2677">
        <v>15</v>
      </c>
    </row>
    <row r="102" spans="1:6" ht="13.5">
      <c r="A102" s="2677">
        <v>28</v>
      </c>
      <c r="B102" s="3293"/>
      <c r="C102" s="2651" t="s">
        <v>2609</v>
      </c>
      <c r="D102" s="2651" t="s">
        <v>2610</v>
      </c>
      <c r="E102" s="2677">
        <v>0.1</v>
      </c>
      <c r="F102" s="2677">
        <v>15</v>
      </c>
    </row>
    <row r="103" spans="1:6" ht="13.5">
      <c r="A103" s="2677">
        <v>29</v>
      </c>
      <c r="B103" s="3293"/>
      <c r="C103" s="2651" t="s">
        <v>2611</v>
      </c>
      <c r="D103" s="2651" t="s">
        <v>2612</v>
      </c>
      <c r="E103" s="2677">
        <v>0.1</v>
      </c>
      <c r="F103" s="2677">
        <v>15</v>
      </c>
    </row>
    <row r="104" spans="1:6" ht="13.5">
      <c r="A104" s="2677">
        <v>30</v>
      </c>
      <c r="B104" s="3293"/>
      <c r="C104" s="2651" t="s">
        <v>2613</v>
      </c>
      <c r="D104" s="2651" t="s">
        <v>2614</v>
      </c>
      <c r="E104" s="2677">
        <v>0.1</v>
      </c>
      <c r="F104" s="2677">
        <v>15</v>
      </c>
    </row>
    <row r="105" spans="1:6" ht="24">
      <c r="A105" s="2677">
        <v>31</v>
      </c>
      <c r="B105" s="3293"/>
      <c r="C105" s="2651" t="s">
        <v>2615</v>
      </c>
      <c r="D105" s="2651" t="s">
        <v>2616</v>
      </c>
      <c r="E105" s="2677">
        <v>0.1</v>
      </c>
      <c r="F105" s="2677">
        <v>15</v>
      </c>
    </row>
    <row r="106" spans="1:6" ht="24">
      <c r="A106" s="2677">
        <v>32</v>
      </c>
      <c r="B106" s="3293"/>
      <c r="C106" s="2651" t="s">
        <v>2617</v>
      </c>
      <c r="D106" s="2651" t="s">
        <v>2618</v>
      </c>
      <c r="E106" s="2677">
        <v>0.1</v>
      </c>
      <c r="F106" s="2677">
        <v>15</v>
      </c>
    </row>
    <row r="107" spans="1:6" ht="24">
      <c r="A107" s="2677">
        <v>33</v>
      </c>
      <c r="B107" s="3293"/>
      <c r="C107" s="2651" t="s">
        <v>2619</v>
      </c>
      <c r="D107" s="2651" t="s">
        <v>2620</v>
      </c>
      <c r="E107" s="2677">
        <v>0.1</v>
      </c>
      <c r="F107" s="2677">
        <v>15</v>
      </c>
    </row>
    <row r="108" spans="1:6" ht="24">
      <c r="A108" s="2677">
        <v>34</v>
      </c>
      <c r="B108" s="3299"/>
      <c r="C108" s="2651" t="s">
        <v>2621</v>
      </c>
      <c r="D108" s="2651" t="s">
        <v>2622</v>
      </c>
      <c r="E108" s="2677">
        <v>0.1</v>
      </c>
      <c r="F108" s="2677">
        <v>15</v>
      </c>
    </row>
    <row r="109" spans="1:6" ht="24">
      <c r="A109" s="2677">
        <v>35</v>
      </c>
      <c r="B109" s="3294" t="s">
        <v>2623</v>
      </c>
      <c r="C109" s="2677" t="s">
        <v>2624</v>
      </c>
      <c r="D109" s="2651" t="s">
        <v>2625</v>
      </c>
      <c r="E109" s="2677">
        <v>0.15</v>
      </c>
      <c r="F109" s="2677">
        <v>20</v>
      </c>
    </row>
    <row r="110" spans="1:6" ht="13.5">
      <c r="A110" s="2677">
        <v>36</v>
      </c>
      <c r="B110" s="3293"/>
      <c r="C110" s="2677" t="s">
        <v>2626</v>
      </c>
      <c r="D110" s="2651" t="s">
        <v>2627</v>
      </c>
      <c r="E110" s="2677">
        <v>0.15</v>
      </c>
      <c r="F110" s="2677">
        <v>20</v>
      </c>
    </row>
    <row r="111" spans="1:6" ht="13.5">
      <c r="A111" s="2677">
        <v>37</v>
      </c>
      <c r="B111" s="3293"/>
      <c r="C111" s="2677" t="s">
        <v>2628</v>
      </c>
      <c r="D111" s="2651" t="s">
        <v>2629</v>
      </c>
      <c r="E111" s="2677">
        <v>0.15</v>
      </c>
      <c r="F111" s="2677">
        <v>20</v>
      </c>
    </row>
    <row r="112" spans="1:6" ht="13.5">
      <c r="A112" s="2677">
        <v>38</v>
      </c>
      <c r="B112" s="3293"/>
      <c r="C112" s="2677" t="s">
        <v>2630</v>
      </c>
      <c r="D112" s="2651" t="s">
        <v>2631</v>
      </c>
      <c r="E112" s="2677">
        <v>0.1</v>
      </c>
      <c r="F112" s="2677">
        <v>15</v>
      </c>
    </row>
    <row r="113" spans="1:6" ht="24">
      <c r="A113" s="2677">
        <v>39</v>
      </c>
      <c r="B113" s="3293"/>
      <c r="C113" s="2677" t="s">
        <v>2632</v>
      </c>
      <c r="D113" s="2651" t="s">
        <v>2633</v>
      </c>
      <c r="E113" s="2677">
        <v>0.1</v>
      </c>
      <c r="F113" s="2677">
        <v>15</v>
      </c>
    </row>
    <row r="114" spans="1:6" ht="24">
      <c r="A114" s="2677">
        <v>40</v>
      </c>
      <c r="B114" s="3299"/>
      <c r="C114" s="2677" t="s">
        <v>2634</v>
      </c>
      <c r="D114" s="2651" t="s">
        <v>2635</v>
      </c>
      <c r="E114" s="2677">
        <v>0.1</v>
      </c>
      <c r="F114" s="2677">
        <v>15</v>
      </c>
    </row>
    <row r="115" spans="1:6" ht="13.5">
      <c r="A115" s="2677">
        <v>41</v>
      </c>
      <c r="B115" s="3287" t="s">
        <v>2636</v>
      </c>
      <c r="C115" s="2677" t="s">
        <v>2637</v>
      </c>
      <c r="D115" s="2651" t="s">
        <v>2638</v>
      </c>
      <c r="E115" s="2677">
        <v>0.1</v>
      </c>
      <c r="F115" s="2677">
        <v>15</v>
      </c>
    </row>
    <row r="116" spans="1:6" ht="13.5">
      <c r="A116" s="2677">
        <v>42</v>
      </c>
      <c r="B116" s="3287"/>
      <c r="C116" s="2677" t="s">
        <v>2639</v>
      </c>
      <c r="D116" s="2651" t="s">
        <v>2640</v>
      </c>
      <c r="E116" s="2677">
        <v>0.1</v>
      </c>
      <c r="F116" s="2677">
        <v>15</v>
      </c>
    </row>
    <row r="117" spans="1:6" ht="24">
      <c r="A117" s="2677">
        <v>43</v>
      </c>
      <c r="B117" s="3287"/>
      <c r="C117" s="2677" t="s">
        <v>2641</v>
      </c>
      <c r="D117" s="2651" t="s">
        <v>2642</v>
      </c>
      <c r="E117" s="2677">
        <v>0.1</v>
      </c>
      <c r="F117" s="2677">
        <v>15</v>
      </c>
    </row>
    <row r="118" spans="1:6" ht="13.5">
      <c r="A118" s="2677">
        <v>44</v>
      </c>
      <c r="B118" s="3294" t="s">
        <v>2643</v>
      </c>
      <c r="C118" s="2677" t="s">
        <v>2644</v>
      </c>
      <c r="D118" s="2651" t="s">
        <v>2645</v>
      </c>
      <c r="E118" s="2677">
        <v>0.1</v>
      </c>
      <c r="F118" s="2677">
        <v>15</v>
      </c>
    </row>
    <row r="119" spans="1:6" ht="24">
      <c r="A119" s="2677">
        <v>45</v>
      </c>
      <c r="B119" s="3299"/>
      <c r="C119" s="2651" t="s">
        <v>2646</v>
      </c>
      <c r="D119" s="2651" t="s">
        <v>2647</v>
      </c>
      <c r="E119" s="2677">
        <v>0.1</v>
      </c>
      <c r="F119" s="2677">
        <v>15</v>
      </c>
    </row>
    <row r="120" spans="1:6" ht="24">
      <c r="A120" s="2677">
        <v>46</v>
      </c>
      <c r="B120" s="3294" t="s">
        <v>2648</v>
      </c>
      <c r="C120" s="2677" t="s">
        <v>2649</v>
      </c>
      <c r="D120" s="2651" t="s">
        <v>2650</v>
      </c>
      <c r="E120" s="2677">
        <v>0.1</v>
      </c>
      <c r="F120" s="2677">
        <v>15</v>
      </c>
    </row>
    <row r="121" spans="1:6" ht="24">
      <c r="A121" s="2677">
        <v>47</v>
      </c>
      <c r="B121" s="3299"/>
      <c r="C121" s="2677" t="s">
        <v>2651</v>
      </c>
      <c r="D121" s="2651" t="s">
        <v>2652</v>
      </c>
      <c r="E121" s="2677">
        <v>0.1</v>
      </c>
      <c r="F121" s="2677">
        <v>15</v>
      </c>
    </row>
    <row r="122" spans="1:6" ht="13.5">
      <c r="A122" s="2677">
        <v>48</v>
      </c>
      <c r="B122" s="3294" t="s">
        <v>2653</v>
      </c>
      <c r="C122" s="2677" t="s">
        <v>2654</v>
      </c>
      <c r="D122" s="2651" t="s">
        <v>2655</v>
      </c>
      <c r="E122" s="2677">
        <v>0.1</v>
      </c>
      <c r="F122" s="2677">
        <v>15</v>
      </c>
    </row>
    <row r="123" spans="1:6" ht="13.5">
      <c r="A123" s="2677">
        <v>49</v>
      </c>
      <c r="B123" s="3299"/>
      <c r="C123" s="2677" t="s">
        <v>2656</v>
      </c>
      <c r="D123" s="2651" t="s">
        <v>2657</v>
      </c>
      <c r="E123" s="2677">
        <v>0.1</v>
      </c>
      <c r="F123" s="2677">
        <v>15</v>
      </c>
    </row>
    <row r="124" spans="1:6" ht="24">
      <c r="A124" s="2677">
        <v>50</v>
      </c>
      <c r="B124" s="3287" t="s">
        <v>2658</v>
      </c>
      <c r="C124" s="2677" t="s">
        <v>2659</v>
      </c>
      <c r="D124" s="2651" t="s">
        <v>2660</v>
      </c>
      <c r="E124" s="2677">
        <v>0.1</v>
      </c>
      <c r="F124" s="2677">
        <v>15</v>
      </c>
    </row>
    <row r="125" spans="1:6" ht="24">
      <c r="A125" s="2677">
        <v>51</v>
      </c>
      <c r="B125" s="3287"/>
      <c r="C125" s="2677" t="s">
        <v>2661</v>
      </c>
      <c r="D125" s="2651" t="s">
        <v>2662</v>
      </c>
      <c r="E125" s="2677">
        <v>0.1</v>
      </c>
      <c r="F125" s="2677">
        <v>15</v>
      </c>
    </row>
    <row r="126" spans="1:6" ht="24">
      <c r="A126" s="2677">
        <v>52</v>
      </c>
      <c r="B126" s="3287" t="s">
        <v>2663</v>
      </c>
      <c r="C126" s="2677" t="s">
        <v>2664</v>
      </c>
      <c r="D126" s="2651" t="s">
        <v>2665</v>
      </c>
      <c r="E126" s="2677">
        <v>0.1</v>
      </c>
      <c r="F126" s="2677">
        <v>15</v>
      </c>
    </row>
    <row r="127" spans="1:6" ht="24">
      <c r="A127" s="2677">
        <v>53</v>
      </c>
      <c r="B127" s="3287"/>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7" t="s">
        <v>2671</v>
      </c>
      <c r="C129" s="2677" t="s">
        <v>2672</v>
      </c>
      <c r="D129" s="2651" t="s">
        <v>2673</v>
      </c>
      <c r="E129" s="2677">
        <v>0.1</v>
      </c>
      <c r="F129" s="2677">
        <v>15</v>
      </c>
    </row>
    <row r="130" spans="1:6" ht="13.5">
      <c r="A130" s="2677">
        <v>56</v>
      </c>
      <c r="B130" s="3287"/>
      <c r="C130" s="2677" t="s">
        <v>2674</v>
      </c>
      <c r="D130" s="2651" t="s">
        <v>2675</v>
      </c>
      <c r="E130" s="2677">
        <v>0.1</v>
      </c>
      <c r="F130" s="2677">
        <v>15</v>
      </c>
    </row>
    <row r="131" spans="1:6" ht="24">
      <c r="A131" s="2677">
        <v>57</v>
      </c>
      <c r="B131" s="3287"/>
      <c r="C131" s="2677" t="s">
        <v>2676</v>
      </c>
      <c r="D131" s="2651" t="s">
        <v>2677</v>
      </c>
      <c r="E131" s="2677">
        <v>0.1</v>
      </c>
      <c r="F131" s="2677">
        <v>15</v>
      </c>
    </row>
    <row r="132" spans="1:6" ht="24">
      <c r="A132" s="2677">
        <v>58</v>
      </c>
      <c r="B132" s="3287" t="s">
        <v>2678</v>
      </c>
      <c r="C132" s="2677" t="s">
        <v>2679</v>
      </c>
      <c r="D132" s="2651" t="s">
        <v>2680</v>
      </c>
      <c r="E132" s="2677">
        <v>0.1</v>
      </c>
      <c r="F132" s="2677">
        <v>15</v>
      </c>
    </row>
    <row r="133" spans="1:6" ht="13.5">
      <c r="A133" s="2677">
        <v>59</v>
      </c>
      <c r="B133" s="3287"/>
      <c r="C133" s="2677" t="s">
        <v>2681</v>
      </c>
      <c r="D133" s="2651" t="s">
        <v>2682</v>
      </c>
      <c r="E133" s="2677">
        <v>0.1</v>
      </c>
      <c r="F133" s="2677">
        <v>15</v>
      </c>
    </row>
    <row r="134" spans="1:6" ht="13.5">
      <c r="A134" s="2677">
        <v>60</v>
      </c>
      <c r="B134" s="3294" t="s">
        <v>2683</v>
      </c>
      <c r="C134" s="2677" t="s">
        <v>2684</v>
      </c>
      <c r="D134" s="2651" t="s">
        <v>2685</v>
      </c>
      <c r="E134" s="2677">
        <v>0.1</v>
      </c>
      <c r="F134" s="2677">
        <v>15</v>
      </c>
    </row>
    <row r="135" spans="1:6" ht="13.5">
      <c r="A135" s="2677">
        <v>61</v>
      </c>
      <c r="B135" s="3299"/>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7" t="s">
        <v>2691</v>
      </c>
      <c r="C137" s="2677" t="s">
        <v>2692</v>
      </c>
      <c r="D137" s="2651" t="s">
        <v>2693</v>
      </c>
      <c r="E137" s="2677">
        <v>0.1</v>
      </c>
      <c r="F137" s="2677">
        <v>15</v>
      </c>
    </row>
    <row r="138" spans="1:6" ht="13.5">
      <c r="A138" s="2677">
        <v>64</v>
      </c>
      <c r="B138" s="3287"/>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3" t="s">
        <v>89</v>
      </c>
    </row>
    <row r="43" spans="1:7" ht="13.5" customHeight="1">
      <c r="A43" s="712" t="s">
        <v>342</v>
      </c>
      <c r="B43" s="206" t="s">
        <v>421</v>
      </c>
      <c r="C43" s="229" t="e">
        <f ca="1">ROUND(IF('数据-取费表'!B22&lt;=1,C39*F22*'数据-取费表'!B21/2,C39*(POWER((1+F22),'数据-取费表'!B21/2)-1)),0)</f>
        <v>#VALUE!</v>
      </c>
      <c r="D43" s="229"/>
      <c r="E43" s="229"/>
      <c r="F43" s="230"/>
      <c r="G43" s="3184"/>
    </row>
    <row r="44" spans="1:7" ht="13.5" customHeight="1">
      <c r="A44" s="712" t="s">
        <v>343</v>
      </c>
      <c r="B44" s="206" t="s">
        <v>423</v>
      </c>
      <c r="C44" s="229" t="e">
        <f ca="1">ROUND(IF('数据-取费表'!B22&lt;=1,C40*F22*'数据-取费表'!B21/2,C40*(POWER((1+F22),'数据-取费表'!B21/2)-1)),4)</f>
        <v>#VALUE!</v>
      </c>
      <c r="D44" s="229"/>
      <c r="E44" s="229"/>
      <c r="F44" s="230"/>
      <c r="G44" s="3185"/>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300" t="s">
        <v>3083</v>
      </c>
      <c r="B1" s="3300"/>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301" t="s">
        <v>3134</v>
      </c>
      <c r="B1" s="3301"/>
      <c r="C1" s="3301"/>
      <c r="D1" s="3301"/>
      <c r="E1" s="3301"/>
      <c r="F1" s="3302"/>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278"/>
      <c r="B4" s="3005" t="s">
        <v>911</v>
      </c>
      <c r="C4" s="3005"/>
      <c r="D4" s="3005"/>
      <c r="E4" s="1278"/>
    </row>
    <row r="5" spans="1:5" ht="16.5" thickTop="1">
      <c r="B5" s="3003" t="s">
        <v>903</v>
      </c>
      <c r="C5" s="1279" t="s">
        <v>904</v>
      </c>
      <c r="D5" s="775" t="e">
        <f ca="1">结果表!H101</f>
        <v>#REF!</v>
      </c>
    </row>
    <row r="6" spans="1:5" ht="15.75">
      <c r="B6" s="3003"/>
      <c r="C6" s="1279" t="s">
        <v>905</v>
      </c>
      <c r="D6" s="775" t="e">
        <f ca="1">NUMBERSTRING(INT(D5*10000),2)&amp;"元整"</f>
        <v>#REF!</v>
      </c>
    </row>
    <row r="7" spans="1:5" ht="15.75">
      <c r="B7" s="3008"/>
      <c r="C7" s="1280" t="s">
        <v>906</v>
      </c>
      <c r="D7" s="776" t="e">
        <f ca="1">结果表!H102</f>
        <v>#REF!</v>
      </c>
    </row>
    <row r="8" spans="1:5" ht="15.75">
      <c r="B8" s="3009" t="str">
        <f>结果表!E103</f>
        <v>2.估价师知悉的法定优先受偿款</v>
      </c>
      <c r="C8" s="1281" t="s">
        <v>907</v>
      </c>
      <c r="D8" s="776">
        <f>结果表!H103</f>
        <v>0</v>
      </c>
    </row>
    <row r="9" spans="1:5" ht="15.75">
      <c r="B9" s="3011"/>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2" t="str">
        <f>结果表!E107</f>
        <v>3.房地产抵押价值</v>
      </c>
      <c r="C13" s="1284" t="s">
        <v>904</v>
      </c>
      <c r="D13" s="778" t="e">
        <f ca="1">结果表!H107</f>
        <v>#REF!</v>
      </c>
    </row>
    <row r="14" spans="1:5" ht="15.75">
      <c r="B14" s="3003"/>
      <c r="C14" s="1279" t="s">
        <v>905</v>
      </c>
      <c r="D14" s="775" t="e">
        <f ca="1">NUMBERSTRING(INT(D13*10000),2)&amp;"元整"</f>
        <v>#REF!</v>
      </c>
    </row>
    <row r="15" spans="1:5" ht="15">
      <c r="B15" s="3008"/>
      <c r="C15" s="1280" t="s">
        <v>915</v>
      </c>
      <c r="D15" s="784" t="e">
        <f ca="1">结果表!H108</f>
        <v>#REF!</v>
      </c>
    </row>
    <row r="16" spans="1:5" ht="15">
      <c r="B16" s="3009" t="str">
        <f>结果表!E109</f>
        <v>——</v>
      </c>
      <c r="C16" s="1284" t="s">
        <v>916</v>
      </c>
      <c r="D16" s="1285" t="str">
        <f>结果表!H109</f>
        <v>——</v>
      </c>
    </row>
    <row r="17" spans="1:5" ht="15.75">
      <c r="B17" s="3010"/>
      <c r="C17" s="1279" t="s">
        <v>917</v>
      </c>
      <c r="D17" s="775" t="e">
        <f>NUMBERSTRING(INT(D16*10000),2)&amp;"元整"</f>
        <v>#VALUE!</v>
      </c>
    </row>
    <row r="18" spans="1:5" ht="15">
      <c r="B18" s="3011"/>
      <c r="C18" s="1280" t="s">
        <v>906</v>
      </c>
      <c r="D18" s="784" t="str">
        <f>结果表!H110</f>
        <v>——</v>
      </c>
    </row>
    <row r="19" spans="1:5" ht="15.75">
      <c r="B19" s="3002" t="str">
        <f>结果表!E111</f>
        <v>——</v>
      </c>
      <c r="C19" s="1284" t="s">
        <v>904</v>
      </c>
      <c r="D19" s="776" t="str">
        <f>结果表!H111</f>
        <v>——</v>
      </c>
    </row>
    <row r="20" spans="1:5" ht="15.75">
      <c r="B20" s="3003"/>
      <c r="C20" s="1279" t="s">
        <v>917</v>
      </c>
      <c r="D20" s="775" t="e">
        <f>NUMBERSTRING(INT(D19*10000),2)&amp;"元整"</f>
        <v>#VALUE!</v>
      </c>
    </row>
    <row r="21" spans="1:5" ht="15.75" thickBot="1">
      <c r="B21" s="3004"/>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T35" sqref="T35"/>
    </sheetView>
  </sheetViews>
  <sheetFormatPr defaultRowHeight="13.5"/>
  <cols>
    <col min="1" max="1" width="13.87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3" t="s">
        <v>451</v>
      </c>
      <c r="S1" s="3304"/>
      <c r="T1" s="3304"/>
      <c r="U1" s="3304"/>
      <c r="V1" s="3304"/>
      <c r="W1" s="3304"/>
      <c r="X1" s="2716"/>
      <c r="Y1" s="3303" t="s">
        <v>452</v>
      </c>
      <c r="Z1" s="3304"/>
      <c r="AA1" s="3304"/>
      <c r="AB1" s="3304"/>
      <c r="AC1" s="3304"/>
      <c r="AD1" s="3304"/>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3" t="s">
        <v>2729</v>
      </c>
      <c r="S29" s="3304"/>
      <c r="T29" s="3304"/>
      <c r="U29" s="3304"/>
      <c r="V29" s="3304"/>
      <c r="W29" s="3304"/>
      <c r="X29" s="2716"/>
      <c r="Y29" s="3303" t="s">
        <v>2730</v>
      </c>
      <c r="Z29" s="3304"/>
      <c r="AA29" s="3304"/>
      <c r="AB29" s="3304"/>
      <c r="AC29" s="3304"/>
      <c r="AD29" s="3304"/>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8" t="s">
        <v>447</v>
      </c>
      <c r="C1" s="3308"/>
      <c r="D1" s="3308"/>
      <c r="E1" s="3308"/>
      <c r="F1" s="3308"/>
      <c r="G1" s="3304" t="s">
        <v>448</v>
      </c>
      <c r="H1" s="3304"/>
      <c r="I1" s="3304"/>
      <c r="J1" s="3304"/>
      <c r="K1" s="3304"/>
      <c r="L1" s="3304"/>
      <c r="N1" s="3304" t="s">
        <v>449</v>
      </c>
      <c r="O1" s="3304"/>
      <c r="P1" s="3304"/>
      <c r="Q1" s="3304"/>
      <c r="S1" s="3304" t="s">
        <v>450</v>
      </c>
      <c r="T1" s="3304"/>
      <c r="U1" s="3304"/>
      <c r="V1" s="3304"/>
      <c r="X1" s="3303" t="s">
        <v>451</v>
      </c>
      <c r="Y1" s="3304"/>
      <c r="Z1" s="3304"/>
      <c r="AA1" s="3304"/>
      <c r="AB1" s="3304"/>
      <c r="AD1" s="3303" t="s">
        <v>452</v>
      </c>
      <c r="AE1" s="3304"/>
      <c r="AF1" s="3304"/>
      <c r="AG1" s="3304"/>
      <c r="AH1" s="3304"/>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6">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6"/>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6"/>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3"/>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9">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6"/>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6"/>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3"/>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9">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6"/>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6"/>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7"/>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5">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6"/>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6"/>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7"/>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5">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6"/>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6"/>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7"/>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10">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1"/>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1"/>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2"/>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5">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6"/>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6"/>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7"/>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5">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6">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6">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7">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5">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6">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6">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7">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5">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6">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6">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7">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5">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6">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6">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7">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5">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6">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6">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7">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5">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6">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6">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7">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5">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6">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6">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7">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5">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6">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6">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7">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5">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6">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6">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7">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5">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6">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6">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7">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6" t="s">
        <v>2741</v>
      </c>
      <c r="B1" s="3316"/>
      <c r="C1" s="3316"/>
      <c r="D1" s="3316"/>
      <c r="E1" s="3316"/>
      <c r="F1" s="3316"/>
      <c r="G1" s="3317"/>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4"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5"/>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922</v>
      </c>
      <c r="B2" s="3013" t="s">
        <v>923</v>
      </c>
      <c r="C2" s="3013" t="s">
        <v>924</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4" t="s">
        <v>921</v>
      </c>
      <c r="B5" s="3014"/>
      <c r="C5" s="3014"/>
      <c r="D5" s="3014" t="e">
        <f ca="1">结果表!D119</f>
        <v>#REF!</v>
      </c>
      <c r="E5" s="3014"/>
      <c r="F5" s="3014" t="e">
        <f ca="1">结果表!F119</f>
        <v>#REF!</v>
      </c>
      <c r="G5" s="3014"/>
      <c r="H5" s="3014" t="e">
        <f ca="1">结果表!H119</f>
        <v>#REF!</v>
      </c>
      <c r="I5" s="3014"/>
    </row>
    <row r="6" spans="1:9" ht="15.75">
      <c r="A6" s="3015" t="str">
        <f>结果表!A120</f>
        <v>估价师知悉的法定优先受偿款</v>
      </c>
      <c r="B6" s="3015"/>
      <c r="C6" s="3015"/>
      <c r="D6" s="3015">
        <f>结果表!D120</f>
        <v>0</v>
      </c>
      <c r="E6" s="3015"/>
      <c r="F6" s="3015"/>
      <c r="G6" s="3015"/>
      <c r="H6" s="3015"/>
      <c r="I6" s="3015"/>
    </row>
    <row r="7" spans="1:9" ht="15">
      <c r="A7" s="3014" t="s">
        <v>921</v>
      </c>
      <c r="B7" s="3014"/>
      <c r="C7" s="3014"/>
      <c r="D7" s="3016" t="str">
        <f>结果表!D121</f>
        <v>零元整</v>
      </c>
      <c r="E7" s="3017"/>
      <c r="F7" s="3017"/>
      <c r="G7" s="3017"/>
      <c r="H7" s="3017"/>
      <c r="I7" s="3018"/>
    </row>
    <row r="8" spans="1:9" ht="15.75">
      <c r="A8" s="3015" t="str">
        <f>结果表!A122</f>
        <v>房地产抵押价值</v>
      </c>
      <c r="B8" s="3015"/>
      <c r="C8" s="3015"/>
      <c r="D8" s="3015" t="e">
        <f ca="1">结果表!D122</f>
        <v>#REF!</v>
      </c>
      <c r="E8" s="3015"/>
      <c r="F8" s="3015"/>
      <c r="G8" s="3015"/>
      <c r="H8" s="3015"/>
      <c r="I8" s="3015"/>
    </row>
    <row r="9" spans="1:9" ht="15">
      <c r="A9" s="3014" t="s">
        <v>921</v>
      </c>
      <c r="B9" s="3014"/>
      <c r="C9" s="3014"/>
      <c r="D9" s="3014" t="e">
        <f ca="1">结果表!D123</f>
        <v>#REF!</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4" t="s">
        <v>921</v>
      </c>
      <c r="B11" s="3014"/>
      <c r="C11" s="3014"/>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921</v>
      </c>
      <c r="B13" s="3019"/>
      <c r="C13" s="3019"/>
      <c r="D13" s="3019" t="e">
        <f>结果表!D127</f>
        <v>#VALUE!</v>
      </c>
      <c r="E13" s="3019"/>
      <c r="F13" s="3019"/>
      <c r="G13" s="3019"/>
      <c r="H13" s="3019"/>
      <c r="I13" s="3019"/>
    </row>
    <row r="14" spans="1:9" ht="15" thickTop="1">
      <c r="A14" s="3020" t="s">
        <v>926</v>
      </c>
      <c r="B14" s="3020"/>
      <c r="C14" s="3020"/>
      <c r="D14" s="3020"/>
      <c r="E14" s="3020"/>
      <c r="F14" s="3020"/>
      <c r="G14" s="3020"/>
      <c r="H14" s="3020"/>
      <c r="I14" s="3020"/>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1" t="s">
        <v>943</v>
      </c>
      <c r="B1" s="3021"/>
      <c r="C1" s="3021"/>
      <c r="D1" s="3021"/>
    </row>
    <row r="2" spans="1:4" ht="18">
      <c r="A2" s="3022" t="s">
        <v>927</v>
      </c>
      <c r="B2" s="3022"/>
      <c r="C2" s="3022"/>
      <c r="D2" s="3022"/>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2" t="s">
        <v>933</v>
      </c>
      <c r="B6" s="3022"/>
      <c r="C6" s="3022"/>
      <c r="D6" s="3022"/>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3" t="s">
        <v>936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937</v>
      </c>
      <c r="B16" s="3027"/>
      <c r="C16" s="3027"/>
      <c r="D16" s="3027"/>
    </row>
    <row r="17" spans="1:4" ht="144" customHeight="1">
      <c r="A17" s="3027" t="s">
        <v>938</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939</v>
      </c>
      <c r="B22" s="3029"/>
      <c r="C22" s="3029"/>
      <c r="D22" s="3029"/>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5" t="s">
        <v>950</v>
      </c>
      <c r="B15" s="3030" t="s">
        <v>104</v>
      </c>
      <c r="C15" s="3031"/>
    </row>
    <row r="16" spans="1:7" ht="13.5">
      <c r="A16" s="3036"/>
      <c r="B16" s="3030" t="s">
        <v>37</v>
      </c>
      <c r="C16" s="3031"/>
    </row>
    <row r="17" spans="1:3" ht="13.5">
      <c r="A17" s="3036"/>
      <c r="B17" s="3033" t="s">
        <v>951</v>
      </c>
      <c r="C17" s="1316" t="s">
        <v>950</v>
      </c>
    </row>
    <row r="18" spans="1:3" ht="13.5">
      <c r="A18" s="3036"/>
      <c r="B18" s="3033"/>
      <c r="C18" s="1316" t="s">
        <v>952</v>
      </c>
    </row>
    <row r="19" spans="1:3" ht="13.5">
      <c r="A19" s="3036"/>
      <c r="B19" s="3033"/>
      <c r="C19" s="1316" t="s">
        <v>953</v>
      </c>
    </row>
    <row r="20" spans="1:3" ht="13.5">
      <c r="A20" s="3037"/>
      <c r="B20" s="3032" t="s">
        <v>954</v>
      </c>
      <c r="C20" s="3031"/>
    </row>
    <row r="21" spans="1:3" ht="13.5">
      <c r="A21" s="1317" t="s">
        <v>955</v>
      </c>
      <c r="B21" s="1318"/>
      <c r="C21" s="1319"/>
    </row>
    <row r="22" spans="1:3" ht="13.5">
      <c r="A22" s="3034" t="s">
        <v>956</v>
      </c>
      <c r="B22" s="3032" t="s">
        <v>957</v>
      </c>
      <c r="C22" s="3031"/>
    </row>
    <row r="23" spans="1:3" ht="13.5">
      <c r="A23" s="3034"/>
      <c r="B23" s="3032" t="s">
        <v>958</v>
      </c>
      <c r="C23" s="3031"/>
    </row>
    <row r="24" spans="1:3" ht="13.5">
      <c r="A24" s="3034"/>
      <c r="B24" s="3032" t="s">
        <v>959</v>
      </c>
      <c r="C24" s="3031"/>
    </row>
    <row r="25" spans="1:3" ht="13.5">
      <c r="A25" s="3034"/>
      <c r="B25" s="3033" t="s">
        <v>960</v>
      </c>
      <c r="C25" s="1316" t="s">
        <v>961</v>
      </c>
    </row>
    <row r="26" spans="1:3" ht="13.5">
      <c r="A26" s="3034"/>
      <c r="B26" s="3033"/>
      <c r="C26" s="1316" t="s">
        <v>962</v>
      </c>
    </row>
    <row r="27" spans="1:3" ht="13.5">
      <c r="A27" s="3034"/>
      <c r="B27" s="3033"/>
      <c r="C27" s="1316" t="s">
        <v>963</v>
      </c>
    </row>
    <row r="28" spans="1:3" ht="13.5">
      <c r="A28" s="3034"/>
      <c r="B28" s="3033"/>
      <c r="C28" s="1316" t="s">
        <v>964</v>
      </c>
    </row>
    <row r="29" spans="1:3" ht="13.5">
      <c r="A29" s="3034"/>
      <c r="B29" s="3033"/>
      <c r="C29" s="1316" t="s">
        <v>965</v>
      </c>
    </row>
    <row r="30" spans="1:3" ht="13.5">
      <c r="A30" s="3034"/>
      <c r="B30" s="3033"/>
      <c r="C30" s="1316" t="s">
        <v>966</v>
      </c>
    </row>
    <row r="31" spans="1:3" ht="13.5">
      <c r="A31" s="3034"/>
      <c r="B31" s="3033"/>
      <c r="C31" s="1316" t="s">
        <v>967</v>
      </c>
    </row>
    <row r="32" spans="1:3" ht="13.5">
      <c r="A32" s="3034"/>
      <c r="B32" s="3033"/>
      <c r="C32" s="1316" t="s">
        <v>968</v>
      </c>
    </row>
    <row r="33" spans="1:3" ht="13.5">
      <c r="A33" s="3034"/>
      <c r="B33" s="3033"/>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46101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8" t="s">
        <v>2062</v>
      </c>
      <c r="B17" s="3038"/>
      <c r="C17" s="3038"/>
      <c r="D17" s="3038"/>
      <c r="E17" s="3038"/>
      <c r="F17" s="3038"/>
      <c r="G17" s="3038"/>
      <c r="H17" s="3038"/>
    </row>
    <row r="18" spans="1:8" ht="24" customHeight="1">
      <c r="A18" s="3039" t="s">
        <v>2063</v>
      </c>
      <c r="B18" s="3039"/>
      <c r="C18" s="3039"/>
      <c r="D18" s="1984"/>
      <c r="E18" s="3040" t="s">
        <v>2064</v>
      </c>
      <c r="F18" s="3039"/>
      <c r="G18" s="3039"/>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2026-03-20T11:14:21Z</dcterms:modified>
</cp:coreProperties>
</file>