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activeTab="29"/>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4" i="61" l="1"/>
  <c r="E20" i="43"/>
  <c r="N17" i="43"/>
  <c r="G20" i="43"/>
  <c r="C20" i="43"/>
  <c r="C29" i="43"/>
  <c r="C30" i="43"/>
  <c r="E30" i="43"/>
  <c r="D27" i="9"/>
  <c r="D30" i="9"/>
  <c r="F60" i="34"/>
  <c r="H60" i="34"/>
  <c r="E60" i="34"/>
  <c r="D60" i="34"/>
  <c r="C11" i="34"/>
  <c r="G11" i="34"/>
  <c r="I7" i="34"/>
  <c r="G7" i="34"/>
  <c r="I5" i="34"/>
  <c r="G5" i="34"/>
  <c r="E5" i="34"/>
  <c r="S13" i="63"/>
  <c r="S14" i="63"/>
  <c r="S12" i="63"/>
  <c r="R13" i="63"/>
  <c r="G37" i="34"/>
  <c r="R14" i="63"/>
  <c r="I37" i="34"/>
  <c r="R12" i="63"/>
  <c r="E37" i="34"/>
  <c r="N13" i="63"/>
  <c r="G48" i="34"/>
  <c r="N14" i="63"/>
  <c r="I48" i="34"/>
  <c r="N12" i="63"/>
  <c r="E48" i="34"/>
  <c r="E20" i="1"/>
  <c r="C37" i="34"/>
  <c r="D30" i="43"/>
  <c r="B12" i="1"/>
  <c r="D7" i="4"/>
  <c r="B5" i="4"/>
  <c r="D2" i="4"/>
  <c r="E11" i="34"/>
  <c r="I11" i="34"/>
  <c r="G60" i="34"/>
  <c r="AH5" i="59"/>
  <c r="AG5" i="59"/>
  <c r="AE5" i="59"/>
  <c r="AF5" i="59"/>
  <c r="AD5" i="59"/>
  <c r="Q5" i="59"/>
  <c r="P5" i="59"/>
  <c r="O5" i="59"/>
  <c r="N5" i="59"/>
  <c r="L3" i="59"/>
  <c r="K3" i="59"/>
  <c r="J3" i="59"/>
  <c r="I3" i="59"/>
  <c r="AH6" i="59"/>
  <c r="AG6" i="59"/>
  <c r="AE6" i="59"/>
  <c r="AF6" i="59"/>
  <c r="AD6" i="59"/>
  <c r="Q6" i="59"/>
  <c r="P6" i="59"/>
  <c r="O6" i="59"/>
  <c r="N6" i="59"/>
  <c r="Q7" i="59"/>
  <c r="P7" i="59"/>
  <c r="O7" i="59"/>
  <c r="N7" i="59"/>
  <c r="D7" i="59"/>
  <c r="E6" i="59"/>
  <c r="U6" i="59"/>
  <c r="F6" i="59"/>
  <c r="C6" i="59"/>
  <c r="T6" i="59"/>
  <c r="B6" i="59"/>
  <c r="S6" i="59"/>
  <c r="A2" i="50"/>
  <c r="E5" i="59"/>
  <c r="F5" i="59"/>
  <c r="V6" i="59"/>
  <c r="B5" i="59"/>
  <c r="D6" i="59"/>
  <c r="C5" i="59"/>
  <c r="D5" i="59"/>
  <c r="K60" i="15"/>
  <c r="P72" i="15"/>
  <c r="P59" i="15"/>
  <c r="A132" i="57"/>
  <c r="A130" i="57"/>
  <c r="A128" i="57"/>
  <c r="A126" i="57"/>
  <c r="A129" i="9"/>
  <c r="A127" i="9"/>
  <c r="A125" i="9"/>
  <c r="A123" i="9"/>
  <c r="A16" i="54"/>
  <c r="A14" i="54"/>
  <c r="A19" i="55"/>
  <c r="A13" i="55"/>
  <c r="A1" i="52"/>
  <c r="A4" i="50"/>
  <c r="P8" i="59"/>
  <c r="O8" i="59"/>
  <c r="N8" i="59"/>
  <c r="Q8" i="59"/>
  <c r="H23" i="31"/>
  <c r="B2" i="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9" i="59"/>
  <c r="P9" i="59"/>
  <c r="Q9" i="59"/>
  <c r="N9"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D21" i="59"/>
  <c r="AF21" i="59"/>
  <c r="AD22" i="59"/>
  <c r="AE22" i="59"/>
  <c r="AF22" i="59"/>
  <c r="AG22" i="59"/>
  <c r="AH22" i="59"/>
  <c r="S5" i="31"/>
  <c r="M5" i="31"/>
  <c r="N5" i="31"/>
  <c r="O5" i="31"/>
  <c r="P5" i="31"/>
  <c r="Q5" i="31"/>
  <c r="R5" i="31"/>
  <c r="C1" i="61"/>
  <c r="L1" i="61"/>
  <c r="F7" i="61"/>
  <c r="J1" i="61"/>
  <c r="B68" i="60"/>
  <c r="F5" i="61"/>
  <c r="F6" i="61"/>
  <c r="F3" i="61"/>
  <c r="F4" i="61"/>
  <c r="D3" i="61"/>
  <c r="I1" i="61"/>
  <c r="B30" i="1"/>
  <c r="D7" i="61"/>
  <c r="D6" i="61"/>
  <c r="D5" i="6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C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S50" i="59"/>
  <c r="F49" i="59"/>
  <c r="F48" i="59"/>
  <c r="Q48" i="59"/>
  <c r="B49" i="59"/>
  <c r="D47" i="59"/>
  <c r="Q46" i="59"/>
  <c r="P46" i="59"/>
  <c r="O46" i="59"/>
  <c r="N46" i="59"/>
  <c r="Q45" i="59"/>
  <c r="P45" i="59"/>
  <c r="O45" i="59"/>
  <c r="N45" i="59"/>
  <c r="Q44" i="59"/>
  <c r="P44" i="59"/>
  <c r="O44" i="59"/>
  <c r="N44" i="59"/>
  <c r="Q43" i="59"/>
  <c r="F44" i="59"/>
  <c r="F45" i="59"/>
  <c r="F46" i="59"/>
  <c r="V46" i="59"/>
  <c r="P43" i="59"/>
  <c r="E44" i="59"/>
  <c r="O43" i="59"/>
  <c r="C44" i="59"/>
  <c r="N43" i="59"/>
  <c r="B44" i="59"/>
  <c r="B45" i="59"/>
  <c r="B46" i="59"/>
  <c r="S46" i="59"/>
  <c r="D43" i="59"/>
  <c r="Q42" i="59"/>
  <c r="P42" i="59"/>
  <c r="O42" i="59"/>
  <c r="N42" i="59"/>
  <c r="Q41" i="59"/>
  <c r="P41" i="59"/>
  <c r="O41" i="59"/>
  <c r="N41" i="59"/>
  <c r="Q40" i="59"/>
  <c r="P40" i="59"/>
  <c r="O40" i="59"/>
  <c r="N40" i="59"/>
  <c r="Q39" i="59"/>
  <c r="F40" i="59"/>
  <c r="F41" i="59"/>
  <c r="F42" i="59"/>
  <c r="V42" i="59"/>
  <c r="P39" i="59"/>
  <c r="E40"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O35" i="59"/>
  <c r="C36" i="59"/>
  <c r="N35" i="59"/>
  <c r="B36" i="59"/>
  <c r="B37" i="59"/>
  <c r="B38" i="59"/>
  <c r="S38" i="59"/>
  <c r="D35" i="59"/>
  <c r="Q34" i="59"/>
  <c r="P34" i="59"/>
  <c r="O34" i="59"/>
  <c r="N34" i="59"/>
  <c r="Q33" i="59"/>
  <c r="P33" i="59"/>
  <c r="O33" i="59"/>
  <c r="N33" i="59"/>
  <c r="Q32" i="59"/>
  <c r="P32" i="59"/>
  <c r="O32" i="59"/>
  <c r="N32" i="59"/>
  <c r="Q31" i="59"/>
  <c r="F32" i="59"/>
  <c r="P31" i="59"/>
  <c r="E32" i="59"/>
  <c r="E33" i="59"/>
  <c r="E34" i="59"/>
  <c r="U34" i="59"/>
  <c r="O31" i="59"/>
  <c r="C32" i="59"/>
  <c r="N31" i="59"/>
  <c r="B32" i="59"/>
  <c r="B33" i="59"/>
  <c r="B34" i="59"/>
  <c r="S34" i="59"/>
  <c r="D31" i="59"/>
  <c r="T30" i="59"/>
  <c r="Q30" i="59"/>
  <c r="P30" i="59"/>
  <c r="O30" i="59"/>
  <c r="N30" i="59"/>
  <c r="D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Q22" i="59"/>
  <c r="P22" i="59"/>
  <c r="O22" i="59"/>
  <c r="N22" i="59"/>
  <c r="AB21" i="59"/>
  <c r="Q21" i="59"/>
  <c r="P21" i="59"/>
  <c r="AA21" i="59"/>
  <c r="O21" i="59"/>
  <c r="Y21" i="59"/>
  <c r="Z21" i="59"/>
  <c r="N21" i="59"/>
  <c r="X21" i="59"/>
  <c r="Q20" i="59"/>
  <c r="AB20" i="59"/>
  <c r="P20" i="59"/>
  <c r="O20" i="59"/>
  <c r="Y20" i="59"/>
  <c r="Z20" i="59"/>
  <c r="N20" i="59"/>
  <c r="X20" i="59"/>
  <c r="Q19" i="59"/>
  <c r="AB19" i="59"/>
  <c r="P19" i="59"/>
  <c r="O19" i="59"/>
  <c r="N19" i="59"/>
  <c r="D19" i="59"/>
  <c r="Q18" i="59"/>
  <c r="P18" i="59"/>
  <c r="O18" i="59"/>
  <c r="N18" i="59"/>
  <c r="Q17" i="59"/>
  <c r="AB17" i="59"/>
  <c r="P17" i="59"/>
  <c r="AA17" i="59"/>
  <c r="O17" i="59"/>
  <c r="Y17" i="59"/>
  <c r="Z17" i="59"/>
  <c r="N17" i="59"/>
  <c r="X17" i="59"/>
  <c r="Q16" i="59"/>
  <c r="AB16" i="59"/>
  <c r="P16" i="59"/>
  <c r="AA16" i="59"/>
  <c r="O16" i="59"/>
  <c r="Y16" i="59"/>
  <c r="Z16" i="59"/>
  <c r="N16" i="59"/>
  <c r="X16" i="59"/>
  <c r="Q15" i="59"/>
  <c r="AB15" i="59"/>
  <c r="P15" i="59"/>
  <c r="O15" i="59"/>
  <c r="N15" i="59"/>
  <c r="D15" i="59"/>
  <c r="Q14" i="59"/>
  <c r="P14" i="59"/>
  <c r="O14" i="59"/>
  <c r="N14" i="59"/>
  <c r="Q13" i="59"/>
  <c r="AB13" i="59"/>
  <c r="P13" i="59"/>
  <c r="AA13" i="59"/>
  <c r="O13" i="59"/>
  <c r="Y13" i="59"/>
  <c r="Z13" i="59"/>
  <c r="N13" i="59"/>
  <c r="X13" i="59"/>
  <c r="Q12" i="59"/>
  <c r="AB12" i="59"/>
  <c r="P12" i="59"/>
  <c r="AA12" i="59"/>
  <c r="O12" i="59"/>
  <c r="Y12" i="59"/>
  <c r="Z12" i="59"/>
  <c r="N12" i="59"/>
  <c r="X12" i="59"/>
  <c r="F12" i="59"/>
  <c r="F13" i="59"/>
  <c r="F14" i="59"/>
  <c r="V14" i="59"/>
  <c r="Q11" i="59"/>
  <c r="P11" i="59"/>
  <c r="O11" i="59"/>
  <c r="N11" i="59"/>
  <c r="D11" i="59"/>
  <c r="O10" i="59"/>
  <c r="N10" i="59"/>
  <c r="Y14" i="59"/>
  <c r="Z14" i="59"/>
  <c r="AB14" i="59"/>
  <c r="F16" i="59"/>
  <c r="F17" i="59"/>
  <c r="F18" i="59"/>
  <c r="V18" i="59"/>
  <c r="Y18" i="59"/>
  <c r="Z18" i="59"/>
  <c r="AB18" i="59"/>
  <c r="F20" i="59"/>
  <c r="F21" i="59"/>
  <c r="F22" i="59"/>
  <c r="V22" i="59"/>
  <c r="Y6" i="59"/>
  <c r="Z6" i="59"/>
  <c r="Y5" i="59"/>
  <c r="Z5" i="59"/>
  <c r="B12" i="59"/>
  <c r="B13" i="59"/>
  <c r="B14" i="59"/>
  <c r="S14" i="59"/>
  <c r="X11" i="59"/>
  <c r="E12" i="59"/>
  <c r="E13" i="59"/>
  <c r="E14" i="59"/>
  <c r="U14" i="59"/>
  <c r="AA11" i="59"/>
  <c r="B16" i="59"/>
  <c r="B17" i="59"/>
  <c r="B18" i="59"/>
  <c r="S18" i="59"/>
  <c r="X15" i="59"/>
  <c r="E16" i="59"/>
  <c r="E17" i="59"/>
  <c r="E18" i="59"/>
  <c r="U18" i="59"/>
  <c r="AA15" i="59"/>
  <c r="B20" i="59"/>
  <c r="B21" i="59"/>
  <c r="B22" i="59"/>
  <c r="S22" i="59"/>
  <c r="X19" i="59"/>
  <c r="E20" i="59"/>
  <c r="E21" i="59"/>
  <c r="E22" i="59"/>
  <c r="U22" i="59"/>
  <c r="AA19" i="59"/>
  <c r="E48" i="59"/>
  <c r="P47" i="59"/>
  <c r="P50" i="59"/>
  <c r="U50" i="59"/>
  <c r="X5" i="59"/>
  <c r="X6" i="59"/>
  <c r="C12" i="59"/>
  <c r="Y11" i="59"/>
  <c r="Z11" i="59"/>
  <c r="AB11" i="59"/>
  <c r="X14" i="59"/>
  <c r="AA14" i="59"/>
  <c r="C16" i="59"/>
  <c r="Y15" i="59"/>
  <c r="Z15" i="59"/>
  <c r="X18" i="59"/>
  <c r="AA18" i="59"/>
  <c r="C20" i="59"/>
  <c r="Y19" i="59"/>
  <c r="Z19" i="59"/>
  <c r="AA20" i="59"/>
  <c r="F33" i="59"/>
  <c r="F34" i="59"/>
  <c r="V34" i="59"/>
  <c r="N50" i="59"/>
  <c r="C10" i="59"/>
  <c r="T10" i="59"/>
  <c r="Y3" i="59"/>
  <c r="Z3" i="59"/>
  <c r="Y7" i="59"/>
  <c r="Z7" i="59"/>
  <c r="Y8" i="59"/>
  <c r="Z8" i="59"/>
  <c r="Y10" i="59"/>
  <c r="Z10" i="59"/>
  <c r="Y9" i="59"/>
  <c r="Z9" i="59"/>
  <c r="B10" i="59"/>
  <c r="X10" i="59"/>
  <c r="X9" i="59"/>
  <c r="X3" i="59"/>
  <c r="X7" i="59"/>
  <c r="X8" i="59"/>
  <c r="C13" i="59"/>
  <c r="D12" i="59"/>
  <c r="C17" i="59"/>
  <c r="D16" i="59"/>
  <c r="C21" i="59"/>
  <c r="D20" i="59"/>
  <c r="C25" i="59"/>
  <c r="D24" i="59"/>
  <c r="C29" i="59"/>
  <c r="D29" i="59"/>
  <c r="D28" i="59"/>
  <c r="C33" i="59"/>
  <c r="D32" i="59"/>
  <c r="P10" i="59"/>
  <c r="E37" i="59"/>
  <c r="E38" i="59"/>
  <c r="U38" i="59"/>
  <c r="E41" i="59"/>
  <c r="E42" i="59"/>
  <c r="U42" i="59"/>
  <c r="E45" i="59"/>
  <c r="E46" i="59"/>
  <c r="U46" i="59"/>
  <c r="Q47" i="59"/>
  <c r="P48" i="59"/>
  <c r="U54" i="59"/>
  <c r="E53" i="59"/>
  <c r="E52" i="59"/>
  <c r="Q10" i="59"/>
  <c r="C37" i="59"/>
  <c r="D36" i="59"/>
  <c r="C41" i="59"/>
  <c r="D40" i="59"/>
  <c r="C45" i="59"/>
  <c r="D44" i="59"/>
  <c r="N49" i="59"/>
  <c r="B48" i="59"/>
  <c r="Q49" i="59"/>
  <c r="T50" i="59"/>
  <c r="O50" i="59"/>
  <c r="D50" i="59"/>
  <c r="C49" i="59"/>
  <c r="T54" i="59"/>
  <c r="D54" i="59"/>
  <c r="C53" i="59"/>
  <c r="Q50" i="59"/>
  <c r="C57" i="59"/>
  <c r="E57" i="59"/>
  <c r="E56" i="59"/>
  <c r="D58" i="59"/>
  <c r="C61" i="59"/>
  <c r="E61" i="59"/>
  <c r="E60" i="59"/>
  <c r="D62" i="59"/>
  <c r="C65" i="59"/>
  <c r="C69" i="59"/>
  <c r="AB5" i="59"/>
  <c r="AB6" i="59"/>
  <c r="AA6" i="59"/>
  <c r="AA5" i="59"/>
  <c r="B9" i="59"/>
  <c r="B8" i="59"/>
  <c r="S10" i="59"/>
  <c r="F10" i="59"/>
  <c r="AB3" i="59"/>
  <c r="AB7" i="59"/>
  <c r="AB8" i="59"/>
  <c r="AB9" i="59"/>
  <c r="AB10" i="59"/>
  <c r="E10" i="59"/>
  <c r="AA8" i="59"/>
  <c r="AA9" i="59"/>
  <c r="AA10" i="59"/>
  <c r="AA3" i="59"/>
  <c r="AA7" i="59"/>
  <c r="C9" i="59"/>
  <c r="D10" i="59"/>
  <c r="D65" i="59"/>
  <c r="C64" i="59"/>
  <c r="D64" i="59"/>
  <c r="D57" i="59"/>
  <c r="C56" i="59"/>
  <c r="D56" i="59"/>
  <c r="C52" i="59"/>
  <c r="D52" i="59"/>
  <c r="D53" i="59"/>
  <c r="C34" i="59"/>
  <c r="D33" i="59"/>
  <c r="D69" i="59"/>
  <c r="C68" i="59"/>
  <c r="D68" i="59"/>
  <c r="D61" i="59"/>
  <c r="C60" i="59"/>
  <c r="D60" i="59"/>
  <c r="C48" i="59"/>
  <c r="O49" i="59"/>
  <c r="D49" i="59"/>
  <c r="C46" i="59"/>
  <c r="D45" i="59"/>
  <c r="C42" i="59"/>
  <c r="D41" i="59"/>
  <c r="C38" i="59"/>
  <c r="D37" i="59"/>
  <c r="N47" i="59"/>
  <c r="N48" i="59"/>
  <c r="C26" i="59"/>
  <c r="D25" i="59"/>
  <c r="C22" i="59"/>
  <c r="D21" i="59"/>
  <c r="C18" i="59"/>
  <c r="D17" i="59"/>
  <c r="C14" i="59"/>
  <c r="D13" i="59"/>
  <c r="D9" i="59"/>
  <c r="C8" i="59"/>
  <c r="D8" i="59"/>
  <c r="E9" i="59"/>
  <c r="E8" i="59"/>
  <c r="U10" i="59"/>
  <c r="F9" i="59"/>
  <c r="F8" i="59"/>
  <c r="V10" i="59"/>
  <c r="O48" i="59"/>
  <c r="D48" i="59"/>
  <c r="O47" i="59"/>
  <c r="T34" i="59"/>
  <c r="D34" i="59"/>
  <c r="T14" i="59"/>
  <c r="D14" i="59"/>
  <c r="T18" i="59"/>
  <c r="D18" i="59"/>
  <c r="T22" i="59"/>
  <c r="D22" i="59"/>
  <c r="M19" i="43"/>
  <c r="T26" i="59"/>
  <c r="D26" i="59"/>
  <c r="T38" i="59"/>
  <c r="D38" i="59"/>
  <c r="T42" i="59"/>
  <c r="D42" i="59"/>
  <c r="T46" i="59"/>
  <c r="D46" i="59"/>
  <c r="Q25" i="40"/>
  <c r="Z25" i="40"/>
  <c r="D94" i="40"/>
  <c r="E94" i="40"/>
  <c r="F94" i="40"/>
  <c r="H25" i="40"/>
  <c r="U25" i="40"/>
  <c r="F25" i="40"/>
  <c r="AA25" i="40"/>
  <c r="Q27" i="39"/>
  <c r="Z27" i="39"/>
  <c r="D101" i="39"/>
  <c r="E101" i="39"/>
  <c r="F101" i="39"/>
  <c r="Q18" i="36"/>
  <c r="Z18" i="36"/>
  <c r="F18" i="36"/>
  <c r="AA18" i="36"/>
  <c r="C18" i="36"/>
  <c r="E66" i="36"/>
  <c r="F66" i="36"/>
  <c r="G66" i="36"/>
  <c r="D66" i="36"/>
  <c r="Z18" i="35"/>
  <c r="Q18" i="35"/>
  <c r="D68" i="35"/>
  <c r="E68" i="35"/>
  <c r="F68" i="35"/>
  <c r="G68" i="35"/>
  <c r="J18" i="35"/>
  <c r="AC18" i="35"/>
  <c r="H18" i="35"/>
  <c r="AB18" i="35"/>
  <c r="F18" i="35"/>
  <c r="AA18" i="35"/>
  <c r="C18" i="35"/>
  <c r="Q21" i="37"/>
  <c r="Z21" i="37"/>
  <c r="D77" i="37"/>
  <c r="E77" i="37"/>
  <c r="F77" i="37"/>
  <c r="H21" i="37"/>
  <c r="AB21" i="37"/>
  <c r="F21" i="37"/>
  <c r="AA21" i="37"/>
  <c r="C21" i="37"/>
  <c r="Z21" i="34"/>
  <c r="Q21" i="34"/>
  <c r="D84" i="34"/>
  <c r="E84" i="34"/>
  <c r="F21" i="34"/>
  <c r="AA21" i="34"/>
  <c r="C21" i="34"/>
  <c r="Q21" i="33"/>
  <c r="Z21" i="33"/>
  <c r="D83" i="33"/>
  <c r="E83" i="33"/>
  <c r="F83" i="33"/>
  <c r="H21" i="33"/>
  <c r="AB21" i="33"/>
  <c r="F21" i="33"/>
  <c r="AA21" i="33"/>
  <c r="C21" i="33"/>
  <c r="Q21" i="21"/>
  <c r="Z21" i="21"/>
  <c r="D83" i="21"/>
  <c r="E83" i="21"/>
  <c r="F21" i="21"/>
  <c r="AA21" i="21"/>
  <c r="C21" i="21"/>
  <c r="G20" i="20"/>
  <c r="B86" i="43"/>
  <c r="C22" i="20"/>
  <c r="C25" i="40"/>
  <c r="B75" i="43"/>
  <c r="B55" i="43"/>
  <c r="B66"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M11" i="15"/>
  <c r="C31" i="58"/>
  <c r="C27" i="58"/>
  <c r="C32" i="58"/>
  <c r="I23" i="58"/>
  <c r="D20" i="58"/>
  <c r="I19" i="58"/>
  <c r="I18" i="58"/>
  <c r="I17" i="58"/>
  <c r="E15" i="58"/>
  <c r="I14" i="58"/>
  <c r="I13" i="58"/>
  <c r="I12" i="58"/>
  <c r="I15" i="58"/>
  <c r="I9" i="58"/>
  <c r="I8" i="58"/>
  <c r="I7" i="58"/>
  <c r="I6" i="58"/>
  <c r="I5" i="58"/>
  <c r="I4" i="58"/>
  <c r="I3" i="58"/>
  <c r="I10" i="58"/>
  <c r="I21"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0" i="43"/>
  <c r="E99" i="43"/>
  <c r="E108" i="43"/>
  <c r="D99" i="43"/>
  <c r="D108" i="43"/>
  <c r="C99" i="43"/>
  <c r="C108" i="43"/>
  <c r="C100" i="43"/>
  <c r="D100" i="43"/>
  <c r="J100" i="43"/>
  <c r="L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0" i="15"/>
  <c r="L48" i="15"/>
  <c r="J51" i="15"/>
  <c r="D9" i="31"/>
  <c r="E9" i="31"/>
  <c r="F9" i="31"/>
  <c r="G9" i="31"/>
  <c r="H9" i="31"/>
  <c r="I9" i="31"/>
  <c r="J9" i="31"/>
  <c r="K9" i="31"/>
  <c r="L9" i="31"/>
  <c r="M9" i="31"/>
  <c r="N9" i="31"/>
  <c r="O9" i="31"/>
  <c r="P9" i="31"/>
  <c r="Q9" i="31"/>
  <c r="R9" i="31"/>
  <c r="S9" i="31"/>
  <c r="B6" i="1"/>
  <c r="M21" i="15"/>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Y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O55" i="57"/>
  <c r="K56" i="57"/>
  <c r="I56" i="57"/>
  <c r="F56" i="57"/>
  <c r="O54"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H12" i="48"/>
  <c r="H13" i="48"/>
  <c r="H14" i="48"/>
  <c r="H23" i="48"/>
  <c r="H24" i="48"/>
  <c r="D24" i="48"/>
  <c r="D12" i="48"/>
  <c r="D21" i="48"/>
  <c r="B21" i="49"/>
  <c r="B5" i="60"/>
  <c r="B12" i="49"/>
  <c r="B3" i="60"/>
  <c r="B2" i="48"/>
  <c r="B23" i="48"/>
  <c r="D23" i="48"/>
  <c r="I2" i="43"/>
  <c r="H6" i="44"/>
  <c r="G2" i="43"/>
  <c r="E30" i="4"/>
  <c r="C7" i="4"/>
  <c r="G3" i="43"/>
  <c r="C121" i="9"/>
  <c r="C4" i="52"/>
  <c r="B36" i="60"/>
  <c r="B121" i="9"/>
  <c r="B4" i="52"/>
  <c r="A40" i="1"/>
  <c r="A39" i="1"/>
  <c r="A38" i="1"/>
  <c r="A37" i="1"/>
  <c r="A36" i="1"/>
  <c r="A29" i="1"/>
  <c r="A34" i="1"/>
  <c r="D110" i="9"/>
  <c r="I107" i="9"/>
  <c r="D109" i="9"/>
  <c r="I106"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M17" i="43"/>
  <c r="C18" i="43"/>
  <c r="H17" i="43"/>
  <c r="F15" i="43"/>
  <c r="E15" i="43"/>
  <c r="D15" i="43"/>
  <c r="C15" i="43"/>
  <c r="C10" i="43"/>
  <c r="C11" i="43"/>
  <c r="C9" i="43"/>
  <c r="A7" i="43"/>
  <c r="B23" i="1"/>
  <c r="E1" i="61"/>
  <c r="K1" i="61"/>
  <c r="E31" i="1"/>
  <c r="E29" i="1"/>
  <c r="G1" i="15"/>
  <c r="F35" i="11"/>
  <c r="F38" i="11"/>
  <c r="E37" i="11"/>
  <c r="F20" i="11"/>
  <c r="F21" i="11"/>
  <c r="C40" i="11"/>
  <c r="F7" i="11"/>
  <c r="C7"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U42" i="34"/>
  <c r="J42" i="34"/>
  <c r="AC42" i="34"/>
  <c r="F42" i="34"/>
  <c r="AA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F96" i="40"/>
  <c r="G96" i="40"/>
  <c r="H96" i="40"/>
  <c r="I96" i="40"/>
  <c r="J96" i="40"/>
  <c r="K96" i="40"/>
  <c r="L96" i="40"/>
  <c r="M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W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J12" i="35"/>
  <c r="W12" i="35"/>
  <c r="B131" i="34"/>
  <c r="B129" i="34"/>
  <c r="B127" i="34"/>
  <c r="B99" i="34"/>
  <c r="B97" i="34"/>
  <c r="B95" i="34"/>
  <c r="B93" i="34"/>
  <c r="B75" i="34"/>
  <c r="B73" i="34"/>
  <c r="B71" i="34"/>
  <c r="J12"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J9" i="35"/>
  <c r="P39" i="35"/>
  <c r="P38" i="35"/>
  <c r="V37" i="35"/>
  <c r="T37" i="35"/>
  <c r="R37" i="35"/>
  <c r="P37" i="35"/>
  <c r="Q36" i="35"/>
  <c r="Z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c r="Q11" i="35"/>
  <c r="Z11" i="35"/>
  <c r="Q10" i="35"/>
  <c r="Z10" i="35"/>
  <c r="Q9" i="35"/>
  <c r="Z9" i="35"/>
  <c r="H9" i="35"/>
  <c r="AB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F86" i="34"/>
  <c r="G86" i="34"/>
  <c r="D82" i="34"/>
  <c r="E82" i="34"/>
  <c r="F82" i="34"/>
  <c r="G82" i="34"/>
  <c r="D80" i="34"/>
  <c r="E80" i="34"/>
  <c r="F80" i="34"/>
  <c r="G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Q9" i="34"/>
  <c r="Z9" i="34"/>
  <c r="J8" i="34"/>
  <c r="AC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S30" i="37"/>
  <c r="W30" i="37"/>
  <c r="F29" i="36"/>
  <c r="AA29" i="36"/>
  <c r="F16" i="36"/>
  <c r="S16" i="36"/>
  <c r="U22" i="36"/>
  <c r="S23" i="36"/>
  <c r="W23" i="36"/>
  <c r="W22" i="36"/>
  <c r="AA31" i="36"/>
  <c r="AC31" i="36"/>
  <c r="W31" i="36"/>
  <c r="U31" i="36"/>
  <c r="J33" i="36"/>
  <c r="W33" i="36"/>
  <c r="H22" i="35"/>
  <c r="AB22" i="35"/>
  <c r="U9" i="35"/>
  <c r="U31" i="35"/>
  <c r="S32" i="35"/>
  <c r="S31" i="35"/>
  <c r="W31" i="35"/>
  <c r="U32" i="35"/>
  <c r="F36" i="34"/>
  <c r="AA36"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G109" i="39"/>
  <c r="H109" i="39"/>
  <c r="I109" i="39"/>
  <c r="J109" i="39"/>
  <c r="K109" i="39"/>
  <c r="L109" i="39"/>
  <c r="M109" i="39"/>
  <c r="H31" i="39"/>
  <c r="AB31" i="39"/>
  <c r="F31" i="39"/>
  <c r="AA31" i="39"/>
  <c r="E103" i="39"/>
  <c r="H19" i="39"/>
  <c r="AB19" i="39"/>
  <c r="F19" i="39"/>
  <c r="S19" i="39"/>
  <c r="H17" i="39"/>
  <c r="U17" i="39"/>
  <c r="F17" i="39"/>
  <c r="AA17" i="39"/>
  <c r="J23" i="40"/>
  <c r="AC23" i="40"/>
  <c r="H42" i="39"/>
  <c r="AB42" i="39"/>
  <c r="J34" i="39"/>
  <c r="AC34"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H27" i="40"/>
  <c r="U27" i="40"/>
  <c r="H23" i="40"/>
  <c r="AB23" i="40"/>
  <c r="J11" i="40"/>
  <c r="W11" i="40"/>
  <c r="AB12" i="33"/>
  <c r="AA12" i="33"/>
  <c r="F37" i="39"/>
  <c r="S37" i="39"/>
  <c r="AC9" i="21"/>
  <c r="J34" i="36"/>
  <c r="W34" i="36"/>
  <c r="U30" i="36"/>
  <c r="J30" i="35"/>
  <c r="W30" i="35"/>
  <c r="H30" i="35"/>
  <c r="AB30" i="35"/>
  <c r="F22" i="35"/>
  <c r="AA22" i="35"/>
  <c r="H10" i="35"/>
  <c r="U10" i="35"/>
  <c r="AB29" i="36"/>
  <c r="F33" i="36"/>
  <c r="S33" i="36"/>
  <c r="E85" i="36"/>
  <c r="F85" i="36"/>
  <c r="G85" i="36"/>
  <c r="H85" i="36"/>
  <c r="I85" i="36"/>
  <c r="J85" i="36"/>
  <c r="K85" i="36"/>
  <c r="L85" i="36"/>
  <c r="M85" i="36"/>
  <c r="J29" i="36"/>
  <c r="AC29" i="36"/>
  <c r="F12" i="36"/>
  <c r="AA12" i="36"/>
  <c r="F34" i="36"/>
  <c r="AA34" i="36"/>
  <c r="H20" i="36"/>
  <c r="J20" i="36"/>
  <c r="W20" i="36"/>
  <c r="AB8" i="36"/>
  <c r="F14" i="35"/>
  <c r="F23" i="35"/>
  <c r="AA23" i="35"/>
  <c r="J32" i="35"/>
  <c r="AC32" i="35"/>
  <c r="J16" i="35"/>
  <c r="W16" i="35"/>
  <c r="H14" i="35"/>
  <c r="AB14" i="35"/>
  <c r="H33" i="35"/>
  <c r="AB33" i="35"/>
  <c r="S8" i="35"/>
  <c r="W8" i="35"/>
  <c r="J20" i="35"/>
  <c r="W20" i="35"/>
  <c r="H20" i="35"/>
  <c r="U20" i="35"/>
  <c r="F20" i="35"/>
  <c r="AA20" i="35"/>
  <c r="E101" i="37"/>
  <c r="F101" i="37"/>
  <c r="G101" i="37"/>
  <c r="H101" i="37"/>
  <c r="I101" i="37"/>
  <c r="J101" i="37"/>
  <c r="K101" i="37"/>
  <c r="L101" i="37"/>
  <c r="M101" i="37"/>
  <c r="J34" i="37"/>
  <c r="W34" i="37"/>
  <c r="AA39" i="37"/>
  <c r="J43" i="34"/>
  <c r="AC43" i="34"/>
  <c r="H43" i="34"/>
  <c r="AB43" i="34"/>
  <c r="E114" i="34"/>
  <c r="F114" i="34"/>
  <c r="G114" i="34"/>
  <c r="H114" i="34"/>
  <c r="I114" i="34"/>
  <c r="J114" i="34"/>
  <c r="K114" i="34"/>
  <c r="L114" i="34"/>
  <c r="M114" i="34"/>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H38" i="34"/>
  <c r="AB38" i="34"/>
  <c r="F113" i="33"/>
  <c r="G113" i="33"/>
  <c r="H113" i="33"/>
  <c r="I113" i="33"/>
  <c r="J113" i="33"/>
  <c r="K113" i="33"/>
  <c r="L113" i="33"/>
  <c r="M113" i="33"/>
  <c r="H37" i="33"/>
  <c r="AB37" i="33"/>
  <c r="AA37" i="33"/>
  <c r="H36" i="33"/>
  <c r="U36" i="33"/>
  <c r="S25" i="33"/>
  <c r="F17" i="33"/>
  <c r="AA17" i="33"/>
  <c r="H15" i="33"/>
  <c r="AB15" i="33"/>
  <c r="AB11" i="33"/>
  <c r="AC27" i="40"/>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28" i="36"/>
  <c r="AA28" i="36"/>
  <c r="J13" i="33"/>
  <c r="AC13" i="33"/>
  <c r="H13" i="33"/>
  <c r="AB13" i="33"/>
  <c r="F13" i="33"/>
  <c r="S13" i="33"/>
  <c r="J29" i="33"/>
  <c r="AC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W30" i="33"/>
  <c r="AC14" i="34"/>
  <c r="J10" i="36"/>
  <c r="AC10" i="36"/>
  <c r="AB46" i="21"/>
  <c r="U14" i="21"/>
  <c r="AC14" i="21"/>
  <c r="AC13" i="36"/>
  <c r="U32" i="36"/>
  <c r="U31"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H42" i="33"/>
  <c r="U42" i="33"/>
  <c r="J23" i="37"/>
  <c r="W23" i="37"/>
  <c r="S30" i="31"/>
  <c r="U11" i="40"/>
  <c r="AC33" i="36"/>
  <c r="AB20" i="35"/>
  <c r="AA11" i="35"/>
  <c r="AC12" i="35"/>
  <c r="S28" i="37"/>
  <c r="U39" i="37"/>
  <c r="AC8" i="37"/>
  <c r="S25" i="37"/>
  <c r="W47"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c r="F19" i="40"/>
  <c r="S19" i="40"/>
  <c r="S13" i="40"/>
  <c r="S17" i="39"/>
  <c r="AC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I17" i="43"/>
  <c r="F22" i="43"/>
  <c r="B56" i="60"/>
  <c r="G22" i="43"/>
  <c r="E22" i="43"/>
  <c r="H14" i="44"/>
  <c r="B57" i="60"/>
  <c r="W40" i="39"/>
  <c r="AC20" i="35"/>
  <c r="AB30" i="34"/>
  <c r="AC30" i="34"/>
  <c r="H23" i="34"/>
  <c r="AB23" i="34"/>
  <c r="F33" i="34"/>
  <c r="S33" i="34"/>
  <c r="H36" i="34"/>
  <c r="AB36" i="34"/>
  <c r="F35" i="34"/>
  <c r="AA35" i="34"/>
  <c r="J35" i="34"/>
  <c r="AC35" i="34"/>
  <c r="F27" i="34"/>
  <c r="S27" i="34"/>
  <c r="W34" i="34"/>
  <c r="J33" i="34"/>
  <c r="W33" i="34"/>
  <c r="J37" i="34"/>
  <c r="W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T27" i="31"/>
  <c r="S27" i="31"/>
  <c r="B113" i="43"/>
  <c r="I118" i="43"/>
  <c r="J118" i="43"/>
  <c r="K118" i="43"/>
  <c r="L118" i="43"/>
  <c r="M118" i="43"/>
  <c r="M101" i="43"/>
  <c r="M103" i="43"/>
  <c r="K101" i="43"/>
  <c r="I101" i="43"/>
  <c r="I102" i="43"/>
  <c r="G101" i="43"/>
  <c r="G107" i="43"/>
  <c r="E101" i="43"/>
  <c r="C101"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S42" i="21"/>
  <c r="B41" i="47"/>
  <c r="C23" i="40"/>
  <c r="J9" i="34"/>
  <c r="AC9" i="34"/>
  <c r="F9" i="34"/>
  <c r="S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W40" i="40"/>
  <c r="AB24" i="36"/>
  <c r="H25" i="34"/>
  <c r="U25" i="34"/>
  <c r="AB35" i="39"/>
  <c r="AC40" i="37"/>
  <c r="AC36" i="37"/>
  <c r="S27" i="37"/>
  <c r="AA12" i="37"/>
  <c r="AA34" i="35"/>
  <c r="S34" i="35"/>
  <c r="AB24" i="35"/>
  <c r="J17" i="34"/>
  <c r="AC17"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c r="S17" i="37"/>
  <c r="J11" i="37"/>
  <c r="AC11" i="37"/>
  <c r="W12" i="39"/>
  <c r="AC12" i="39"/>
  <c r="S45" i="21"/>
  <c r="AB13" i="21"/>
  <c r="AC37" i="37"/>
  <c r="U38" i="40"/>
  <c r="F23" i="39"/>
  <c r="AA23" i="39"/>
  <c r="F97" i="39"/>
  <c r="G97" i="39"/>
  <c r="S26" i="37"/>
  <c r="S24" i="36"/>
  <c r="F44" i="34"/>
  <c r="S44" i="34"/>
  <c r="F126" i="34"/>
  <c r="G126" i="34"/>
  <c r="J44" i="34"/>
  <c r="AC44" i="34"/>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c r="J27" i="33"/>
  <c r="W27" i="33"/>
  <c r="J25" i="34"/>
  <c r="W25" i="34"/>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U15" i="37"/>
  <c r="AC15" i="21"/>
  <c r="F4" i="47"/>
  <c r="B2" i="47"/>
  <c r="AB37" i="21"/>
  <c r="U23" i="37"/>
  <c r="S46" i="33"/>
  <c r="AC32" i="34"/>
  <c r="W28" i="37"/>
  <c r="AB14" i="33"/>
  <c r="W13" i="35"/>
  <c r="E78" i="34"/>
  <c r="F78" i="34"/>
  <c r="G78" i="34"/>
  <c r="F15" i="34"/>
  <c r="AA15" i="34"/>
  <c r="U23" i="39"/>
  <c r="F12" i="35"/>
  <c r="S12" i="35"/>
  <c r="J36" i="35"/>
  <c r="AC36" i="35"/>
  <c r="J25" i="37"/>
  <c r="AC25" i="37"/>
  <c r="F44" i="39"/>
  <c r="V27" i="31"/>
  <c r="X27" i="31"/>
  <c r="X25" i="31"/>
  <c r="N100" i="43"/>
  <c r="I100" i="43"/>
  <c r="I20" i="58"/>
  <c r="F15" i="47"/>
  <c r="B13" i="47"/>
  <c r="AC9" i="35"/>
  <c r="W9" i="35"/>
  <c r="W12" i="40"/>
  <c r="AC12" i="40"/>
  <c r="D1" i="58"/>
  <c r="E10" i="58"/>
  <c r="U34" i="36"/>
  <c r="AB34" i="36"/>
  <c r="AB33" i="36"/>
  <c r="U33" i="36"/>
  <c r="AB14" i="37"/>
  <c r="U14" i="37"/>
  <c r="AB45" i="33"/>
  <c r="AC11" i="36"/>
  <c r="S14" i="33"/>
  <c r="S47" i="34"/>
  <c r="F7" i="15"/>
  <c r="C6" i="15"/>
  <c r="B27" i="9"/>
  <c r="B30" i="9"/>
  <c r="E13" i="1"/>
  <c r="C8" i="11"/>
  <c r="H100" i="43"/>
  <c r="M100" i="43"/>
  <c r="E100" i="43"/>
  <c r="E26" i="58"/>
  <c r="C30" i="58"/>
  <c r="F10" i="34"/>
  <c r="S10" i="34"/>
  <c r="F43" i="34"/>
  <c r="AA43" i="34"/>
  <c r="F11" i="34"/>
  <c r="F19" i="34"/>
  <c r="AA19" i="34"/>
  <c r="F23" i="34"/>
  <c r="AA23" i="34"/>
  <c r="F9" i="35"/>
  <c r="C5" i="11"/>
  <c r="AA44" i="34"/>
  <c r="J40" i="34"/>
  <c r="AC40" i="34"/>
  <c r="F40" i="34"/>
  <c r="AA40" i="34"/>
  <c r="F118" i="34"/>
  <c r="G118" i="34"/>
  <c r="H40" i="34"/>
  <c r="U40" i="34"/>
  <c r="S37" i="34"/>
  <c r="AC37" i="34"/>
  <c r="S42" i="34"/>
  <c r="W42" i="34"/>
  <c r="AB42" i="34"/>
  <c r="W40" i="34"/>
  <c r="S39" i="34"/>
  <c r="U39" i="34"/>
  <c r="W38" i="34"/>
  <c r="U38" i="34"/>
  <c r="AC36" i="34"/>
  <c r="AB33" i="34"/>
  <c r="S28" i="34"/>
  <c r="AC27" i="34"/>
  <c r="AB25" i="34"/>
  <c r="B74" i="43"/>
  <c r="C27" i="39"/>
  <c r="S23" i="34"/>
  <c r="S19" i="34"/>
  <c r="W17" i="34"/>
  <c r="U15" i="34"/>
  <c r="S15" i="34"/>
  <c r="AC11" i="34"/>
  <c r="W12" i="34"/>
  <c r="AC12" i="34"/>
  <c r="F12" i="34"/>
  <c r="H12" i="34"/>
  <c r="AC10" i="34"/>
  <c r="U9" i="34"/>
  <c r="W9" i="34"/>
  <c r="W8" i="34"/>
  <c r="AB8" i="34"/>
  <c r="S8" i="34"/>
  <c r="C109" i="57"/>
  <c r="H103" i="57"/>
  <c r="F31" i="15"/>
  <c r="K100" i="43"/>
  <c r="C109" i="43"/>
  <c r="E109" i="43"/>
  <c r="G100" i="43"/>
  <c r="F108" i="43"/>
  <c r="K109" i="43"/>
  <c r="H74" i="43"/>
  <c r="H56" i="43"/>
  <c r="D10" i="11"/>
  <c r="C10" i="11"/>
  <c r="C2" i="31"/>
  <c r="I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c r="D111" i="57"/>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N10" i="43"/>
  <c r="H13" i="44"/>
  <c r="H5"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E27" i="1"/>
  <c r="B25" i="1"/>
  <c r="G22" i="11"/>
  <c r="G41" i="11"/>
  <c r="E48" i="43"/>
  <c r="B46"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E9" i="43"/>
  <c r="E8" i="43"/>
  <c r="E10" i="43"/>
  <c r="E11"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J52" i="15"/>
  <c r="M60" i="15"/>
  <c r="H70" i="43"/>
  <c r="H75" i="43"/>
  <c r="H71" i="43"/>
  <c r="H76" i="43"/>
  <c r="B13" i="1"/>
  <c r="I20" i="43"/>
  <c r="D115" i="43"/>
  <c r="E115" i="43"/>
  <c r="F115" i="43"/>
  <c r="G115" i="43"/>
  <c r="H115" i="43"/>
  <c r="B117" i="43"/>
  <c r="C117" i="43"/>
  <c r="M109" i="43"/>
  <c r="I107" i="43"/>
  <c r="N106" i="43"/>
  <c r="J105" i="43"/>
  <c r="F104" i="43"/>
  <c r="G37" i="47"/>
  <c r="C23" i="43"/>
  <c r="G19" i="43"/>
  <c r="F36" i="43"/>
  <c r="C17" i="43"/>
  <c r="F35" i="43"/>
  <c r="F37" i="43"/>
  <c r="F39" i="43"/>
  <c r="G17" i="43"/>
  <c r="C7" i="34"/>
  <c r="C59" i="34"/>
  <c r="D59" i="34"/>
  <c r="C7" i="36"/>
  <c r="C46" i="36"/>
  <c r="F38" i="43"/>
  <c r="A10" i="52"/>
  <c r="B66" i="60"/>
  <c r="J20" i="15"/>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A44" i="39"/>
  <c r="S44" i="39"/>
  <c r="AA10" i="34"/>
  <c r="AA9" i="35"/>
  <c r="S9" i="35"/>
  <c r="AA11" i="34"/>
  <c r="S11" i="34"/>
  <c r="S40" i="34"/>
  <c r="U12" i="34"/>
  <c r="AB12" i="34"/>
  <c r="S12" i="34"/>
  <c r="AA12" i="34"/>
  <c r="F81" i="43"/>
  <c r="F59" i="43"/>
  <c r="G15" i="47"/>
  <c r="M20" i="43"/>
  <c r="C19" i="43"/>
  <c r="C10" i="15"/>
  <c r="C5" i="15"/>
  <c r="C32" i="15"/>
  <c r="C54" i="15"/>
  <c r="C34" i="15"/>
  <c r="N60" i="15"/>
  <c r="L60" i="15"/>
  <c r="Q72" i="15"/>
  <c r="C30" i="11"/>
  <c r="C48" i="11"/>
  <c r="F125" i="57"/>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J6" i="15"/>
  <c r="I38" i="35"/>
  <c r="I42" i="35"/>
  <c r="J42" i="35"/>
  <c r="C27" i="11"/>
  <c r="C18" i="12"/>
  <c r="W7" i="35"/>
  <c r="F34" i="11"/>
  <c r="E19" i="1"/>
  <c r="D20" i="1"/>
  <c r="D18" i="1"/>
  <c r="F50" i="11"/>
  <c r="F19" i="1"/>
  <c r="F18" i="1"/>
  <c r="D19" i="1"/>
  <c r="F22" i="11"/>
  <c r="C44" i="11"/>
  <c r="F24" i="15"/>
  <c r="C24" i="15"/>
  <c r="F25" i="12"/>
  <c r="C26" i="12"/>
  <c r="K87" i="43"/>
  <c r="J87" i="43"/>
  <c r="D87" i="43"/>
  <c r="E3" i="4"/>
  <c r="B5" i="55"/>
  <c r="B55" i="60"/>
  <c r="C16" i="43"/>
  <c r="D5" i="43"/>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0" i="15"/>
  <c r="C115" i="43"/>
  <c r="D113" i="43"/>
  <c r="J22" i="43"/>
  <c r="C21" i="43"/>
  <c r="M84" i="43"/>
  <c r="N84" i="43"/>
  <c r="K84" i="43"/>
  <c r="J84" i="43"/>
  <c r="D84" i="43"/>
  <c r="M81" i="43"/>
  <c r="N81" i="43"/>
  <c r="K81" i="43"/>
  <c r="J81" i="43"/>
  <c r="D81" i="43"/>
  <c r="M88" i="43"/>
  <c r="N88" i="43"/>
  <c r="K88" i="43"/>
  <c r="J88" i="43"/>
  <c r="D88" i="43"/>
  <c r="J10" i="15"/>
  <c r="J5" i="15"/>
  <c r="R25" i="31"/>
  <c r="B24" i="31"/>
  <c r="B3" i="31"/>
  <c r="C34" i="57"/>
  <c r="I124" i="57"/>
  <c r="B23" i="31"/>
  <c r="H63" i="43"/>
  <c r="H60" i="43"/>
  <c r="H64" i="43"/>
  <c r="H66" i="43"/>
  <c r="H65" i="43"/>
  <c r="H62" i="43"/>
  <c r="H59" i="43"/>
  <c r="H67" i="43"/>
  <c r="H61" i="43"/>
  <c r="H85" i="43"/>
  <c r="H83" i="43"/>
  <c r="M83" i="43"/>
  <c r="N83" i="43"/>
  <c r="H81" i="43"/>
  <c r="H88" i="43"/>
  <c r="H86" i="43"/>
  <c r="K86" i="43"/>
  <c r="J86" i="43"/>
  <c r="D86" i="43"/>
  <c r="H87" i="43"/>
  <c r="M87" i="43"/>
  <c r="N87" i="43"/>
  <c r="H82" i="43"/>
  <c r="K82" i="43"/>
  <c r="J82" i="43"/>
  <c r="D82" i="43"/>
  <c r="E81" i="43"/>
  <c r="B79" i="43"/>
  <c r="C24" i="43"/>
  <c r="H84" i="43"/>
  <c r="C5" i="43"/>
  <c r="I55" i="15"/>
  <c r="J54" i="15"/>
  <c r="G43" i="35"/>
  <c r="H43" i="35"/>
  <c r="B2" i="31"/>
  <c r="C33" i="57"/>
  <c r="H124" i="57"/>
  <c r="I103" i="57"/>
  <c r="I113" i="57"/>
  <c r="I104" i="57"/>
  <c r="C107" i="57"/>
  <c r="Q59" i="15"/>
  <c r="F7" i="33"/>
  <c r="AA7" i="33"/>
  <c r="R48" i="33"/>
  <c r="R39" i="35"/>
  <c r="C38" i="35"/>
  <c r="D110" i="57"/>
  <c r="D25" i="12"/>
  <c r="C25" i="11"/>
  <c r="C26" i="11"/>
  <c r="D22" i="11"/>
  <c r="C23" i="11"/>
  <c r="C24" i="11"/>
  <c r="H7" i="36"/>
  <c r="U7" i="36"/>
  <c r="C49" i="15"/>
  <c r="J7" i="33"/>
  <c r="W7" i="33"/>
  <c r="D41" i="11"/>
  <c r="C11" i="12"/>
  <c r="C34" i="11"/>
  <c r="C14" i="15"/>
  <c r="F7" i="21"/>
  <c r="AA7" i="21"/>
  <c r="R48" i="21"/>
  <c r="B18" i="49"/>
  <c r="B4" i="60"/>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E43" i="35"/>
  <c r="F43" i="35"/>
  <c r="E42" i="35"/>
  <c r="F42" i="35"/>
  <c r="I43" i="35"/>
  <c r="J43" i="35"/>
  <c r="C38" i="15"/>
  <c r="J18" i="15"/>
  <c r="J24" i="15"/>
  <c r="H125" i="57"/>
  <c r="C106" i="57"/>
  <c r="T16" i="43"/>
  <c r="V16" i="43"/>
  <c r="C36" i="43"/>
  <c r="C35" i="43"/>
  <c r="C34" i="43"/>
  <c r="C33" i="43"/>
  <c r="C67" i="15"/>
  <c r="C61" i="15"/>
  <c r="S7" i="33"/>
  <c r="D109" i="57"/>
  <c r="I111" i="57"/>
  <c r="D128" i="57"/>
  <c r="B33" i="1"/>
  <c r="Q50" i="15"/>
  <c r="D46" i="57"/>
  <c r="C39" i="35"/>
  <c r="B3" i="35"/>
  <c r="AB7" i="36"/>
  <c r="T36" i="36"/>
  <c r="G36" i="36"/>
  <c r="G41" i="36"/>
  <c r="H41" i="36"/>
  <c r="AC7" i="33"/>
  <c r="V48" i="33"/>
  <c r="I48" i="33"/>
  <c r="I52" i="33"/>
  <c r="J52" i="33"/>
  <c r="S7" i="21"/>
  <c r="M49" i="57"/>
  <c r="C15" i="12"/>
  <c r="D130" i="57"/>
  <c r="C15" i="15"/>
  <c r="C18" i="15"/>
  <c r="C16" i="15"/>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39" i="43"/>
  <c r="C37" i="43"/>
  <c r="C38" i="43"/>
  <c r="M50" i="57"/>
  <c r="L68" i="57"/>
  <c r="M68" i="57"/>
  <c r="F41" i="15"/>
  <c r="F70" i="15"/>
  <c r="B40" i="1"/>
  <c r="M27" i="15"/>
  <c r="D53" i="57"/>
  <c r="C79" i="57"/>
  <c r="C74" i="57"/>
  <c r="D54" i="57"/>
  <c r="D49" i="57"/>
  <c r="M53" i="57"/>
  <c r="C86" i="57"/>
  <c r="C73" i="57"/>
  <c r="C94" i="57"/>
  <c r="C87" i="57"/>
  <c r="D115" i="57"/>
  <c r="D116" i="57"/>
  <c r="I112" i="57"/>
  <c r="D129" i="57"/>
  <c r="D117" i="57"/>
  <c r="D118" i="57"/>
  <c r="I114" i="57"/>
  <c r="D131" i="57"/>
  <c r="D56" i="57"/>
  <c r="M54" i="57"/>
  <c r="C65" i="57"/>
  <c r="G40" i="36"/>
  <c r="H40" i="36"/>
  <c r="R37" i="36"/>
  <c r="C37" i="36"/>
  <c r="L69" i="57"/>
  <c r="M69" i="57"/>
  <c r="L67" i="57"/>
  <c r="M67" i="57"/>
  <c r="L65" i="57"/>
  <c r="M65"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G36" i="43"/>
  <c r="I36" i="43"/>
  <c r="E36" i="43"/>
  <c r="G35" i="43"/>
  <c r="I35" i="43"/>
  <c r="E35" i="43"/>
  <c r="E33" i="43"/>
  <c r="G33" i="43"/>
  <c r="I33" i="43"/>
  <c r="D133" i="57"/>
  <c r="L64" i="57"/>
  <c r="M64" i="57"/>
  <c r="L66" i="57"/>
  <c r="M66" i="57"/>
  <c r="C27" i="43"/>
  <c r="C27" i="9"/>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4" i="9"/>
  <c r="C30" i="9"/>
  <c r="C25" i="9"/>
  <c r="C38" i="9"/>
  <c r="C82" i="57"/>
  <c r="C98" i="57"/>
  <c r="D59" i="57"/>
  <c r="D57" i="57"/>
  <c r="M55" i="57"/>
  <c r="N70" i="57"/>
  <c r="M57" i="57"/>
  <c r="N58" i="57"/>
  <c r="C43" i="11"/>
  <c r="C41" i="11"/>
  <c r="C32" i="12"/>
  <c r="B2" i="12"/>
  <c r="C46" i="11"/>
  <c r="C45" i="11"/>
  <c r="C26" i="15"/>
  <c r="C29" i="15"/>
  <c r="J60" i="15"/>
  <c r="J61" i="15"/>
  <c r="J68" i="39"/>
  <c r="I70" i="39"/>
  <c r="J63" i="40"/>
  <c r="I65" i="40"/>
  <c r="D111" i="9"/>
  <c r="I108" i="9"/>
  <c r="Q46" i="15"/>
  <c r="C49" i="11"/>
  <c r="C51" i="11"/>
  <c r="C52" i="11"/>
  <c r="B3" i="11"/>
  <c r="P58" i="57"/>
  <c r="N59" i="57"/>
  <c r="N60" i="57"/>
  <c r="B3" i="12"/>
  <c r="C13" i="15"/>
  <c r="Q47" i="15"/>
  <c r="J19" i="15"/>
  <c r="J17" i="15"/>
  <c r="C33" i="15"/>
  <c r="C31" i="15"/>
  <c r="J14" i="15"/>
  <c r="C58" i="15"/>
  <c r="C36" i="15"/>
  <c r="K68" i="39"/>
  <c r="J70" i="39"/>
  <c r="K63" i="40"/>
  <c r="J65" i="40"/>
  <c r="D20" i="57"/>
  <c r="D108" i="9"/>
  <c r="I105" i="9"/>
  <c r="D35" i="50"/>
  <c r="D14" i="50"/>
  <c r="B28" i="60"/>
  <c r="N62" i="57"/>
  <c r="D119" i="57"/>
  <c r="D120" i="57"/>
  <c r="I116" i="57"/>
  <c r="I115" i="57"/>
  <c r="D132" i="57"/>
  <c r="N61" i="57"/>
  <c r="D103" i="57"/>
  <c r="C56" i="11"/>
  <c r="C57" i="11"/>
  <c r="J22" i="15"/>
  <c r="J13" i="15"/>
  <c r="J23" i="15"/>
  <c r="C62" i="15"/>
  <c r="C60" i="15"/>
  <c r="C65" i="15"/>
  <c r="J34" i="15"/>
  <c r="Q68" i="15"/>
  <c r="C37" i="15"/>
  <c r="C30" i="15"/>
  <c r="C39" i="15"/>
  <c r="C57" i="15"/>
  <c r="C66" i="15"/>
  <c r="L63" i="40"/>
  <c r="K65" i="40"/>
  <c r="L68" i="39"/>
  <c r="K70" i="39"/>
  <c r="D31" i="50"/>
  <c r="D32" i="50"/>
  <c r="D123" i="9"/>
  <c r="D10" i="50"/>
  <c r="C59" i="15"/>
  <c r="C68" i="15"/>
  <c r="C69" i="15"/>
  <c r="C72" i="15"/>
  <c r="J16" i="15"/>
  <c r="J25" i="15"/>
  <c r="J26" i="15"/>
  <c r="J29" i="15"/>
  <c r="C40" i="15"/>
  <c r="Q67" i="15"/>
  <c r="Q66" i="15"/>
  <c r="J38" i="15"/>
  <c r="M68" i="39"/>
  <c r="L70" i="39"/>
  <c r="M63" i="40"/>
  <c r="L65" i="40"/>
  <c r="D11" i="50"/>
  <c r="B25" i="60"/>
  <c r="B23" i="60"/>
  <c r="D6" i="52"/>
  <c r="K106" i="9"/>
  <c r="C47" i="15"/>
  <c r="J39" i="15"/>
  <c r="J41" i="15"/>
  <c r="J42" i="15"/>
  <c r="C43" i="15"/>
  <c r="L52" i="15"/>
  <c r="Q63" i="15"/>
  <c r="Q45" i="15"/>
  <c r="Q51" i="15"/>
  <c r="Q54" i="15"/>
  <c r="N63" i="40"/>
  <c r="M65" i="40"/>
  <c r="N68" i="39"/>
  <c r="M70" i="39"/>
  <c r="E2" i="37"/>
  <c r="E2" i="34"/>
  <c r="E2" i="21"/>
  <c r="C19" i="57"/>
  <c r="E2" i="11"/>
  <c r="E2" i="33"/>
  <c r="C20" i="57"/>
  <c r="E2" i="36"/>
  <c r="E2" i="35"/>
  <c r="B2" i="36"/>
  <c r="B3" i="36"/>
  <c r="B2" i="34"/>
  <c r="B3" i="34"/>
  <c r="B2" i="35"/>
  <c r="B2" i="37"/>
  <c r="B3" i="37"/>
  <c r="B2" i="33"/>
  <c r="B3" i="33"/>
  <c r="B2" i="21"/>
  <c r="B3" i="21"/>
  <c r="C102" i="57"/>
  <c r="B2" i="11"/>
  <c r="G20" i="57"/>
  <c r="C103" i="57"/>
  <c r="Q65" i="15"/>
  <c r="L58" i="15"/>
  <c r="L61" i="15"/>
  <c r="O68" i="39"/>
  <c r="O70" i="39"/>
  <c r="N70" i="39"/>
  <c r="O63" i="40"/>
  <c r="O65" i="40"/>
  <c r="N65" i="40"/>
  <c r="C20" i="9"/>
  <c r="D19" i="57"/>
  <c r="C19" i="9"/>
  <c r="C102" i="9"/>
  <c r="B2" i="15"/>
  <c r="B3" i="15"/>
  <c r="Q64" i="15"/>
  <c r="Q73" i="15"/>
  <c r="Q55" i="15"/>
  <c r="Q60" i="15"/>
  <c r="D22" i="57"/>
  <c r="D102" i="57"/>
  <c r="G19" i="57"/>
  <c r="C105" i="57"/>
  <c r="C101" i="9"/>
  <c r="H7" i="40"/>
  <c r="F7" i="40"/>
  <c r="J7" i="40"/>
  <c r="H7" i="39"/>
  <c r="F7" i="39"/>
  <c r="J7" i="39"/>
  <c r="D20" i="9"/>
  <c r="D19" i="9"/>
  <c r="G20" i="9"/>
  <c r="D102" i="9"/>
  <c r="D101" i="9"/>
  <c r="D22" i="9"/>
  <c r="G19" i="9"/>
  <c r="C104" i="57"/>
  <c r="W7" i="39"/>
  <c r="AC7" i="39"/>
  <c r="V47" i="39"/>
  <c r="I47" i="39"/>
  <c r="I51" i="39"/>
  <c r="J51" i="39"/>
  <c r="AB7" i="39"/>
  <c r="T47" i="39"/>
  <c r="G47" i="39"/>
  <c r="U7" i="39"/>
  <c r="AA7" i="40"/>
  <c r="R42" i="40"/>
  <c r="S7" i="40"/>
  <c r="AA7" i="39"/>
  <c r="R47" i="39"/>
  <c r="S7" i="39"/>
  <c r="AC7" i="40"/>
  <c r="V42" i="40"/>
  <c r="I42" i="40"/>
  <c r="W7" i="40"/>
  <c r="AB7" i="40"/>
  <c r="T42" i="40"/>
  <c r="G42" i="40"/>
  <c r="U7" i="40"/>
  <c r="C32" i="9"/>
  <c r="G47" i="40"/>
  <c r="H47" i="40"/>
  <c r="G46" i="40"/>
  <c r="H46" i="40"/>
  <c r="I46" i="40"/>
  <c r="J46" i="40"/>
  <c r="R48" i="39"/>
  <c r="E47" i="39"/>
  <c r="R43" i="40"/>
  <c r="E42" i="40"/>
  <c r="G51" i="39"/>
  <c r="H51" i="39"/>
  <c r="G52" i="39"/>
  <c r="H52" i="39"/>
  <c r="E46" i="40"/>
  <c r="F46" i="40"/>
  <c r="E47" i="40"/>
  <c r="F47" i="40"/>
  <c r="I52" i="39"/>
  <c r="J52" i="39"/>
  <c r="E51" i="39"/>
  <c r="F51" i="39"/>
  <c r="E52" i="39"/>
  <c r="F52" i="39"/>
  <c r="C42" i="40"/>
  <c r="C43" i="40"/>
  <c r="C47" i="39"/>
  <c r="C48" i="39"/>
  <c r="I47" i="40"/>
  <c r="J47" i="40"/>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F61" i="40"/>
  <c r="B2" i="40"/>
  <c r="B3" i="40"/>
  <c r="F66" i="39"/>
  <c r="B2" i="39"/>
  <c r="B3" i="39"/>
  <c r="M56" i="9"/>
  <c r="D130" i="9"/>
  <c r="D13" i="52"/>
  <c r="D35" i="9"/>
  <c r="C35" i="9"/>
  <c r="C34" i="9"/>
  <c r="D34" i="9"/>
  <c r="I112" i="9"/>
  <c r="D114" i="9"/>
  <c r="D115" i="9"/>
  <c r="I113" i="9"/>
  <c r="D41" i="50"/>
  <c r="B63" i="60"/>
  <c r="D39" i="50"/>
  <c r="D40" i="50"/>
  <c r="D18" i="50"/>
  <c r="D127" i="9"/>
  <c r="D10" i="52"/>
  <c r="H14" i="62"/>
  <c r="B7" i="62"/>
  <c r="D128" i="9"/>
  <c r="D11" i="52"/>
  <c r="D20" i="50"/>
  <c r="D19" i="50"/>
  <c r="B32" i="60"/>
  <c r="B31" i="60"/>
  <c r="C7" i="62"/>
  <c r="D7" i="62"/>
  <c r="I114" i="9"/>
  <c r="D116" i="9"/>
  <c r="D129" i="9"/>
  <c r="D21" i="50"/>
  <c r="D42" i="50"/>
  <c r="D43" i="50"/>
  <c r="D12" i="52"/>
  <c r="I14" i="62"/>
  <c r="B8" i="62"/>
  <c r="D22" i="50"/>
  <c r="B35" i="60"/>
  <c r="B33" i="60"/>
  <c r="C8" i="62"/>
  <c r="D8" i="62"/>
  <c r="H121" i="9"/>
  <c r="I121" i="9"/>
  <c r="I4" i="52"/>
  <c r="F121" i="9"/>
  <c r="G121" i="9"/>
  <c r="G4" i="52"/>
  <c r="B41" i="60"/>
  <c r="D121" i="9"/>
  <c r="E121" i="9"/>
  <c r="E4" i="52"/>
  <c r="B38" i="60"/>
  <c r="C104" i="9"/>
  <c r="D107" i="9"/>
  <c r="I103" i="9"/>
  <c r="D30" i="50"/>
  <c r="I102" i="9"/>
  <c r="D14" i="62"/>
  <c r="D106" i="9"/>
  <c r="D112" i="9"/>
  <c r="D117" i="9"/>
  <c r="H4" i="52"/>
  <c r="C103" i="9"/>
  <c r="H122" i="9"/>
  <c r="H5" i="52"/>
  <c r="D122" i="9"/>
  <c r="D5" i="52"/>
  <c r="B39" i="60"/>
  <c r="D4" i="52"/>
  <c r="B37" i="60"/>
  <c r="F122" i="9"/>
  <c r="F5" i="52"/>
  <c r="B42" i="60"/>
  <c r="F4" i="52"/>
  <c r="B40" i="60"/>
  <c r="D9" i="50"/>
  <c r="B21" i="60"/>
  <c r="I110" i="9"/>
  <c r="M49" i="9"/>
  <c r="D28" i="50"/>
  <c r="D29" i="50"/>
  <c r="M48" i="9"/>
  <c r="D7" i="50"/>
  <c r="B19" i="60"/>
  <c r="D45" i="9"/>
  <c r="C64" i="9"/>
  <c r="C63" i="9"/>
  <c r="C67" i="9"/>
  <c r="C68" i="9"/>
  <c r="D54" i="9"/>
  <c r="E14" i="62"/>
  <c r="F14" i="62"/>
  <c r="B5" i="62"/>
  <c r="D113" i="9"/>
  <c r="I111" i="9"/>
  <c r="D44" i="50"/>
  <c r="I115" i="9"/>
  <c r="D23" i="50"/>
  <c r="B34" i="60"/>
  <c r="L68" i="9"/>
  <c r="M68" i="9"/>
  <c r="L67" i="9"/>
  <c r="M67" i="9"/>
  <c r="L63" i="9"/>
  <c r="M63" i="9"/>
  <c r="M69" i="9"/>
  <c r="N69" i="9"/>
  <c r="L65" i="9"/>
  <c r="M65" i="9"/>
  <c r="L64" i="9"/>
  <c r="M64" i="9"/>
  <c r="L66" i="9"/>
  <c r="M66" i="9"/>
  <c r="D15" i="50"/>
  <c r="C72" i="9"/>
  <c r="D59" i="9"/>
  <c r="M55" i="9"/>
  <c r="D36" i="50"/>
  <c r="D37" i="50"/>
  <c r="D125" i="9"/>
  <c r="D8" i="50"/>
  <c r="B22" i="60"/>
  <c r="C78" i="9"/>
  <c r="C73" i="9"/>
  <c r="C93" i="9"/>
  <c r="C86" i="9"/>
  <c r="D55" i="9"/>
  <c r="M53" i="9"/>
  <c r="D53" i="9"/>
  <c r="D48" i="9"/>
  <c r="M52" i="9"/>
  <c r="D52" i="9"/>
  <c r="C85" i="9"/>
  <c r="C5" i="62"/>
  <c r="D5" i="62"/>
  <c r="D38" i="50"/>
  <c r="B62" i="60"/>
  <c r="C95" i="9"/>
  <c r="C96" i="9"/>
  <c r="E96" i="9"/>
  <c r="E97" i="9"/>
  <c r="C79" i="9"/>
  <c r="C80" i="9"/>
  <c r="E80" i="9"/>
  <c r="E81" i="9"/>
  <c r="D17" i="50"/>
  <c r="D126" i="9"/>
  <c r="D9" i="52"/>
  <c r="D16" i="50"/>
  <c r="B30" i="60"/>
  <c r="B29" i="60"/>
  <c r="G14" i="62"/>
  <c r="B6" i="62"/>
  <c r="D8" i="52"/>
  <c r="C97" i="9"/>
  <c r="D58" i="9"/>
  <c r="D56" i="9"/>
  <c r="M54" i="9"/>
  <c r="N57" i="9"/>
  <c r="P57" i="9"/>
  <c r="C81" i="9"/>
  <c r="C6" i="62"/>
  <c r="D6" i="62"/>
  <c r="N58" i="9"/>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<sst xmlns="http://schemas.openxmlformats.org/spreadsheetml/2006/main" count="6912" uniqueCount="2911">
  <si>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</si>
  <si>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</si>
  <si>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</si>
  <si>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</si>
  <si>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</si>
  <si>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</si>
  <si>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</si>
  <si>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</si>
  <si>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</si>
  <si>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</si>
  <si>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</si>
  <si>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</si>
  <si>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</si>
  <si>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</si>
  <si>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</si>
  <si>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</si>
  <si>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</si>
  <si>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</si>
  <si>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</si>
  <si>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</si>
  <si>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</si>
  <si>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</si>
  <si>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</si>
  <si>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</si>
  <si>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</si>
  <si>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</si>
  <si>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</si>
  <si>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</si>
  <si>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</si>
  <si>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</si>
  <si>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</si>
  <si>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</si>
  <si>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</si>
  <si>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</si>
  <si>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</si>
  <si>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</si>
  <si>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</si>
  <si>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</si>
  <si>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</si>
  <si>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</si>
  <si>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</si>
  <si>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</si>
  <si>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</si>
  <si>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</si>
  <si>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</si>
  <si>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</si>
  <si>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</si>
  <si>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</si>
  <si>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</si>
  <si>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</si>
  <si>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</si>
  <si>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</si>
  <si>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</si>
  <si>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</si>
  <si>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</si>
  <si>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</si>
  <si>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</si>
  <si>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</si>
  <si>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</si>
  <si>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</si>
  <si>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</si>
  <si>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</si>
  <si>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</si>
  <si>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</si>
  <si>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</si>
  <si>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</si>
  <si>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</si>
  <si>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</si>
  <si>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</si>
  <si>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</si>
  <si>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</si>
  <si>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</si>
  <si>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</si>
  <si>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</si>
  <si>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</si>
  <si>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</si>
  <si>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</si>
  <si>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</si>
  <si>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</si>
  <si>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</si>
  <si>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</si>
  <si>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</si>
  <si>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</si>
  <si>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</si>
  <si>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</si>
  <si>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</si>
  <si>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</si>
  <si>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</si>
  <si>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</si>
  <si>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</si>
  <si>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</si>
  <si>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</si>
  <si>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</si>
  <si>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</si>
  <si>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</si>
  <si>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</si>
  <si>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</si>
  <si>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</si>
  <si>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</si>
  <si>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</si>
  <si>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</si>
  <si>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</si>
  <si>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</si>
  <si>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</si>
  <si>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</si>
  <si>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</si>
  <si>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</si>
  <si>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</si>
  <si>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</si>
  <si>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</si>
  <si>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</si>
  <si>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</si>
  <si>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</si>
  <si>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</si>
  <si>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</si>
  <si>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</si>
  <si>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</si>
  <si>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</si>
  <si>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</si>
  <si>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</si>
  <si>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</si>
  <si>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</si>
  <si>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</si>
  <si>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</si>
  <si>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</si>
  <si>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</si>
  <si>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</si>
  <si>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</si>
  <si>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</si>
  <si>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</si>
  <si>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</si>
  <si>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</si>
  <si>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</si>
  <si>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</si>
  <si>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</si>
  <si>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</si>
  <si>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</si>
  <si>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</si>
  <si>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</si>
  <si>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</si>
  <si>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</si>
  <si>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</si>
  <si>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</si>
  <si>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</si>
  <si>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</si>
  <si>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</si>
  <si>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</si>
  <si>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</si>
  <si>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</si>
  <si>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</si>
  <si>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</si>
  <si>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</si>
  <si>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</si>
  <si>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</si>
  <si>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</si>
  <si>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</si>
  <si>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</si>
  <si>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</si>
  <si>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</si>
  <si>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</si>
  <si>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</si>
  <si>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</si>
  <si>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</si>
  <si>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</si>
  <si>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</si>
  <si>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</si>
  <si>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</si>
  <si>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</si>
  <si>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</si>
  <si>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</si>
  <si>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</si>
  <si>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</si>
  <si>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</si>
  <si>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</si>
  <si>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</si>
  <si>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</si>
  <si>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</si>
  <si>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</si>
  <si>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</si>
  <si>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</si>
  <si>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</si>
  <si>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</si>
  <si>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</si>
  <si>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</si>
  <si>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</si>
  <si>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</si>
  <si>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</si>
  <si>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</si>
  <si>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</si>
  <si>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</si>
  <si>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</si>
  <si>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</si>
  <si>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</si>
  <si>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</si>
  <si>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</si>
  <si>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</si>
  <si>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</si>
  <si>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</si>
  <si>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</si>
  <si>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</si>
  <si>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</si>
  <si>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</si>
  <si>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</si>
  <si>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</si>
  <si>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</si>
  <si>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</si>
  <si>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</si>
  <si>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</si>
  <si>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</si>
  <si>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</si>
  <si>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</si>
  <si>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</si>
  <si>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</si>
  <si>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</si>
  <si>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</si>
  <si>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</si>
  <si>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</si>
  <si>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</si>
  <si>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</si>
  <si>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</si>
  <si>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</si>
  <si>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</si>
  <si>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</si>
  <si>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</si>
  <si>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</si>
  <si>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</si>
  <si>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</si>
  <si>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</si>
  <si>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</si>
  <si>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</si>
  <si>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</si>
  <si>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</si>
  <si>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</si>
  <si>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</si>
  <si>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</si>
  <si>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</si>
  <si>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</si>
  <si>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</si>
  <si>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</si>
  <si>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</si>
  <si>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</si>
  <si>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</si>
  <si>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</si>
  <si>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</si>
  <si>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</si>
  <si>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</si>
  <si>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</si>
  <si>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</si>
  <si>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</si>
  <si>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</si>
  <si>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</si>
  <si>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</si>
  <si>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</si>
  <si>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</si>
  <si>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</si>
  <si>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</si>
  <si>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</si>
  <si>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</si>
  <si>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</si>
  <si>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</si>
  <si>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</si>
  <si>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</si>
  <si>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</si>
  <si>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</si>
  <si>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</si>
  <si>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</si>
  <si>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</si>
  <si>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</si>
  <si>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</si>
  <si>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</si>
  <si>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</si>
  <si>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</si>
  <si>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</si>
  <si>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</si>
  <si>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</si>
  <si>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</si>
  <si>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</si>
  <si>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</si>
  <si>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</si>
  <si>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</si>
  <si>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</si>
  <si>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</si>
  <si>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</si>
  <si>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</si>
  <si>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</si>
  <si>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</si>
  <si>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</si>
  <si>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</si>
  <si>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</si>
  <si>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</si>
  <si>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</si>
  <si>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</si>
  <si>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</si>
  <si>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</si>
  <si>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</si>
  <si>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</si>
  <si>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</si>
  <si>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</si>
  <si>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</si>
  <si>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</si>
  <si>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</si>
  <si>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</si>
  <si>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</si>
  <si>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</si>
  <si>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</si>
  <si>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</si>
  <si>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</si>
  <si>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</si>
  <si>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</si>
  <si>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</si>
  <si>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</si>
  <si>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</si>
  <si>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</si>
  <si>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</si>
  <si>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</si>
  <si>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</si>
  <si>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</si>
  <si>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</si>
  <si>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</si>
  <si>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</si>
  <si>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</si>
  <si>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</si>
  <si>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</si>
  <si>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</si>
  <si>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</si>
  <si>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</si>
  <si>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</si>
  <si>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</si>
  <si>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</si>
  <si>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</si>
  <si>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</si>
  <si>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</si>
  <si>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</si>
  <si>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</si>
  <si>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</si>
  <si>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</si>
  <si>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</si>
  <si>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</si>
  <si>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</si>
  <si>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</si>
  <si>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</si>
  <si>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</si>
  <si>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</si>
  <si>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</si>
  <si>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</si>
  <si>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</si>
  <si>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</si>
  <si>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</si>
  <si>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</si>
  <si>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</si>
  <si>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</si>
  <si>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</si>
  <si>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</si>
  <si>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</si>
  <si>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</si>
  <si>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</si>
  <si>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</si>
  <si>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</si>
  <si>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</si>
  <si>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</si>
  <si>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</si>
  <si>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</si>
  <si>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</si>
  <si>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</si>
  <si>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</si>
  <si>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</si>
  <si>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</si>
  <si>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</si>
  <si>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</si>
  <si>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</si>
  <si>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</si>
  <si>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</si>
  <si>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</si>
  <si>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</si>
  <si>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</si>
  <si>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</si>
  <si>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</si>
  <si>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</si>
  <si>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</si>
  <si>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</si>
  <si>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</si>
  <si>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</si>
  <si>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</si>
  <si>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</si>
  <si>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</si>
  <si>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</si>
  <si>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</si>
  <si>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</si>
  <si>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</si>
  <si>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</si>
  <si>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</si>
  <si>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</si>
  <si>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</si>
  <si>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</si>
  <si>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</si>
  <si>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</si>
  <si>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</si>
  <si>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</si>
  <si>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</si>
  <si>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</si>
  <si>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</si>
  <si>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</si>
  <si>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</si>
  <si>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</si>
  <si>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</si>
  <si>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</si>
  <si>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</si>
  <si>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</si>
  <si>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</si>
  <si>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</si>
  <si>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</si>
  <si>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</si>
  <si>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</si>
  <si>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</si>
  <si>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</si>
  <si>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</si>
  <si>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</si>
  <si>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</si>
  <si>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</si>
  <si>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</si>
  <si>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</si>
  <si>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</si>
  <si>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</si>
  <si>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</si>
  <si>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</si>
  <si>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</si>
  <si>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</si>
  <si>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</si>
  <si>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</si>
  <si>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</si>
  <si>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</si>
  <si>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</si>
  <si>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</si>
  <si>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</si>
  <si>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</si>
  <si>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</si>
  <si>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</si>
  <si>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</si>
  <si>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</si>
  <si>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</si>
  <si>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</si>
  <si>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</si>
  <si>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</si>
  <si>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</si>
  <si>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</si>
  <si>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</si>
  <si>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</si>
  <si>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</si>
  <si>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</si>
  <si>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</si>
  <si>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</si>
  <si>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</si>
  <si>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</si>
  <si>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</si>
  <si>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</si>
  <si>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</si>
  <si>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</si>
  <si>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</si>
  <si>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</si>
  <si>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</si>
  <si>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</si>
  <si>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</si>
  <si>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</si>
  <si>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</si>
  <si>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</si>
  <si>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</si>
  <si>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</si>
  <si>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</si>
  <si>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</si>
  <si>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</si>
  <si>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</si>
  <si>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</si>
  <si>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</si>
  <si>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</si>
  <si>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</si>
  <si>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</si>
  <si>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</si>
  <si>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</si>
  <si>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</si>
  <si>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</si>
  <si>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</si>
  <si>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</si>
  <si>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</si>
  <si>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</si>
  <si>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</si>
  <si>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</si>
  <si>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</si>
  <si>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</si>
  <si>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</si>
  <si>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</si>
  <si>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</si>
  <si>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</si>
  <si>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</si>
  <si>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</si>
  <si>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</si>
  <si>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</si>
  <si>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</si>
  <si>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</si>
  <si>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</si>
  <si>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</si>
  <si>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</si>
  <si>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</si>
  <si>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</si>
  <si>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</si>
  <si>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</si>
  <si>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</si>
  <si>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</si>
  <si>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</si>
  <si>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</si>
  <si>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</si>
  <si>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</si>
  <si>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</si>
  <si>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</si>
  <si>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</si>
  <si>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</si>
  <si>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</si>
  <si>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</si>
  <si>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</si>
  <si>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</si>
  <si>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</si>
  <si>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</si>
  <si>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</si>
  <si>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</si>
  <si>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</si>
  <si>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</si>
  <si>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</si>
  <si>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</si>
  <si>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</si>
  <si>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</si>
  <si>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</si>
  <si>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</si>
  <si>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</si>
  <si>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</si>
  <si>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</si>
  <si>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</si>
  <si>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</si>
  <si>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</si>
  <si>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</si>
  <si>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</si>
  <si>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</si>
  <si>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</si>
  <si>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</si>
  <si>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</si>
  <si>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</si>
  <si>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</si>
  <si>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</si>
  <si>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</si>
  <si>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</si>
  <si>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</si>
  <si>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</si>
  <si>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</si>
  <si>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</si>
  <si>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</si>
  <si>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</si>
  <si>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</si>
  <si>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</si>
  <si>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</si>
  <si>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</si>
  <si>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</si>
  <si>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</si>
  <si>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</si>
  <si>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</si>
  <si>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</si>
  <si>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</si>
  <si>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</si>
  <si>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</si>
  <si>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</si>
  <si>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</si>
  <si>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</si>
  <si>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</si>
  <si>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</si>
  <si>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</si>
  <si>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</si>
  <si>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</si>
  <si>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</si>
  <si>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</si>
  <si>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</si>
  <si>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</si>
  <si>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</si>
  <si>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</si>
  <si>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</si>
  <si>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</si>
  <si>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</si>
  <si>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</si>
  <si>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</si>
  <si>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</si>
  <si>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</si>
  <si>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</si>
  <si>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</si>
  <si>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</si>
  <si>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</si>
  <si>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</si>
  <si>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</si>
  <si>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</si>
  <si>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</si>
  <si>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</si>
  <si>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</si>
  <si>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</si>
  <si>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</si>
  <si>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</si>
  <si>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</si>
  <si>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</si>
  <si>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</si>
  <si>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</si>
  <si>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</si>
  <si>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</si>
  <si>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</si>
  <si>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</si>
  <si>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</si>
  <si>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</si>
  <si>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</si>
  <si>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</si>
  <si>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</si>
  <si>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</si>
  <si>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</si>
  <si>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</si>
  <si>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</si>
  <si>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</si>
  <si>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</si>
  <si>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</si>
  <si>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</si>
  <si>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</si>
  <si>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</si>
  <si>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</si>
  <si>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</si>
  <si>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</si>
  <si>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</si>
  <si>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</si>
  <si>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</si>
  <si>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</si>
  <si>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</si>
  <si>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</si>
  <si>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</si>
  <si>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</si>
  <si>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</si>
  <si>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</si>
  <si>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</si>
  <si>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</si>
  <si>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</si>
  <si>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</si>
  <si>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</si>
  <si>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</si>
  <si>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</si>
  <si>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</si>
  <si>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</si>
  <si>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</si>
  <si>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</si>
  <si>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</si>
  <si>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</si>
  <si>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</si>
  <si>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</si>
  <si>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</si>
  <si>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</si>
  <si>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</si>
  <si>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</si>
  <si>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</si>
  <si>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</si>
  <si>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</si>
  <si>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</si>
  <si>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</si>
  <si>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</si>
  <si>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</si>
  <si>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</si>
  <si>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</si>
  <si>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</si>
  <si>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</si>
  <si>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</si>
  <si>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</si>
  <si>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</si>
  <si>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</si>
  <si>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</si>
  <si>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</si>
  <si>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</si>
  <si>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</si>
  <si>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</si>
  <si>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</si>
  <si>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</si>
  <si>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</si>
  <si>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</si>
  <si>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</si>
  <si>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</si>
  <si>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</si>
  <si>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</si>
  <si>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</si>
  <si>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</si>
  <si>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</si>
  <si>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</si>
  <si>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</si>
  <si>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</si>
  <si>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</si>
  <si>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</si>
  <si>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</si>
  <si>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</si>
  <si>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</si>
  <si>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</si>
  <si>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</si>
  <si>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</si>
  <si>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</si>
  <si>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</si>
  <si>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</si>
  <si>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</si>
  <si>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</si>
  <si>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</si>
  <si>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</si>
  <si>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</si>
  <si>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</si>
  <si>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</si>
  <si>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</si>
  <si>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</si>
  <si>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</si>
  <si>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</si>
  <si>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</si>
  <si>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</si>
  <si>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</si>
  <si>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</si>
  <si>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</si>
  <si>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</si>
  <si>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</si>
  <si>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</si>
  <si>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</si>
  <si>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</si>
  <si>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</si>
  <si>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</si>
  <si>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</si>
  <si>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</si>
  <si>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</si>
  <si>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</si>
  <si>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</si>
  <si>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</si>
  <si>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</si>
  <si>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</si>
  <si>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</si>
  <si>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</si>
  <si>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</si>
  <si>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</si>
  <si>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</si>
  <si>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</si>
  <si>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</si>
  <si>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</si>
  <si>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</si>
  <si>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</si>
  <si>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</si>
  <si>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</si>
  <si>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</si>
  <si>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</si>
  <si>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</si>
  <si>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</si>
  <si>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</si>
  <si>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</si>
  <si>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</si>
  <si>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</si>
  <si>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</si>
  <si>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</si>
  <si>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</si>
  <si>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李立</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</si>
  <si>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</si>
  <si>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</si>
  <si>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</si>
  <si>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</si>
  <si>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</si>
  <si>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</si>
  <si>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</si>
  <si>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t>
    <phoneticPr fontId="5" type="noConversion"/>
  </si>
  <si>
    <t>马琳琳</t>
    <phoneticPr fontId="5" type="noConversion"/>
  </si>
  <si>
    <t>刘梅</t>
    <phoneticPr fontId="5" type="noConversion"/>
  </si>
  <si>
    <t>赵雯</t>
    <phoneticPr fontId="5" type="noConversion"/>
  </si>
  <si>
    <t>刘敬东</t>
    <phoneticPr fontId="5" type="noConversion"/>
  </si>
  <si>
    <t>王萌</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</si>
  <si>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</si>
  <si>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</si>
  <si>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</si>
  <si>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</si>
  <si>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</si>
  <si>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</si>
  <si>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</si>
  <si>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</si>
  <si>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</si>
  <si>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</si>
  <si>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</si>
  <si>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</si>
  <si>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</si>
  <si>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</si>
  <si>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</si>
  <si>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</si>
  <si>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</si>
  <si>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</si>
  <si>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</si>
  <si>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</si>
  <si>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</si>
  <si>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</si>
  <si>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</si>
  <si>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</si>
  <si>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</si>
  <si>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</si>
  <si>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</si>
  <si>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</si>
  <si>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</si>
  <si>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</si>
  <si>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</si>
  <si>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</si>
  <si>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</si>
  <si>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</si>
  <si>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</si>
  <si>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</si>
  <si>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</si>
  <si>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</si>
  <si>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</si>
  <si>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</si>
  <si>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</si>
  <si>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</si>
  <si>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</si>
  <si>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</si>
  <si>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</si>
  <si>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</si>
  <si>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</si>
  <si>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</si>
  <si>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</si>
  <si>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</si>
  <si>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</si>
  <si>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</si>
  <si>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</si>
  <si>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</si>
  <si>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</si>
  <si>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</si>
  <si>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</si>
  <si>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</si>
  <si>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</si>
  <si>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</si>
  <si>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</si>
  <si>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</si>
  <si>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</si>
  <si>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</si>
  <si>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</si>
  <si>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</si>
  <si>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</si>
  <si>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</si>
  <si>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</si>
  <si>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</si>
  <si>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</si>
  <si>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</si>
  <si>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</si>
  <si>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</si>
  <si>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</si>
  <si>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</si>
  <si>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</si>
  <si>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</si>
  <si>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</si>
  <si>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</si>
  <si>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</si>
  <si>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</si>
  <si>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</si>
  <si>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</si>
  <si>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</si>
  <si>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</si>
  <si>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</si>
  <si>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</si>
  <si>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</si>
  <si>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</si>
  <si>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</si>
  <si>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</si>
  <si>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</si>
  <si>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</si>
  <si>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</si>
  <si>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</si>
  <si>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</si>
  <si>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</si>
  <si>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</si>
  <si>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</si>
  <si>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</si>
  <si>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</si>
  <si>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</si>
  <si>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</si>
  <si>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</si>
  <si>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</si>
  <si>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</si>
  <si>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</si>
  <si>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</si>
  <si>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</si>
  <si>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</si>
  <si>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</si>
  <si>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</si>
  <si>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</si>
  <si>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</si>
  <si>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</si>
  <si>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</si>
  <si>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</si>
  <si>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</si>
  <si>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</si>
  <si>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</si>
  <si>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</si>
  <si>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</si>
  <si>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</si>
  <si>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</si>
  <si>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</si>
  <si>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</si>
  <si>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</si>
  <si>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</si>
  <si>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</si>
  <si>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</si>
  <si>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</si>
  <si>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</si>
  <si>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</si>
  <si>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</si>
  <si>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</si>
  <si>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</si>
  <si>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</si>
  <si>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</si>
  <si>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</si>
  <si>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</si>
  <si>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</si>
  <si>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</si>
  <si>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</si>
  <si>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</si>
  <si>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</si>
  <si>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</si>
  <si>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</si>
  <si>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</si>
  <si>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</si>
  <si>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</si>
  <si>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</si>
  <si>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</si>
  <si>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</si>
  <si>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</si>
  <si>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</si>
  <si>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</si>
  <si>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</si>
  <si>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</si>
  <si>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</si>
  <si>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</si>
  <si>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</si>
  <si>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</si>
  <si>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</si>
  <si>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</si>
  <si>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</si>
  <si>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</si>
  <si>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</si>
  <si>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</si>
  <si>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</si>
  <si>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</si>
  <si>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</si>
  <si>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</si>
  <si>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</si>
  <si>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</si>
  <si>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</si>
  <si>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</si>
  <si>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</si>
  <si>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</si>
  <si>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</si>
  <si>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</si>
  <si>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</si>
  <si>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</si>
  <si>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</si>
  <si>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</si>
  <si>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</si>
  <si>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</si>
  <si>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</si>
  <si>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</si>
  <si>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</si>
  <si>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</si>
  <si>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</si>
  <si>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</si>
  <si>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</si>
  <si>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</si>
  <si>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</si>
  <si>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</si>
  <si>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</si>
  <si>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</si>
  <si>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</si>
  <si>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</si>
  <si>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1.5%-2.5%</t>
    <phoneticPr fontId="5" type="noConversion"/>
  </si>
  <si>
    <t>0.15%-0.3%</t>
    <phoneticPr fontId="5" type="noConversion"/>
  </si>
  <si>
    <t>1-3%</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</si>
  <si>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</si>
  <si>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</si>
  <si>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</si>
  <si>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</si>
  <si>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</si>
  <si>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</si>
  <si>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</si>
  <si>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</si>
  <si>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</si>
  <si>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</si>
  <si>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</si>
  <si>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</si>
  <si>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</si>
  <si>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</si>
  <si>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</si>
  <si>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</si>
  <si>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</si>
  <si>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</si>
  <si>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</si>
  <si>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</si>
  <si>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</si>
  <si>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</si>
  <si>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</si>
  <si>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</si>
  <si>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</si>
  <si>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</si>
  <si>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</si>
  <si>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</si>
  <si>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</si>
  <si>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</si>
  <si>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</si>
  <si>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</si>
  <si>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</si>
  <si>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</si>
  <si>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</si>
  <si>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</si>
  <si>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</si>
  <si>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</si>
  <si>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</si>
  <si>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</si>
  <si>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</si>
  <si>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</si>
  <si>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</si>
  <si>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</si>
  <si>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</si>
  <si>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</si>
  <si>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</si>
  <si>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</si>
  <si>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</si>
  <si>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</si>
  <si>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</si>
  <si>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</si>
  <si>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</si>
  <si>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</si>
  <si>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</si>
  <si>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</si>
  <si>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</si>
  <si>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</si>
  <si>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</si>
  <si>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杨红英</t>
    <phoneticPr fontId="5" type="noConversion"/>
  </si>
  <si>
    <t>杨红英</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</si>
  <si>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</si>
  <si>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</si>
  <si>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</si>
  <si>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</si>
  <si>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</si>
  <si>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</si>
  <si>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</si>
  <si>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</si>
  <si>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</si>
  <si>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</si>
  <si>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</si>
  <si>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</si>
  <si>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</si>
  <si>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</si>
  <si>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</si>
  <si>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</si>
  <si>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</si>
  <si>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</si>
  <si>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</si>
  <si>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</si>
  <si>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</si>
  <si>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</si>
  <si>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</si>
  <si>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</si>
  <si>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</si>
  <si>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</si>
  <si>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</si>
  <si>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</si>
  <si>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</si>
  <si>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</si>
  <si>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</si>
  <si>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</si>
  <si>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</si>
  <si>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</si>
  <si>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</si>
  <si>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</si>
  <si>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</si>
  <si>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</si>
  <si>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</si>
  <si>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</si>
  <si>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</si>
  <si>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</si>
  <si>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</si>
  <si>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</si>
  <si>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</si>
  <si>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</si>
  <si>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</si>
  <si>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</si>
  <si>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</si>
  <si>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</si>
  <si>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</si>
  <si>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</si>
  <si>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</si>
  <si>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</si>
  <si>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</si>
  <si>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</si>
  <si>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</si>
  <si>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</si>
  <si>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</si>
  <si>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</si>
  <si>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</si>
  <si>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</si>
  <si>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</si>
  <si>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</si>
  <si>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</si>
  <si>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</si>
  <si>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</si>
  <si>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</si>
  <si>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</si>
  <si>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</si>
  <si>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</si>
  <si>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</si>
  <si>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</si>
  <si>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</si>
  <si>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</si>
  <si>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</si>
  <si>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</si>
  <si>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</si>
  <si>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</si>
  <si>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</si>
  <si>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</si>
  <si>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</si>
  <si>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</si>
  <si>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</si>
  <si>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</si>
  <si>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</si>
  <si>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</si>
  <si>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</si>
  <si>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</si>
  <si>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</si>
  <si>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</si>
  <si>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</si>
  <si>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</si>
  <si>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</si>
  <si>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</si>
  <si>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</si>
  <si>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</si>
  <si>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</si>
  <si>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</si>
  <si>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</si>
  <si>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</si>
  <si>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</si>
  <si>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</si>
  <si>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</si>
  <si>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</si>
  <si>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</si>
  <si>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</si>
  <si>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</si>
  <si>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</si>
  <si>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</si>
  <si>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</si>
  <si>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</si>
  <si>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</si>
  <si>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</si>
  <si>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</si>
  <si>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</si>
  <si>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</si>
  <si>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</si>
  <si>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</si>
  <si>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</si>
  <si>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</si>
  <si>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</si>
  <si>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</si>
  <si>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</si>
  <si>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</si>
  <si>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</si>
  <si>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</si>
  <si>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</si>
  <si>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</si>
  <si>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</si>
  <si>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</si>
  <si>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</si>
  <si>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</si>
  <si>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</si>
  <si>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</si>
  <si>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</si>
  <si>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</si>
  <si>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</si>
  <si>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</si>
  <si>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</si>
  <si>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</si>
  <si>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</si>
  <si>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</si>
  <si>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</si>
  <si>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</si>
  <si>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</si>
  <si>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</si>
  <si>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</si>
  <si>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</si>
  <si>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</si>
  <si>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</si>
  <si>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</si>
  <si>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</si>
  <si>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</si>
  <si>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</si>
  <si>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</si>
  <si>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</si>
  <si>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</si>
  <si>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</si>
  <si>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</si>
  <si>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</si>
  <si>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</si>
  <si>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</si>
  <si>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</si>
  <si>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</si>
  <si>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</si>
  <si>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</si>
  <si>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</si>
  <si>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</si>
  <si>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</si>
  <si>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</si>
  <si>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</si>
  <si>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</si>
  <si>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</si>
  <si>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</si>
  <si>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</si>
  <si>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</si>
  <si>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</si>
  <si>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</si>
  <si>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</si>
  <si>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</si>
  <si>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</si>
  <si>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</si>
  <si>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</si>
  <si>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</si>
  <si>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</si>
  <si>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</si>
  <si>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</si>
  <si>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</si>
  <si>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</si>
  <si>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</si>
  <si>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</si>
  <si>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</si>
  <si>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</si>
  <si>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</si>
  <si>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</si>
  <si>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</si>
  <si>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</si>
  <si>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</si>
  <si>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</si>
  <si>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</si>
  <si>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</si>
  <si>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</si>
  <si>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</si>
  <si>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</si>
  <si>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</si>
  <si>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</si>
  <si>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</si>
  <si>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</si>
  <si>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</si>
  <si>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</si>
  <si>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</si>
  <si>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</si>
  <si>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</si>
  <si>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</si>
  <si>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</si>
  <si>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</si>
  <si>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</si>
  <si>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</si>
  <si>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</si>
  <si>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</si>
  <si>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</si>
  <si>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</si>
  <si>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</si>
  <si>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</si>
  <si>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2017A-006</t>
    <phoneticPr fontId="82"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</si>
  <si>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</si>
  <si>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</si>
  <si>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</si>
  <si>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</si>
  <si>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</si>
  <si>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</si>
  <si>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</si>
  <si>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</si>
  <si>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</si>
  <si>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</si>
  <si>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</si>
  <si>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</si>
  <si>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</si>
  <si>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</si>
  <si>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</si>
  <si>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</si>
  <si>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</si>
  <si>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</si>
  <si>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</si>
  <si>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</si>
  <si>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</si>
  <si>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</si>
  <si>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</si>
  <si>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</si>
  <si>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</si>
  <si>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</si>
  <si>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</si>
  <si>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</si>
  <si>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</si>
  <si>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</si>
  <si>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</si>
  <si>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</si>
  <si>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</si>
  <si>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</si>
  <si>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</si>
  <si>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</si>
  <si>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</si>
  <si>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</si>
  <si>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</si>
  <si>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</si>
  <si>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</si>
  <si>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</si>
  <si>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</si>
  <si>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</si>
  <si>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</si>
  <si>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</si>
  <si>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</si>
  <si>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</si>
  <si>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</si>
  <si>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</si>
  <si>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</si>
  <si>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</si>
  <si>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</si>
  <si>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</si>
  <si>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</si>
  <si>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</si>
  <si>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</si>
  <si>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</si>
  <si>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</si>
  <si>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</si>
  <si>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</si>
  <si>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</si>
  <si>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</si>
  <si>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</si>
  <si>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</si>
  <si>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</si>
  <si>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</si>
  <si>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</si>
  <si>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</si>
  <si>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</si>
  <si>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</si>
  <si>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</si>
  <si>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</si>
  <si>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</si>
  <si>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</si>
  <si>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</si>
  <si>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</si>
  <si>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</si>
  <si>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</si>
  <si>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</si>
  <si>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</si>
  <si>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</si>
  <si>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</si>
  <si>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</si>
  <si>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</si>
  <si>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</si>
  <si>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</si>
  <si>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</si>
  <si>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</si>
  <si>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</si>
  <si>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</si>
  <si>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</si>
  <si>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</si>
  <si>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</si>
  <si>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</si>
  <si>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</si>
  <si>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</si>
  <si>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</si>
  <si>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</si>
  <si>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</si>
  <si>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</si>
  <si>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</si>
  <si>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</si>
  <si>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</si>
  <si>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</si>
  <si>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</si>
  <si>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</si>
  <si>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</si>
  <si>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</si>
  <si>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</si>
  <si>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</si>
  <si>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</si>
  <si>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</si>
  <si>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</si>
  <si>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</si>
  <si>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</si>
  <si>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</si>
  <si>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</si>
  <si>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</si>
  <si>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</si>
  <si>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</si>
  <si>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</si>
  <si>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</si>
  <si>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</si>
  <si>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</si>
  <si>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</si>
  <si>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</si>
  <si>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</si>
  <si>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</si>
  <si>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</si>
  <si>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</si>
  <si>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</si>
  <si>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</si>
  <si>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</si>
  <si>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</si>
  <si>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</si>
  <si>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</si>
  <si>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</si>
  <si>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</si>
  <si>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</si>
  <si>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</si>
  <si>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</si>
  <si>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</si>
  <si>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</si>
  <si>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</si>
  <si>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</si>
  <si>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</si>
  <si>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</si>
  <si>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</si>
  <si>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</si>
  <si>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</si>
  <si>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</si>
  <si>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</si>
  <si>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</si>
  <si>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</si>
  <si>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</si>
  <si>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</si>
  <si>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</si>
  <si>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</si>
  <si>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</si>
  <si>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</si>
  <si>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</si>
  <si>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</si>
  <si>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</si>
  <si>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</si>
  <si>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</si>
  <si>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</si>
  <si>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</si>
  <si>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</si>
  <si>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</si>
  <si>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</si>
  <si>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</si>
  <si>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</si>
  <si>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</si>
  <si>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</si>
  <si>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</si>
  <si>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</si>
  <si>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</si>
  <si>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</si>
  <si>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</si>
  <si>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</si>
  <si>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</si>
  <si>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</si>
  <si>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</si>
  <si>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</si>
  <si>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</si>
  <si>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</si>
  <si>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</si>
  <si>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</si>
  <si>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</si>
  <si>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</si>
  <si>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</si>
  <si>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</si>
  <si>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</si>
  <si>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</si>
  <si>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</si>
  <si>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</si>
  <si>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</si>
  <si>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</si>
  <si>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</si>
  <si>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</si>
  <si>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</si>
  <si>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</si>
  <si>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</si>
  <si>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</si>
  <si>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</si>
  <si>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</si>
  <si>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</si>
  <si>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</si>
  <si>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</si>
  <si>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</si>
  <si>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</si>
  <si>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</si>
  <si>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</si>
  <si>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</si>
  <si>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</si>
  <si>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</si>
  <si>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</si>
  <si>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</si>
  <si>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</si>
  <si>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</si>
  <si>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</si>
  <si>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</si>
  <si>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</si>
  <si>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</si>
  <si>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</si>
  <si>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</si>
  <si>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</si>
  <si>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</si>
  <si>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</si>
  <si>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</si>
  <si>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</si>
  <si>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</si>
  <si>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</si>
  <si>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</si>
  <si>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</si>
  <si>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</si>
  <si>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</si>
  <si>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</si>
  <si>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</si>
  <si>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</si>
  <si>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</si>
  <si>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</si>
  <si>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</si>
  <si>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</si>
  <si>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</si>
  <si>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</si>
  <si>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</si>
  <si>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</si>
  <si>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</si>
  <si>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</si>
  <si>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</si>
  <si>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</si>
  <si>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</si>
  <si>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</si>
  <si>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</si>
  <si>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</si>
  <si>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</si>
  <si>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</si>
  <si>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</si>
  <si>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</si>
  <si>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</si>
  <si>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</si>
  <si>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</si>
  <si>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</si>
  <si>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</si>
  <si>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</si>
  <si>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</si>
  <si>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</si>
  <si>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</si>
  <si>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</si>
  <si>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</si>
  <si>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</si>
  <si>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</si>
  <si>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</si>
  <si>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</si>
  <si>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</si>
  <si>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</si>
  <si>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</si>
  <si>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</si>
  <si>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</si>
  <si>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</si>
  <si>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</si>
  <si>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</si>
  <si>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</si>
  <si>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</si>
  <si>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</si>
  <si>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</si>
  <si>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</si>
  <si>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</si>
  <si>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</si>
  <si>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</si>
  <si>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</si>
  <si>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</si>
  <si>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</si>
  <si>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</si>
  <si>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</si>
  <si>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</si>
  <si>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</si>
  <si>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</si>
  <si>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</si>
  <si>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</si>
  <si>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</si>
  <si>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</si>
  <si>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</si>
  <si>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</si>
  <si>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面积（估价对象）</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</si>
  <si>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</si>
  <si>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</si>
  <si>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</si>
  <si>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</si>
  <si>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</si>
  <si>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</si>
  <si>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</si>
  <si>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设定用途</t>
    </r>
    <phoneticPr fontId="5"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</si>
  <si>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</si>
  <si>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</si>
  <si>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</si>
  <si>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</si>
  <si>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</si>
  <si>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</si>
  <si>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</si>
  <si>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</si>
  <si>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</si>
  <si>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</si>
  <si>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</si>
  <si>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</si>
  <si>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</si>
  <si>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</si>
  <si>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</si>
  <si>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</si>
  <si>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</si>
  <si>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</si>
  <si>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</si>
  <si>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</si>
  <si>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</si>
  <si>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</si>
  <si>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</si>
  <si>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</si>
  <si>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</si>
  <si>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</si>
  <si>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</si>
  <si>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</si>
  <si>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</si>
  <si>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</si>
  <si>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</si>
  <si>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</si>
  <si>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</si>
  <si>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</si>
  <si>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</si>
  <si>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</si>
  <si>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</si>
  <si>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</si>
  <si>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</si>
  <si>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</si>
  <si>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</si>
  <si>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</si>
  <si>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</si>
  <si>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</si>
  <si>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</si>
  <si>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</si>
  <si>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</si>
  <si>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</si>
  <si>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</si>
  <si>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</si>
  <si>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</si>
  <si>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</si>
  <si>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</si>
  <si>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</si>
  <si>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</si>
  <si>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</si>
  <si>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</si>
  <si>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</si>
  <si>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</si>
  <si>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</si>
  <si>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</si>
  <si>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</si>
  <si>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</si>
  <si>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</si>
  <si>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</si>
  <si>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</si>
  <si>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</si>
  <si>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</si>
  <si>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</si>
  <si>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</si>
  <si>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</si>
  <si>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</si>
  <si>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</si>
  <si>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</si>
  <si>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</si>
  <si>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</si>
  <si>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</si>
  <si>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</si>
  <si>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</si>
  <si>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</si>
  <si>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</si>
  <si>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</si>
  <si>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</si>
  <si>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</si>
  <si>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</si>
  <si>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</si>
  <si>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</si>
  <si>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</si>
  <si>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</si>
  <si>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</si>
  <si>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</si>
  <si>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</si>
  <si>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</si>
  <si>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</si>
  <si>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</si>
  <si>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</si>
  <si>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0"/>
        <color rgb="FFFF0000"/>
        <rFont val="宋体"/>
        <family val="3"/>
        <charset val="134"/>
      </rPr>
      <t>范围：</t>
    </r>
    <r>
      <rPr>
        <sz val="10"/>
        <color rgb="FFFF0000"/>
        <rFont val="Arial"/>
        <family val="2"/>
      </rPr>
      <t>3%-5%</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</si>
  <si>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</si>
  <si>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</si>
  <si>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0"/>
        <color rgb="FFFF0000"/>
        <rFont val="宋体"/>
        <family val="3"/>
        <charset val="134"/>
      </rPr>
      <t>范围：</t>
    </r>
    <r>
      <rPr>
        <sz val="10"/>
        <color rgb="FFFF0000"/>
        <rFont val="Arial"/>
        <family val="2"/>
      </rPr>
      <t>0-10%</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</si>
  <si>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</si>
  <si>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</si>
  <si>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0"/>
        <color rgb="FFFF0000"/>
        <rFont val="宋体"/>
        <family val="3"/>
        <charset val="134"/>
      </rPr>
      <t>变化</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</si>
  <si>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</si>
  <si>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</si>
  <si>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0"/>
        <color rgb="FFFF0000"/>
        <rFont val="宋体"/>
        <family val="3"/>
        <charset val="134"/>
      </rPr>
      <t>定值：</t>
    </r>
    <r>
      <rPr>
        <sz val="10"/>
        <color rgb="FFFF0000"/>
        <rFont val="Arial"/>
        <family val="2"/>
      </rPr>
      <t>1.5%</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</si>
  <si>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</si>
  <si>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</si>
  <si>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sz val="10"/>
        <color rgb="FFFF0000"/>
        <rFont val="宋体"/>
        <family val="3"/>
        <charset val="134"/>
      </rPr>
      <t>范围：</t>
    </r>
    <r>
      <rPr>
        <sz val="10"/>
        <color rgb="FFFF0000"/>
        <rFont val="Arial"/>
        <family val="2"/>
      </rPr>
      <t>1%-3%</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</si>
  <si>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</si>
  <si>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</si>
  <si>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利息</t>
    </r>
    <phoneticPr fontId="5"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</si>
  <si>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</si>
  <si>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</si>
  <si>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</si>
  <si>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</si>
  <si>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</si>
  <si>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</si>
  <si>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</si>
  <si>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</si>
  <si>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</si>
  <si>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</si>
  <si>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</si>
  <si>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</si>
  <si>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</si>
  <si>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</si>
  <si>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</si>
  <si>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</si>
  <si>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</si>
  <si>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</si>
  <si>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</si>
  <si>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</si>
  <si>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</si>
  <si>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</si>
  <si>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</si>
  <si>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</si>
  <si>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</si>
  <si>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</si>
  <si>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</si>
  <si>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</si>
  <si>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</si>
  <si>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</si>
  <si>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</si>
  <si>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</si>
  <si>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</si>
  <si>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</si>
  <si>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</si>
  <si>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</si>
  <si>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</si>
  <si>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</si>
  <si>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</si>
  <si>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</si>
  <si>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</si>
  <si>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</si>
  <si>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</si>
  <si>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</si>
  <si>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</si>
  <si>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</si>
  <si>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</si>
  <si>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1"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</si>
  <si>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</si>
  <si>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</si>
  <si>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5" type="noConversion"/>
  </si>
  <si>
    <r>
      <rPr>
        <sz val="11"/>
        <color indexed="8"/>
        <rFont val="宋体"/>
        <family val="3"/>
        <charset val="134"/>
      </rPr>
      <t>商业繁华度</t>
    </r>
    <phoneticPr fontId="25" type="noConversion"/>
  </si>
  <si>
    <r>
      <rPr>
        <sz val="11"/>
        <color indexed="8"/>
        <rFont val="宋体"/>
        <family val="3"/>
        <charset val="134"/>
      </rPr>
      <t>交通便捷度</t>
    </r>
    <phoneticPr fontId="25" type="noConversion"/>
  </si>
  <si>
    <r>
      <rPr>
        <sz val="11"/>
        <color theme="9" tint="-0.249977111117893"/>
        <rFont val="宋体"/>
        <family val="3"/>
        <charset val="134"/>
      </rPr>
      <t>估价对象周边道路状况、公共交通通达情况、停车便捷程度，综合评价交通便捷度较好</t>
    </r>
    <phoneticPr fontId="36"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</si>
  <si>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</si>
  <si>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1" type="noConversion"/>
  </si>
  <si>
    <r>
      <rPr>
        <sz val="11"/>
        <color theme="9" tint="-0.249977111117893"/>
        <rFont val="宋体"/>
        <family val="3"/>
        <charset val="134"/>
      </rPr>
      <t>估价对象所在区域公共配套设施齐备情况</t>
    </r>
    <phoneticPr fontId="36"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</si>
  <si>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</si>
  <si>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</si>
  <si>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theme="9" tint="-0.249977111117893"/>
        <rFont val="宋体"/>
        <family val="3"/>
        <charset val="134"/>
      </rPr>
      <t>估价对象所在区域基础设施水平</t>
    </r>
    <phoneticPr fontId="21" type="noConversion"/>
  </si>
  <si>
    <r>
      <rPr>
        <sz val="11"/>
        <color indexed="8"/>
        <rFont val="宋体"/>
        <family val="3"/>
        <charset val="134"/>
      </rPr>
      <t>环境状况</t>
    </r>
    <phoneticPr fontId="25" type="noConversion"/>
  </si>
  <si>
    <r>
      <rPr>
        <sz val="11"/>
        <color theme="9" tint="-0.249977111117893"/>
        <rFont val="宋体"/>
        <family val="3"/>
        <charset val="134"/>
      </rPr>
      <t>该园区内是否有污染型企业，绿化情况，卫生条件，整体环境状况判断</t>
    </r>
    <phoneticPr fontId="5" type="noConversion"/>
  </si>
  <si>
    <r>
      <rPr>
        <sz val="11"/>
        <color indexed="8"/>
        <rFont val="宋体"/>
        <family val="3"/>
        <charset val="134"/>
      </rPr>
      <t>自然及人文环境</t>
    </r>
  </si>
  <si>
    <r>
      <rPr>
        <sz val="11"/>
        <color indexed="8"/>
        <rFont val="宋体"/>
        <family val="3"/>
        <charset val="134"/>
      </rPr>
      <t>毗邻道路的类型与等级</t>
    </r>
    <phoneticPr fontId="25"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</si>
  <si>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</si>
  <si>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</si>
  <si>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</si>
  <si>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5" type="noConversion"/>
  </si>
  <si>
    <r>
      <rPr>
        <b/>
        <sz val="11"/>
        <color indexed="8"/>
        <rFont val="宋体"/>
        <family val="3"/>
        <charset val="134"/>
      </rPr>
      <t>区位状况</t>
    </r>
    <phoneticPr fontId="21" type="noConversion"/>
  </si>
  <si>
    <r>
      <rPr>
        <sz val="11"/>
        <color indexed="8"/>
        <rFont val="宋体"/>
        <family val="3"/>
        <charset val="134"/>
      </rPr>
      <t>产业集聚程度</t>
    </r>
    <phoneticPr fontId="25" type="noConversion"/>
  </si>
  <si>
    <r>
      <rPr>
        <sz val="11"/>
        <color indexed="8"/>
        <rFont val="宋体"/>
        <family val="3"/>
        <charset val="134"/>
      </rPr>
      <t>区域土地利用方向</t>
    </r>
    <phoneticPr fontId="25"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</si>
  <si>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</si>
  <si>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</si>
  <si>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1" type="noConversion"/>
  </si>
  <si>
    <r>
      <rPr>
        <sz val="11"/>
        <color indexed="8"/>
        <rFont val="宋体"/>
        <family val="3"/>
        <charset val="134"/>
      </rPr>
      <t>临街状况</t>
    </r>
  </si>
  <si>
    <r>
      <rPr>
        <sz val="11"/>
        <color indexed="8"/>
        <rFont val="宋体"/>
        <family val="3"/>
        <charset val="134"/>
      </rPr>
      <t>土地级别</t>
    </r>
    <phoneticPr fontId="25"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</si>
  <si>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</si>
  <si>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</si>
  <si>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</si>
  <si>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</si>
  <si>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</si>
  <si>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</si>
  <si>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</si>
  <si>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</si>
  <si>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</si>
  <si>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</si>
  <si>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</si>
  <si>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</si>
  <si>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</si>
  <si>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</si>
  <si>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</si>
  <si>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</si>
  <si>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</si>
  <si>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</si>
  <si>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</si>
  <si>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</si>
  <si>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</si>
  <si>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</si>
  <si>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</si>
  <si>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</si>
  <si>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</si>
  <si>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</si>
  <si>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</si>
  <si>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</si>
  <si>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</si>
  <si>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</si>
  <si>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</si>
  <si>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</si>
  <si>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</si>
  <si>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</si>
  <si>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</si>
  <si>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</si>
  <si>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</si>
  <si>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</si>
  <si>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</si>
  <si>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</si>
  <si>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</si>
  <si>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</si>
  <si>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</si>
  <si>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</si>
  <si>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</si>
  <si>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</si>
  <si>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</si>
  <si>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</si>
  <si>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</si>
  <si>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</si>
  <si>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</si>
  <si>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</si>
  <si>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</si>
  <si>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</si>
  <si>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</si>
  <si>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</si>
  <si>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</si>
  <si>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</si>
  <si>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</si>
  <si>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</si>
  <si>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</si>
  <si>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</si>
  <si>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</si>
  <si>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</si>
  <si>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</si>
  <si>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</si>
  <si>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</si>
  <si>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</si>
  <si>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</si>
  <si>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</si>
  <si>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</si>
  <si>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</si>
  <si>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</si>
  <si>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</si>
  <si>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</si>
  <si>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</si>
  <si>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</si>
  <si>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</si>
  <si>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</si>
  <si>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</si>
  <si>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</si>
  <si>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</si>
  <si>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</si>
  <si>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</si>
  <si>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</si>
  <si>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</si>
  <si>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</si>
  <si>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</si>
  <si>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</si>
  <si>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</si>
  <si>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</si>
  <si>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</si>
  <si>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</si>
  <si>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</si>
  <si>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</si>
  <si>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</si>
  <si>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</si>
  <si>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</si>
  <si>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</si>
  <si>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</si>
  <si>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</si>
  <si>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</si>
  <si>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</si>
  <si>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</si>
  <si>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</si>
  <si>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</si>
  <si>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个人非住宅</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</si>
  <si>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</si>
  <si>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</si>
  <si>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</si>
  <si>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</si>
  <si>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</si>
  <si>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</si>
  <si>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</si>
  <si>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</si>
  <si>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</si>
  <si>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</si>
  <si>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</si>
  <si>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</si>
  <si>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</si>
  <si>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</si>
  <si>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</si>
  <si>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</si>
  <si>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</si>
  <si>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</si>
  <si>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</si>
  <si>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</si>
  <si>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</si>
  <si>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</si>
  <si>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</si>
  <si>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</si>
  <si>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</si>
  <si>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</si>
  <si>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</si>
  <si>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</si>
  <si>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</si>
  <si>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</si>
  <si>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</si>
  <si>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</si>
  <si>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</si>
  <si>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</si>
  <si>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</si>
  <si>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</si>
  <si>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</si>
  <si>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</si>
  <si>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</si>
  <si>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</si>
  <si>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</si>
  <si>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</si>
  <si>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</si>
  <si>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</si>
  <si>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</si>
  <si>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</si>
  <si>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</si>
  <si>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</si>
  <si>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</si>
  <si>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</si>
  <si>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</si>
  <si>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</si>
  <si>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</si>
  <si>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</si>
  <si>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</si>
  <si>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</si>
  <si>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</si>
  <si>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</si>
  <si>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</si>
  <si>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</si>
  <si>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9" type="noConversion"/>
  </si>
  <si>
    <r>
      <rPr>
        <b/>
        <sz val="12"/>
        <color indexed="8"/>
        <rFont val="宋体"/>
        <family val="3"/>
        <charset val="134"/>
      </rPr>
      <t>建筑面积（平方米）</t>
    </r>
    <phoneticPr fontId="9"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</si>
  <si>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</si>
  <si>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</si>
  <si>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t>1.</t>
    </r>
    <r>
      <rPr>
        <b/>
        <sz val="12"/>
        <color indexed="8"/>
        <rFont val="宋体"/>
        <family val="3"/>
        <charset val="134"/>
      </rPr>
      <t>房地产价值</t>
    </r>
    <phoneticPr fontId="9"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</si>
  <si>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</si>
  <si>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</si>
  <si>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</si>
  <si>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8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</si>
  <si>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</si>
  <si>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9"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</si>
  <si>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</si>
  <si>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</si>
  <si>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</si>
  <si>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抵押物名称</t>
    </r>
  </si>
  <si>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</si>
  <si>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</si>
  <si>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</si>
  <si>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</si>
  <si>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</si>
  <si>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</si>
  <si>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</si>
  <si>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</si>
  <si>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</si>
  <si>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</si>
  <si>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</si>
  <si>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</si>
  <si>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</si>
  <si>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</si>
  <si>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</si>
  <si>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</si>
  <si>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</si>
  <si>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</si>
  <si>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</si>
  <si>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</si>
  <si>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</si>
  <si>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</si>
  <si>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</si>
  <si>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</si>
  <si>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</si>
  <si>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</si>
  <si>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</si>
  <si>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</si>
  <si>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</si>
  <si>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</si>
  <si>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</si>
  <si>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</si>
  <si>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</si>
  <si>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</si>
  <si>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</si>
  <si>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</si>
  <si>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</si>
  <si>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</si>
  <si>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</si>
  <si>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</si>
  <si>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</si>
  <si>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</si>
  <si>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</si>
  <si>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</si>
  <si>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</si>
  <si>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sz val="10"/>
        <color indexed="8"/>
        <rFont val="宋体"/>
        <family val="3"/>
        <charset val="134"/>
      </rPr>
      <t>非个人房产</t>
    </r>
  </si>
  <si>
    <r>
      <rPr>
        <sz val="12"/>
        <color theme="1"/>
        <rFont val="宋体"/>
        <family val="3"/>
        <charset val="134"/>
      </rPr>
      <t>测算结果（典型户型）</t>
    </r>
    <phoneticPr fontId="92" type="noConversion"/>
  </si>
  <si>
    <r>
      <rPr>
        <sz val="12"/>
        <color theme="1"/>
        <rFont val="宋体"/>
        <family val="3"/>
        <charset val="134"/>
      </rPr>
      <t>评估价值（典型户型）</t>
    </r>
    <phoneticPr fontId="92" type="noConversion"/>
  </si>
  <si>
    <r>
      <rPr>
        <sz val="12"/>
        <color theme="1"/>
        <rFont val="宋体"/>
        <family val="3"/>
        <charset val="134"/>
      </rPr>
      <t>评估总值</t>
    </r>
    <phoneticPr fontId="92" type="noConversion"/>
  </si>
  <si>
    <r>
      <t>1</t>
    </r>
    <r>
      <rPr>
        <b/>
        <sz val="11"/>
        <color indexed="8"/>
        <rFont val="宋体"/>
        <family val="3"/>
        <charset val="134"/>
      </rPr>
      <t>房地产价值</t>
    </r>
    <phoneticPr fontId="80"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</si>
  <si>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</si>
  <si>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</si>
  <si>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</si>
  <si>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</si>
  <si>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建筑物价值</t>
    </r>
    <phoneticPr fontId="9"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</si>
  <si>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</si>
  <si>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</si>
  <si>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</si>
  <si>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</si>
  <si>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</si>
  <si>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</si>
  <si>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</si>
  <si>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</si>
  <si>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</si>
  <si>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</si>
  <si>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</si>
  <si>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</si>
  <si>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</si>
  <si>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</si>
  <si>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</si>
  <si>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</si>
  <si>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</si>
  <si>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</si>
  <si>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</si>
  <si>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</si>
  <si>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</si>
  <si>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</si>
  <si>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</si>
  <si>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</si>
  <si>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</si>
  <si>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</si>
  <si>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</si>
  <si>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</si>
  <si>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</si>
  <si>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</si>
  <si>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</si>
  <si>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</si>
  <si>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</si>
  <si>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</si>
  <si>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</si>
  <si>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</si>
  <si>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</si>
  <si>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</si>
  <si>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</si>
  <si>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</si>
  <si>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</si>
  <si>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</si>
  <si>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</si>
  <si>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</si>
  <si>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</si>
  <si>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</si>
  <si>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</si>
  <si>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</si>
  <si>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</si>
  <si>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</si>
  <si>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</si>
  <si>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</si>
  <si>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</si>
  <si>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</si>
  <si>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</si>
  <si>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</si>
  <si>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</si>
  <si>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</si>
  <si>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</si>
  <si>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</si>
  <si>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</si>
  <si>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</si>
  <si>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</si>
  <si>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</si>
  <si>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</si>
  <si>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</si>
  <si>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</si>
  <si>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</si>
  <si>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</si>
  <si>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</si>
  <si>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</si>
  <si>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</si>
  <si>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</si>
  <si>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</si>
  <si>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</si>
  <si>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</si>
  <si>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</si>
  <si>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</si>
  <si>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</si>
  <si>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</si>
  <si>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</si>
  <si>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</si>
  <si>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</si>
  <si>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</si>
  <si>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</si>
  <si>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</si>
  <si>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</si>
  <si>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</si>
  <si>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</si>
  <si>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</si>
  <si>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</si>
  <si>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</si>
  <si>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</si>
  <si>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</si>
  <si>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</si>
  <si>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</si>
  <si>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</si>
  <si>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</si>
  <si>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</si>
  <si>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</si>
  <si>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</si>
  <si>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</si>
  <si>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</si>
  <si>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</si>
  <si>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</si>
  <si>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</si>
  <si>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</si>
  <si>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</si>
  <si>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</si>
  <si>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</si>
  <si>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</si>
  <si>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</si>
  <si>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</si>
  <si>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</si>
  <si>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</si>
  <si>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</si>
  <si>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</si>
  <si>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</si>
  <si>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</si>
  <si>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</si>
  <si>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</si>
  <si>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</si>
  <si>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</si>
  <si>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</si>
  <si>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</si>
  <si>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</si>
  <si>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</si>
  <si>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</si>
  <si>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</si>
  <si>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</si>
  <si>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</si>
  <si>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</si>
  <si>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</si>
  <si>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</si>
  <si>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</si>
  <si>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</si>
  <si>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</si>
  <si>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</si>
  <si>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</si>
  <si>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</si>
  <si>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</si>
  <si>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</si>
  <si>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</si>
  <si>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</si>
  <si>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</si>
  <si>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</si>
  <si>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</si>
  <si>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</si>
  <si>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</si>
  <si>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</si>
  <si>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</si>
  <si>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</si>
  <si>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</si>
  <si>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</si>
  <si>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</si>
  <si>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</si>
  <si>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</si>
  <si>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</si>
  <si>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</si>
  <si>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</si>
  <si>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</si>
  <si>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</si>
  <si>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</si>
  <si>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</si>
  <si>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</si>
  <si>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</si>
  <si>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</si>
  <si>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</si>
  <si>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</si>
  <si>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</si>
  <si>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</si>
  <si>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</si>
  <si>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</si>
  <si>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</si>
  <si>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</si>
  <si>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</si>
  <si>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</si>
  <si>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</si>
  <si>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</si>
  <si>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</si>
  <si>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</si>
  <si>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</si>
  <si>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</si>
  <si>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</si>
  <si>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</si>
  <si>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</si>
  <si>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</si>
  <si>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</si>
  <si>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</si>
  <si>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</si>
  <si>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</si>
  <si>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</si>
  <si>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</si>
  <si>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</si>
  <si>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</si>
  <si>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</si>
  <si>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</si>
  <si>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</si>
  <si>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</si>
  <si>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</si>
  <si>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</si>
  <si>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</si>
  <si>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</si>
  <si>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</si>
  <si>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</si>
  <si>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</si>
  <si>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</si>
  <si>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</si>
  <si>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</si>
  <si>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</si>
  <si>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</si>
  <si>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</si>
  <si>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</si>
  <si>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</si>
  <si>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</si>
  <si>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</si>
  <si>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</si>
  <si>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</si>
  <si>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</si>
  <si>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</si>
  <si>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</si>
  <si>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</si>
  <si>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</si>
  <si>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</si>
  <si>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</si>
  <si>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</si>
  <si>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</si>
  <si>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</si>
  <si>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</si>
  <si>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</si>
  <si>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</si>
  <si>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</si>
  <si>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</si>
  <si>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</si>
  <si>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</si>
  <si>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</si>
  <si>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</si>
  <si>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</si>
  <si>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</si>
  <si>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</si>
  <si>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</si>
  <si>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</si>
  <si>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</si>
  <si>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</si>
  <si>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</si>
  <si>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</si>
  <si>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</si>
  <si>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</si>
  <si>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</si>
  <si>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</si>
  <si>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</si>
  <si>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</si>
  <si>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</si>
  <si>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</si>
  <si>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</si>
  <si>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</si>
  <si>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</si>
  <si>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</si>
  <si>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</si>
  <si>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rFont val="宋体"/>
        <family val="3"/>
        <charset val="134"/>
      </rPr>
      <t>收益期（按照规范取最低值）</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</si>
  <si>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</si>
  <si>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</si>
  <si>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</si>
  <si>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</si>
  <si>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</si>
  <si>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</si>
  <si>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</si>
  <si>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</si>
  <si>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</si>
  <si>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</si>
  <si>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</si>
  <si>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</si>
  <si>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</si>
  <si>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</si>
  <si>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</si>
  <si>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</si>
  <si>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</si>
  <si>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</si>
  <si>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</si>
  <si>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</si>
  <si>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</si>
  <si>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</si>
  <si>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</si>
  <si>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</si>
  <si>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</si>
  <si>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</si>
  <si>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</si>
  <si>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</si>
  <si>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</si>
  <si>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</si>
  <si>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</si>
  <si>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</si>
  <si>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</si>
  <si>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</si>
  <si>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</si>
  <si>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</si>
  <si>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</si>
  <si>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</si>
  <si>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</si>
  <si>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</si>
  <si>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</si>
  <si>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</si>
  <si>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</si>
  <si>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</si>
  <si>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</si>
  <si>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</si>
  <si>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</si>
  <si>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</si>
  <si>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</si>
  <si>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</si>
  <si>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</si>
  <si>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</si>
  <si>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</si>
  <si>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</si>
  <si>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</si>
  <si>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</si>
  <si>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</si>
  <si>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</si>
  <si>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</si>
  <si>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</si>
  <si>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</si>
  <si>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</si>
  <si>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</si>
  <si>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</si>
  <si>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</si>
  <si>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</si>
  <si>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</si>
  <si>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</si>
  <si>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</si>
  <si>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</si>
  <si>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</si>
  <si>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</si>
  <si>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</si>
  <si>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</si>
  <si>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</si>
  <si>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</si>
  <si>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</si>
  <si>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</si>
  <si>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</si>
  <si>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</si>
  <si>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</si>
  <si>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</si>
  <si>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</si>
  <si>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</si>
  <si>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</si>
  <si>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</si>
  <si>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</si>
  <si>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</si>
  <si>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</si>
  <si>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</si>
  <si>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</si>
  <si>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</si>
  <si>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</si>
  <si>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</si>
  <si>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</si>
  <si>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</si>
  <si>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</si>
  <si>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</si>
  <si>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</si>
  <si>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</si>
  <si>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</si>
  <si>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</si>
  <si>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</si>
  <si>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</si>
  <si>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</si>
  <si>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</si>
  <si>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</si>
  <si>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</si>
  <si>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</si>
  <si>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</si>
  <si>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</si>
  <si>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</si>
  <si>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</si>
  <si>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</si>
  <si>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</si>
  <si>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</si>
  <si>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</si>
  <si>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</si>
  <si>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</si>
  <si>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</si>
  <si>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</si>
  <si>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</si>
  <si>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</si>
  <si>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</si>
  <si>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</si>
  <si>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</si>
  <si>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</si>
  <si>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</si>
  <si>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</si>
  <si>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</si>
  <si>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</si>
  <si>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</si>
  <si>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</si>
  <si>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</si>
  <si>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</si>
  <si>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</si>
  <si>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</si>
  <si>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</si>
  <si>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</si>
  <si>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</si>
  <si>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</si>
  <si>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</si>
  <si>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</si>
  <si>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</si>
  <si>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</si>
  <si>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</si>
  <si>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</si>
  <si>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</si>
  <si>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</si>
  <si>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</si>
  <si>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</si>
  <si>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</si>
  <si>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</si>
  <si>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</si>
  <si>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</si>
  <si>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</si>
  <si>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</si>
  <si>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</si>
  <si>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</si>
  <si>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</si>
  <si>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</si>
  <si>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</si>
  <si>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</si>
  <si>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</si>
  <si>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</si>
  <si>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</si>
  <si>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</si>
  <si>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</si>
  <si>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</si>
  <si>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</si>
  <si>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</si>
  <si>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</si>
  <si>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</si>
  <si>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</si>
  <si>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</si>
  <si>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</si>
  <si>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</si>
  <si>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</si>
  <si>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</si>
  <si>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</si>
  <si>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</si>
  <si>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</si>
  <si>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</si>
  <si>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</si>
  <si>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</si>
  <si>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</si>
  <si>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</si>
  <si>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</si>
  <si>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</si>
  <si>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</si>
  <si>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</si>
  <si>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</si>
  <si>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</si>
  <si>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</si>
  <si>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</si>
  <si>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</si>
  <si>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</si>
  <si>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</si>
  <si>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</si>
  <si>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</si>
  <si>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</si>
  <si>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</si>
  <si>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</si>
  <si>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</si>
  <si>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</si>
  <si>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</si>
  <si>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</si>
  <si>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</si>
  <si>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</si>
  <si>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</si>
  <si>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</si>
  <si>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</si>
  <si>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</si>
  <si>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</si>
  <si>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</si>
  <si>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</si>
  <si>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</si>
  <si>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</si>
  <si>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</si>
  <si>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</si>
  <si>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</si>
  <si>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</si>
  <si>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</si>
  <si>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</si>
  <si>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</si>
  <si>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</si>
  <si>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</si>
  <si>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</si>
  <si>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</si>
  <si>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</si>
  <si>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</si>
  <si>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</si>
  <si>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</si>
  <si>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</si>
  <si>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</si>
  <si>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</si>
  <si>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</si>
  <si>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6" type="noConversion"/>
  </si>
  <si>
    <r>
      <rPr>
        <sz val="11"/>
        <rFont val="宋体"/>
        <family val="3"/>
        <charset val="134"/>
      </rPr>
      <t>好</t>
    </r>
  </si>
  <si>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</si>
  <si>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</si>
  <si>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</si>
  <si>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</si>
  <si>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</si>
  <si>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</si>
  <si>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</si>
  <si>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</si>
  <si>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</si>
  <si>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</si>
  <si>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</si>
  <si>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</si>
  <si>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</si>
  <si>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</si>
  <si>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</si>
  <si>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</si>
  <si>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</si>
  <si>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</si>
  <si>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</si>
  <si>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</si>
  <si>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</si>
  <si>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</si>
  <si>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</si>
  <si>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</si>
  <si>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</si>
  <si>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</si>
  <si>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</si>
  <si>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</si>
  <si>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</si>
  <si>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</si>
  <si>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</si>
  <si>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</si>
  <si>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</si>
  <si>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</si>
  <si>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</si>
  <si>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</si>
  <si>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</si>
  <si>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</si>
  <si>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</si>
  <si>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</si>
  <si>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</si>
  <si>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</si>
  <si>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</si>
  <si>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</si>
  <si>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</si>
  <si>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</si>
  <si>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</si>
  <si>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</si>
  <si>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</si>
  <si>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</si>
  <si>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</si>
  <si>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</si>
  <si>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</si>
  <si>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</si>
  <si>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</si>
  <si>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</si>
  <si>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</si>
  <si>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</si>
  <si>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</si>
  <si>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</si>
  <si>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</si>
  <si>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</si>
  <si>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</si>
  <si>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</si>
  <si>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</si>
  <si>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</si>
  <si>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</si>
  <si>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</si>
  <si>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</si>
  <si>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</si>
  <si>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</si>
  <si>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</si>
  <si>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</si>
  <si>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</si>
  <si>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</si>
  <si>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</si>
  <si>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</si>
  <si>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</si>
  <si>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</si>
  <si>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</si>
  <si>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</si>
  <si>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</si>
  <si>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</si>
  <si>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</si>
  <si>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</si>
  <si>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</si>
  <si>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</si>
  <si>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</si>
  <si>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</si>
  <si>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</si>
  <si>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</si>
  <si>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</si>
  <si>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</si>
  <si>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</si>
  <si>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</si>
  <si>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</si>
  <si>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</si>
  <si>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</si>
  <si>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</si>
  <si>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</si>
  <si>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</si>
  <si>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</si>
  <si>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</si>
  <si>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</si>
  <si>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</si>
  <si>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</si>
  <si>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</si>
  <si>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</si>
  <si>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</si>
  <si>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</si>
  <si>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</si>
  <si>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</si>
  <si>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</si>
  <si>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</si>
  <si>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</si>
  <si>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</si>
  <si>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</si>
  <si>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</si>
  <si>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</si>
  <si>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</si>
  <si>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</si>
  <si>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</si>
  <si>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</si>
  <si>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</si>
  <si>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</si>
  <si>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</si>
  <si>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</si>
  <si>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</si>
  <si>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</si>
  <si>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</si>
  <si>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</si>
  <si>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</si>
  <si>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</si>
  <si>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</si>
  <si>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</si>
  <si>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</si>
  <si>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</si>
  <si>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</si>
  <si>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</si>
  <si>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</si>
  <si>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</si>
  <si>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</si>
  <si>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</si>
  <si>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</si>
  <si>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</si>
  <si>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</si>
  <si>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</si>
  <si>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</si>
  <si>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</si>
  <si>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</si>
  <si>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</si>
  <si>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</si>
  <si>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</si>
  <si>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</si>
  <si>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</si>
  <si>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</si>
  <si>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</si>
  <si>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</si>
  <si>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</si>
  <si>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</si>
  <si>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</si>
  <si>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</si>
  <si>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</si>
  <si>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</si>
  <si>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</si>
  <si>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</si>
  <si>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</si>
  <si>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</si>
  <si>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</si>
  <si>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</si>
  <si>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</si>
  <si>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</si>
  <si>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</si>
  <si>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</si>
  <si>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</si>
  <si>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</si>
  <si>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</si>
  <si>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</si>
  <si>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</si>
  <si>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</si>
  <si>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对应的开发费</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</si>
  <si>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</si>
  <si>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</si>
  <si>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</si>
  <si>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</si>
  <si>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</si>
  <si>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</si>
  <si>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</si>
  <si>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</si>
  <si>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</si>
  <si>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</si>
  <si>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</si>
  <si>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</si>
  <si>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</si>
  <si>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</si>
  <si>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</si>
  <si>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</si>
  <si>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</si>
  <si>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</si>
  <si>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</si>
  <si>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</si>
  <si>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</si>
  <si>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</si>
  <si>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</si>
  <si>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</si>
  <si>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</si>
  <si>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</si>
  <si>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</si>
  <si>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</si>
  <si>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</si>
  <si>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</si>
  <si>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</si>
  <si>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</si>
  <si>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</si>
  <si>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</si>
  <si>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</si>
  <si>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</si>
  <si>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</si>
  <si>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</si>
  <si>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</si>
  <si>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</si>
  <si>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</si>
  <si>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</si>
  <si>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</si>
  <si>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</si>
  <si>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</si>
  <si>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</si>
  <si>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</si>
  <si>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</si>
  <si>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</si>
  <si>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</si>
  <si>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</si>
  <si>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</si>
  <si>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</si>
  <si>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</si>
  <si>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</si>
  <si>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</si>
  <si>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</si>
  <si>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</si>
  <si>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</si>
  <si>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</si>
  <si>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</si>
  <si>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</si>
  <si>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</si>
  <si>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</si>
  <si>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</si>
  <si>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</si>
  <si>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</si>
  <si>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</si>
  <si>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</si>
  <si>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</si>
  <si>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</si>
  <si>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</si>
  <si>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</si>
  <si>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</si>
  <si>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</si>
  <si>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</si>
  <si>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</si>
  <si>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</si>
  <si>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</si>
  <si>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</si>
  <si>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</si>
  <si>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</si>
  <si>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</si>
  <si>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</si>
  <si>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</si>
  <si>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</si>
  <si>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</si>
  <si>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</si>
  <si>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</si>
  <si>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</si>
  <si>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</si>
  <si>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</si>
  <si>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</si>
  <si>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</si>
  <si>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</si>
  <si>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</si>
  <si>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</si>
  <si>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</si>
  <si>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</si>
  <si>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</si>
  <si>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</si>
  <si>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</si>
  <si>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</si>
  <si>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</si>
  <si>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</si>
  <si>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</si>
  <si>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</si>
  <si>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</si>
  <si>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</si>
  <si>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</si>
  <si>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</si>
  <si>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</si>
  <si>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</si>
  <si>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</si>
  <si>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</si>
  <si>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</si>
  <si>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</si>
  <si>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</si>
  <si>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</si>
  <si>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</si>
  <si>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</si>
  <si>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合计部分请自行录入公式，很重要，与C32结果相关</t>
    <phoneticPr fontId="9" type="noConversion"/>
  </si>
  <si>
    <t>合计部分请自行录入公式，很重要。</t>
    <phoneticPr fontId="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</si>
  <si>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</si>
  <si>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</si>
  <si>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</si>
  <si>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</si>
  <si>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</si>
  <si>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</si>
  <si>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2018-1</t>
    <phoneticPr fontId="5" type="noConversion"/>
  </si>
  <si>
    <t>白景生</t>
    <phoneticPr fontId="82" type="noConversion"/>
  </si>
  <si>
    <t>欧红伟</t>
  </si>
  <si>
    <t>崔锴</t>
  </si>
  <si>
    <t>农商行</t>
    <phoneticPr fontId="8" type="noConversion"/>
  </si>
  <si>
    <t>核定资产</t>
  </si>
  <si>
    <t>房地产市场价值</t>
  </si>
  <si>
    <t>北京市</t>
  </si>
  <si>
    <t>企业</t>
  </si>
  <si>
    <t>办公</t>
  </si>
  <si>
    <t>商务金融用地（办公类）</t>
  </si>
  <si>
    <t>不临58条商业街</t>
  </si>
  <si>
    <t>五通一平</t>
  </si>
  <si>
    <t>缺少</t>
  </si>
  <si>
    <t>通热</t>
  </si>
  <si>
    <t>燃气</t>
  </si>
  <si>
    <t>按公示增长率计算</t>
  </si>
  <si>
    <t>办公</t>
    <phoneticPr fontId="8" type="noConversion"/>
  </si>
  <si>
    <t>否</t>
  </si>
  <si>
    <t>元</t>
  </si>
  <si>
    <t>估价对象</t>
  </si>
  <si>
    <t>钢混</t>
  </si>
  <si>
    <t>非生产用房</t>
  </si>
  <si>
    <t>划拨</t>
    <phoneticPr fontId="8" type="noConversion"/>
  </si>
  <si>
    <t>押一</t>
  </si>
  <si>
    <t>按租金收入计税</t>
  </si>
  <si>
    <t>售价</t>
  </si>
  <si>
    <t>售价</t>
    <phoneticPr fontId="147" type="noConversion"/>
  </si>
  <si>
    <t>A</t>
    <phoneticPr fontId="147" type="noConversion"/>
  </si>
  <si>
    <t>B</t>
    <phoneticPr fontId="147" type="noConversion"/>
  </si>
  <si>
    <t>C</t>
    <phoneticPr fontId="147" type="noConversion"/>
  </si>
  <si>
    <t>修正单价</t>
    <phoneticPr fontId="147" type="noConversion"/>
  </si>
  <si>
    <t>修正系数</t>
    <phoneticPr fontId="147" type="noConversion"/>
  </si>
  <si>
    <t>建筑面积</t>
    <phoneticPr fontId="147" type="noConversion"/>
  </si>
  <si>
    <t>楼层</t>
    <phoneticPr fontId="147" type="noConversion"/>
  </si>
  <si>
    <t>高区</t>
  </si>
  <si>
    <t>高区</t>
    <phoneticPr fontId="147" type="noConversion"/>
  </si>
  <si>
    <t>低区</t>
  </si>
  <si>
    <t>低区</t>
    <phoneticPr fontId="147" type="noConversion"/>
  </si>
  <si>
    <t>建成年代</t>
    <phoneticPr fontId="147" type="noConversion"/>
  </si>
  <si>
    <t>项目名称</t>
    <phoneticPr fontId="147" type="noConversion"/>
  </si>
  <si>
    <t>大恒科技大厦</t>
    <phoneticPr fontId="147" type="noConversion"/>
  </si>
  <si>
    <t>银科大厦</t>
    <phoneticPr fontId="147" type="noConversion"/>
  </si>
  <si>
    <t>1+1大厦</t>
    <phoneticPr fontId="147" type="noConversion"/>
  </si>
  <si>
    <t>成新度</t>
    <phoneticPr fontId="147" type="noConversion"/>
  </si>
  <si>
    <t>剩余年限</t>
    <phoneticPr fontId="147" type="noConversion"/>
  </si>
  <si>
    <t>海兴大厦</t>
    <phoneticPr fontId="5" type="noConversion"/>
  </si>
  <si>
    <t>办公</t>
    <phoneticPr fontId="27" type="noConversion"/>
  </si>
  <si>
    <t>30-40（含）</t>
  </si>
  <si>
    <t>七通</t>
  </si>
  <si>
    <t>较好</t>
    <phoneticPr fontId="21" type="noConversion"/>
  </si>
  <si>
    <t>较好</t>
    <phoneticPr fontId="36" type="noConversion"/>
  </si>
  <si>
    <t>七通</t>
    <phoneticPr fontId="21" type="noConversion"/>
  </si>
  <si>
    <r>
      <rPr>
        <sz val="11"/>
        <rFont val="宋体"/>
        <family val="3"/>
        <charset val="134"/>
      </rPr>
      <t>主干道</t>
    </r>
    <r>
      <rPr>
        <sz val="11"/>
        <rFont val="Arial"/>
        <family val="2"/>
      </rPr>
      <t>-</t>
    </r>
    <r>
      <rPr>
        <sz val="11"/>
        <rFont val="宋体"/>
        <family val="3"/>
        <charset val="134"/>
      </rPr>
      <t>苏州街</t>
    </r>
    <phoneticPr fontId="27" type="noConversion"/>
  </si>
  <si>
    <t>高速公路</t>
    <phoneticPr fontId="27" type="noConversion"/>
  </si>
  <si>
    <t>城市快速路</t>
    <phoneticPr fontId="27" type="noConversion"/>
  </si>
  <si>
    <t>城市主干道</t>
  </si>
  <si>
    <t>城市主干道</t>
    <phoneticPr fontId="27" type="noConversion"/>
  </si>
  <si>
    <t>城市次干道</t>
  </si>
  <si>
    <t>城市次干道</t>
    <phoneticPr fontId="27" type="noConversion"/>
  </si>
  <si>
    <t>城市支路</t>
    <phoneticPr fontId="27" type="noConversion"/>
  </si>
  <si>
    <t>高区</t>
    <phoneticPr fontId="27" type="noConversion"/>
  </si>
  <si>
    <t>中区</t>
    <phoneticPr fontId="27" type="noConversion"/>
  </si>
  <si>
    <t>低区</t>
    <phoneticPr fontId="27" type="noConversion"/>
  </si>
  <si>
    <r>
      <rPr>
        <sz val="11"/>
        <rFont val="宋体"/>
        <family val="3"/>
        <charset val="134"/>
      </rPr>
      <t>次干道</t>
    </r>
    <r>
      <rPr>
        <sz val="11"/>
        <rFont val="Arial"/>
        <family val="2"/>
      </rPr>
      <t>-</t>
    </r>
    <r>
      <rPr>
        <sz val="11"/>
        <rFont val="宋体"/>
        <family val="3"/>
        <charset val="134"/>
      </rPr>
      <t>丹棱街</t>
    </r>
    <phoneticPr fontId="27" type="noConversion"/>
  </si>
  <si>
    <r>
      <rPr>
        <sz val="11"/>
        <rFont val="宋体"/>
        <family val="3"/>
        <charset val="134"/>
      </rPr>
      <t>次干道</t>
    </r>
    <r>
      <rPr>
        <sz val="11"/>
        <rFont val="Arial"/>
        <family val="2"/>
      </rPr>
      <t>-</t>
    </r>
    <r>
      <rPr>
        <sz val="11"/>
        <rFont val="宋体"/>
        <family val="3"/>
        <charset val="134"/>
      </rPr>
      <t>彩和坊路</t>
    </r>
    <phoneticPr fontId="27" type="noConversion"/>
  </si>
  <si>
    <t>标准写字楼</t>
  </si>
  <si>
    <t>标准写字楼</t>
    <phoneticPr fontId="27" type="noConversion"/>
  </si>
  <si>
    <t>精装修</t>
  </si>
  <si>
    <t>精装修</t>
    <phoneticPr fontId="27" type="noConversion"/>
  </si>
  <si>
    <t>普通装修</t>
  </si>
  <si>
    <t>普通装修</t>
    <phoneticPr fontId="27" type="noConversion"/>
  </si>
  <si>
    <t>简单装修</t>
    <phoneticPr fontId="27" type="noConversion"/>
  </si>
  <si>
    <t>毛坯</t>
    <phoneticPr fontId="27" type="noConversion"/>
  </si>
  <si>
    <t>甲级写字楼</t>
  </si>
  <si>
    <t>甲级写字楼</t>
    <phoneticPr fontId="27" type="noConversion"/>
  </si>
  <si>
    <t>专业</t>
  </si>
  <si>
    <t>专业</t>
    <phoneticPr fontId="27" type="noConversion"/>
  </si>
  <si>
    <t>六通</t>
  </si>
  <si>
    <t>五通</t>
  </si>
  <si>
    <t>四通</t>
  </si>
  <si>
    <t>三通</t>
  </si>
  <si>
    <t>标准层高</t>
  </si>
  <si>
    <t>标准层高</t>
    <phoneticPr fontId="27" type="noConversion"/>
  </si>
  <si>
    <t>300-500</t>
    <phoneticPr fontId="27" type="noConversion"/>
  </si>
  <si>
    <t>0-300</t>
    <phoneticPr fontId="27" type="noConversion"/>
  </si>
  <si>
    <t>500-1000</t>
    <phoneticPr fontId="27" type="noConversion"/>
  </si>
  <si>
    <t>1000-3000</t>
    <phoneticPr fontId="27" type="noConversion"/>
  </si>
  <si>
    <t>钢混</t>
    <phoneticPr fontId="27" type="noConversion"/>
  </si>
  <si>
    <t>0-300</t>
    <phoneticPr fontId="27" type="noConversion"/>
  </si>
  <si>
    <t>比较法-办公</t>
  </si>
  <si>
    <t>收益法</t>
  </si>
  <si>
    <t>正常操作</t>
  </si>
  <si>
    <t>300-500</t>
    <phoneticPr fontId="27" type="noConversion"/>
  </si>
  <si>
    <t>2018-1-0418-P01HDZC1</t>
    <phoneticPr fontId="8" type="noConversion"/>
  </si>
  <si>
    <t>无租约</t>
  </si>
  <si>
    <t>设定收益年期(n)</t>
  </si>
  <si>
    <t>40-50（含）</t>
  </si>
  <si>
    <t>权属不清</t>
    <phoneticPr fontId="27" type="noConversion"/>
  </si>
  <si>
    <t>有</t>
    <phoneticPr fontId="27" type="noConversion"/>
  </si>
  <si>
    <t>无</t>
    <phoneticPr fontId="27" type="noConversion"/>
  </si>
  <si>
    <t>估价对象1（结果表）</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</si>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</sst>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yyyy&quot;年&quot;m&quot;月&quot;d&quot;日&quot;;@"/>
    <numFmt numFmtId="195" formatCode="0_ ;[Red]\-0\ "/>
    <numFmt numFmtId="196" formatCode="yyyy/m/d;@"/>
  </numFmts>
  <fonts count="262">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1"/>
      <name val="Tahoma"/>
      <family val="2"/>
    </font>
    <font>
      <u/>
      <sz val="13.8"/>
      <color indexed="12"/>
      <name val="宋体"/>
      <family val="3"/>
      <charset val="134"/>
    </font>
    <font>
      <sz val="11"/>
      <color indexed="8"/>
      <name val="Tahoma"/>
      <family val="2"/>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sz val="10"/>
      <name val="MS Sans Serif"/>
      <family val="2"/>
    </font>
  </fonts>
  <fills count="4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bgColor indexed="64"/>
      </patternFill>
    </fill>
    <fill>
      <patternFill patternType="solid">
        <fgColor theme="8"/>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90">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0" fontId="2" fillId="0" borderId="0">
      <alignment vertical="center"/>
    </xf>
    <xf numFmtId="193" fontId="94" fillId="0" borderId="0">
      <alignment vertical="center"/>
    </xf>
    <xf numFmtId="193" fontId="94" fillId="0" borderId="0"/>
    <xf numFmtId="193" fontId="31" fillId="0" borderId="0"/>
    <xf numFmtId="193" fontId="94" fillId="0" borderId="0">
      <alignment vertical="center"/>
    </xf>
    <xf numFmtId="193" fontId="244" fillId="0" borderId="0">
      <alignment vertical="center"/>
    </xf>
    <xf numFmtId="9" fontId="31" fillId="0" borderId="0" applyFont="0" applyFill="0" applyBorder="0" applyAlignment="0" applyProtection="0">
      <alignment vertical="center"/>
    </xf>
    <xf numFmtId="193" fontId="31" fillId="0" borderId="0">
      <alignment vertical="center"/>
    </xf>
    <xf numFmtId="193" fontId="94" fillId="0" borderId="0">
      <alignment vertical="center"/>
    </xf>
    <xf numFmtId="193" fontId="245" fillId="0" borderId="0" applyNumberFormat="0" applyFill="0" applyBorder="0" applyAlignment="0" applyProtection="0">
      <alignment vertical="top"/>
      <protection locked="0"/>
    </xf>
    <xf numFmtId="9" fontId="94" fillId="0" borderId="0" applyFont="0" applyFill="0" applyBorder="0" applyAlignment="0" applyProtection="0">
      <alignment vertical="center"/>
    </xf>
    <xf numFmtId="193" fontId="94" fillId="0" borderId="0"/>
    <xf numFmtId="193" fontId="94" fillId="0" borderId="0">
      <alignment vertical="center"/>
    </xf>
    <xf numFmtId="0" fontId="94" fillId="0" borderId="0">
      <alignment vertical="center"/>
    </xf>
    <xf numFmtId="0" fontId="94" fillId="0" borderId="0">
      <alignment vertical="center"/>
    </xf>
    <xf numFmtId="0" fontId="31" fillId="0" borderId="0">
      <alignment vertical="center"/>
    </xf>
    <xf numFmtId="181" fontId="31" fillId="0" borderId="0" applyFont="0" applyFill="0" applyBorder="0" applyAlignment="0" applyProtection="0">
      <alignment vertical="center"/>
    </xf>
    <xf numFmtId="0" fontId="136" fillId="0" borderId="0">
      <alignment vertical="center"/>
    </xf>
    <xf numFmtId="0" fontId="94" fillId="0" borderId="0"/>
    <xf numFmtId="0" fontId="31" fillId="0" borderId="0"/>
    <xf numFmtId="9" fontId="136" fillId="0" borderId="0" applyFont="0" applyFill="0" applyBorder="0" applyAlignment="0" applyProtection="0">
      <alignment vertical="center"/>
    </xf>
    <xf numFmtId="0" fontId="1"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136" fillId="0" borderId="0" applyFont="0" applyFill="0" applyBorder="0" applyAlignment="0" applyProtection="0">
      <alignment vertical="center"/>
    </xf>
    <xf numFmtId="9" fontId="136" fillId="0" borderId="0" applyFont="0" applyFill="0" applyBorder="0" applyAlignment="0" applyProtection="0">
      <alignment vertical="center"/>
    </xf>
    <xf numFmtId="0" fontId="136"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36" fillId="0" borderId="0">
      <alignment vertical="center"/>
    </xf>
    <xf numFmtId="0" fontId="31" fillId="0" borderId="0">
      <alignment vertical="center"/>
    </xf>
    <xf numFmtId="0" fontId="31" fillId="0" borderId="0">
      <alignment vertical="center"/>
    </xf>
    <xf numFmtId="0" fontId="31" fillId="0" borderId="0">
      <alignment vertical="center"/>
    </xf>
    <xf numFmtId="0" fontId="136" fillId="0" borderId="0">
      <alignment vertical="center"/>
    </xf>
    <xf numFmtId="180" fontId="136" fillId="0" borderId="0">
      <alignment vertical="center"/>
    </xf>
    <xf numFmtId="181" fontId="136" fillId="0" borderId="0">
      <alignment vertical="center"/>
    </xf>
    <xf numFmtId="181" fontId="136" fillId="0" borderId="0">
      <alignment vertical="center"/>
    </xf>
    <xf numFmtId="180" fontId="136" fillId="0" borderId="0">
      <alignment vertical="center"/>
    </xf>
    <xf numFmtId="181" fontId="136" fillId="0" borderId="0">
      <alignment vertical="center"/>
    </xf>
    <xf numFmtId="180" fontId="136" fillId="0" borderId="0">
      <alignment vertical="center"/>
    </xf>
    <xf numFmtId="181" fontId="136" fillId="0" borderId="0">
      <alignment vertical="center"/>
    </xf>
    <xf numFmtId="0" fontId="136" fillId="0" borderId="0">
      <alignment vertical="center"/>
    </xf>
    <xf numFmtId="0" fontId="9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189" fontId="136" fillId="0" borderId="0">
      <alignment vertical="center"/>
    </xf>
    <xf numFmtId="0" fontId="31" fillId="0" borderId="0">
      <alignment vertical="center"/>
    </xf>
    <xf numFmtId="0" fontId="31" fillId="0" borderId="0">
      <alignment vertical="center"/>
    </xf>
    <xf numFmtId="0" fontId="136"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180" fontId="136" fillId="0" borderId="0">
      <alignment vertical="center"/>
    </xf>
    <xf numFmtId="0" fontId="31" fillId="0" borderId="0">
      <alignment vertical="center"/>
    </xf>
    <xf numFmtId="0" fontId="31" fillId="0" borderId="0">
      <alignment vertical="center"/>
    </xf>
    <xf numFmtId="181" fontId="136" fillId="0" borderId="0">
      <alignment vertical="center"/>
    </xf>
    <xf numFmtId="0" fontId="31" fillId="0" borderId="0">
      <alignment vertical="center"/>
    </xf>
    <xf numFmtId="180" fontId="136" fillId="0" borderId="0">
      <alignment vertical="center"/>
    </xf>
    <xf numFmtId="189" fontId="136" fillId="0" borderId="0">
      <alignment vertical="center"/>
    </xf>
    <xf numFmtId="180" fontId="246" fillId="0" borderId="0">
      <alignment vertical="center"/>
    </xf>
    <xf numFmtId="0" fontId="31" fillId="0" borderId="0">
      <alignment vertical="center"/>
    </xf>
    <xf numFmtId="0" fontId="31" fillId="0" borderId="0">
      <alignment vertical="center"/>
    </xf>
    <xf numFmtId="0" fontId="136" fillId="0" borderId="0">
      <alignment vertical="center"/>
    </xf>
    <xf numFmtId="176" fontId="31" fillId="0" borderId="0" applyFont="0" applyFill="0" applyBorder="0" applyAlignment="0" applyProtection="0">
      <alignment vertical="center"/>
    </xf>
    <xf numFmtId="43" fontId="136" fillId="0" borderId="0" applyFont="0" applyFill="0" applyBorder="0" applyAlignment="0" applyProtection="0">
      <alignment vertical="center"/>
    </xf>
    <xf numFmtId="43" fontId="136" fillId="0" borderId="0" applyFont="0" applyFill="0" applyBorder="0" applyAlignment="0" applyProtection="0">
      <alignment vertical="center"/>
    </xf>
    <xf numFmtId="176" fontId="136" fillId="0" borderId="0" applyFont="0" applyFill="0" applyBorder="0" applyAlignment="0" applyProtection="0">
      <alignment vertical="center"/>
    </xf>
    <xf numFmtId="0" fontId="31" fillId="0" borderId="0">
      <alignment vertical="center"/>
    </xf>
    <xf numFmtId="184" fontId="1" fillId="0" borderId="0" applyFont="0" applyFill="0" applyBorder="0" applyAlignment="0" applyProtection="0">
      <alignment vertical="center"/>
    </xf>
    <xf numFmtId="184" fontId="31" fillId="0" borderId="0" applyFont="0" applyFill="0" applyBorder="0" applyAlignment="0" applyProtection="0">
      <alignment vertical="center"/>
    </xf>
    <xf numFmtId="9" fontId="1" fillId="0" borderId="0" applyFont="0" applyFill="0" applyBorder="0" applyAlignment="0" applyProtection="0">
      <alignment vertical="center"/>
    </xf>
    <xf numFmtId="0" fontId="31" fillId="0" borderId="0"/>
    <xf numFmtId="0" fontId="136" fillId="18" borderId="0" applyNumberFormat="0" applyBorder="0" applyAlignment="0" applyProtection="0">
      <alignment vertical="center"/>
    </xf>
    <xf numFmtId="0" fontId="136" fillId="19" borderId="0" applyNumberFormat="0" applyBorder="0" applyAlignment="0" applyProtection="0">
      <alignment vertical="center"/>
    </xf>
    <xf numFmtId="0" fontId="136" fillId="20" borderId="0" applyNumberFormat="0" applyBorder="0" applyAlignment="0" applyProtection="0">
      <alignment vertical="center"/>
    </xf>
    <xf numFmtId="0" fontId="136" fillId="21" borderId="0" applyNumberFormat="0" applyBorder="0" applyAlignment="0" applyProtection="0">
      <alignment vertical="center"/>
    </xf>
    <xf numFmtId="0" fontId="136" fillId="22" borderId="0" applyNumberFormat="0" applyBorder="0" applyAlignment="0" applyProtection="0">
      <alignment vertical="center"/>
    </xf>
    <xf numFmtId="0" fontId="136" fillId="23" borderId="0" applyNumberFormat="0" applyBorder="0" applyAlignment="0" applyProtection="0">
      <alignment vertical="center"/>
    </xf>
    <xf numFmtId="0" fontId="136" fillId="24" borderId="0" applyNumberFormat="0" applyBorder="0" applyAlignment="0" applyProtection="0">
      <alignment vertical="center"/>
    </xf>
    <xf numFmtId="0" fontId="136" fillId="25" borderId="0" applyNumberFormat="0" applyBorder="0" applyAlignment="0" applyProtection="0">
      <alignment vertical="center"/>
    </xf>
    <xf numFmtId="0" fontId="136" fillId="26" borderId="0" applyNumberFormat="0" applyBorder="0" applyAlignment="0" applyProtection="0">
      <alignment vertical="center"/>
    </xf>
    <xf numFmtId="0" fontId="136" fillId="21" borderId="0" applyNumberFormat="0" applyBorder="0" applyAlignment="0" applyProtection="0">
      <alignment vertical="center"/>
    </xf>
    <xf numFmtId="0" fontId="136" fillId="24" borderId="0" applyNumberFormat="0" applyBorder="0" applyAlignment="0" applyProtection="0">
      <alignment vertical="center"/>
    </xf>
    <xf numFmtId="0" fontId="136" fillId="27" borderId="0" applyNumberFormat="0" applyBorder="0" applyAlignment="0" applyProtection="0">
      <alignment vertical="center"/>
    </xf>
    <xf numFmtId="0" fontId="247" fillId="28" borderId="0" applyNumberFormat="0" applyBorder="0" applyAlignment="0" applyProtection="0">
      <alignment vertical="center"/>
    </xf>
    <xf numFmtId="0" fontId="247" fillId="25" borderId="0" applyNumberFormat="0" applyBorder="0" applyAlignment="0" applyProtection="0">
      <alignment vertical="center"/>
    </xf>
    <xf numFmtId="0" fontId="247" fillId="26" borderId="0" applyNumberFormat="0" applyBorder="0" applyAlignment="0" applyProtection="0">
      <alignment vertical="center"/>
    </xf>
    <xf numFmtId="0" fontId="247" fillId="29" borderId="0" applyNumberFormat="0" applyBorder="0" applyAlignment="0" applyProtection="0">
      <alignment vertical="center"/>
    </xf>
    <xf numFmtId="0" fontId="247" fillId="30" borderId="0" applyNumberFormat="0" applyBorder="0" applyAlignment="0" applyProtection="0">
      <alignment vertical="center"/>
    </xf>
    <xf numFmtId="0" fontId="247" fillId="31" borderId="0" applyNumberFormat="0" applyBorder="0" applyAlignment="0" applyProtection="0">
      <alignment vertical="center"/>
    </xf>
    <xf numFmtId="0" fontId="247" fillId="32" borderId="0" applyNumberFormat="0" applyBorder="0" applyAlignment="0" applyProtection="0">
      <alignment vertical="center"/>
    </xf>
    <xf numFmtId="0" fontId="247" fillId="33" borderId="0" applyNumberFormat="0" applyBorder="0" applyAlignment="0" applyProtection="0">
      <alignment vertical="center"/>
    </xf>
    <xf numFmtId="0" fontId="247" fillId="34" borderId="0" applyNumberFormat="0" applyBorder="0" applyAlignment="0" applyProtection="0">
      <alignment vertical="center"/>
    </xf>
    <xf numFmtId="0" fontId="247" fillId="29" borderId="0" applyNumberFormat="0" applyBorder="0" applyAlignment="0" applyProtection="0">
      <alignment vertical="center"/>
    </xf>
    <xf numFmtId="0" fontId="247" fillId="30" borderId="0" applyNumberFormat="0" applyBorder="0" applyAlignment="0" applyProtection="0">
      <alignment vertical="center"/>
    </xf>
    <xf numFmtId="0" fontId="247" fillId="35" borderId="0" applyNumberFormat="0" applyBorder="0" applyAlignment="0" applyProtection="0">
      <alignment vertical="center"/>
    </xf>
    <xf numFmtId="0" fontId="248" fillId="19" borderId="0" applyNumberFormat="0" applyBorder="0" applyAlignment="0" applyProtection="0">
      <alignment vertical="center"/>
    </xf>
    <xf numFmtId="0" fontId="249" fillId="36" borderId="168" applyNumberFormat="0" applyAlignment="0" applyProtection="0">
      <alignment vertical="center"/>
    </xf>
    <xf numFmtId="0" fontId="250" fillId="37" borderId="169" applyNumberFormat="0" applyAlignment="0" applyProtection="0">
      <alignment vertical="center"/>
    </xf>
    <xf numFmtId="0" fontId="251" fillId="0" borderId="0" applyNumberFormat="0" applyFill="0" applyBorder="0" applyAlignment="0" applyProtection="0">
      <alignment vertical="center"/>
    </xf>
    <xf numFmtId="0" fontId="252" fillId="20" borderId="0" applyNumberFormat="0" applyBorder="0" applyAlignment="0" applyProtection="0">
      <alignment vertical="center"/>
    </xf>
    <xf numFmtId="0" fontId="253" fillId="0" borderId="170" applyNumberFormat="0" applyFill="0" applyAlignment="0" applyProtection="0">
      <alignment vertical="center"/>
    </xf>
    <xf numFmtId="0" fontId="254" fillId="0" borderId="171" applyNumberFormat="0" applyFill="0" applyAlignment="0" applyProtection="0">
      <alignment vertical="center"/>
    </xf>
    <xf numFmtId="0" fontId="255" fillId="0" borderId="172" applyNumberFormat="0" applyFill="0" applyAlignment="0" applyProtection="0">
      <alignment vertical="center"/>
    </xf>
    <xf numFmtId="0" fontId="255" fillId="0" borderId="0" applyNumberFormat="0" applyFill="0" applyBorder="0" applyAlignment="0" applyProtection="0">
      <alignment vertical="center"/>
    </xf>
    <xf numFmtId="0" fontId="256" fillId="23" borderId="168" applyNumberFormat="0" applyAlignment="0" applyProtection="0">
      <alignment vertical="center"/>
    </xf>
    <xf numFmtId="0" fontId="257" fillId="0" borderId="173" applyNumberFormat="0" applyFill="0" applyAlignment="0" applyProtection="0">
      <alignment vertical="center"/>
    </xf>
    <xf numFmtId="0" fontId="258" fillId="38" borderId="0" applyNumberFormat="0" applyBorder="0" applyAlignment="0" applyProtection="0">
      <alignment vertical="center"/>
    </xf>
    <xf numFmtId="0" fontId="31" fillId="0" borderId="0"/>
    <xf numFmtId="0" fontId="31" fillId="39" borderId="174" applyNumberFormat="0" applyFont="0" applyAlignment="0" applyProtection="0">
      <alignment vertical="center"/>
    </xf>
    <xf numFmtId="0" fontId="259" fillId="36" borderId="175" applyNumberFormat="0" applyAlignment="0" applyProtection="0">
      <alignment vertical="center"/>
    </xf>
    <xf numFmtId="0" fontId="260" fillId="0" borderId="0" applyNumberFormat="0" applyFill="0" applyBorder="0" applyAlignment="0" applyProtection="0">
      <alignment vertical="center"/>
    </xf>
    <xf numFmtId="0" fontId="154" fillId="0" borderId="176" applyNumberFormat="0" applyFill="0" applyAlignment="0" applyProtection="0">
      <alignment vertical="center"/>
    </xf>
    <xf numFmtId="0" fontId="219" fillId="0" borderId="0" applyNumberFormat="0" applyFill="0" applyBorder="0" applyAlignment="0" applyProtection="0">
      <alignment vertical="center"/>
    </xf>
    <xf numFmtId="43" fontId="49" fillId="0" borderId="0" applyFont="0" applyFill="0" applyBorder="0" applyAlignment="0" applyProtection="0"/>
    <xf numFmtId="176" fontId="31" fillId="0" borderId="0" applyFont="0" applyFill="0" applyBorder="0" applyAlignment="0" applyProtection="0"/>
    <xf numFmtId="176" fontId="1" fillId="0" borderId="0" applyFont="0" applyFill="0" applyBorder="0" applyAlignment="0" applyProtection="0">
      <alignment vertical="center"/>
    </xf>
    <xf numFmtId="43" fontId="1" fillId="0" borderId="0" applyFont="0" applyFill="0" applyBorder="0" applyAlignment="0" applyProtection="0">
      <alignment vertical="center"/>
    </xf>
    <xf numFmtId="0" fontId="261" fillId="0" borderId="0"/>
    <xf numFmtId="183" fontId="171" fillId="0" borderId="0"/>
    <xf numFmtId="183" fontId="94" fillId="0" borderId="0">
      <alignment vertical="center"/>
    </xf>
  </cellStyleXfs>
  <cellXfs count="3107">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8" xfId="0"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25"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7" xfId="0" applyFont="1" applyFill="1" applyBorder="1" applyAlignment="1" applyProtection="1">
      <alignment horizontal="center" vertical="center" wrapText="1"/>
    </xf>
    <xf numFmtId="0" fontId="43" fillId="5" borderId="49"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6" xfId="0" applyFont="1" applyBorder="1" applyAlignment="1" applyProtection="1">
      <alignment horizontal="center" vertical="center"/>
      <protection locked="0"/>
    </xf>
    <xf numFmtId="182" fontId="40" fillId="0" borderId="6" xfId="0" applyNumberFormat="1" applyFont="1" applyFill="1" applyBorder="1" applyAlignment="1" applyProtection="1">
      <alignment horizontal="center" vertical="center"/>
      <protection locked="0"/>
    </xf>
    <xf numFmtId="177" fontId="47" fillId="0" borderId="31" xfId="1" applyNumberFormat="1" applyFont="1" applyFill="1" applyBorder="1" applyAlignment="1" applyProtection="1">
      <alignment horizontal="center" vertical="center"/>
      <protection locked="0"/>
    </xf>
    <xf numFmtId="177" fontId="40" fillId="0" borderId="6" xfId="1" applyNumberFormat="1" applyFont="1" applyFill="1" applyBorder="1" applyAlignment="1" applyProtection="1">
      <alignment horizontal="center" vertical="center"/>
      <protection locked="0"/>
    </xf>
    <xf numFmtId="177" fontId="47" fillId="5" borderId="43" xfId="1" applyNumberFormat="1" applyFont="1" applyFill="1" applyBorder="1" applyAlignment="1" applyProtection="1">
      <alignment horizontal="center" vertical="center"/>
    </xf>
    <xf numFmtId="0" fontId="49" fillId="0" borderId="31" xfId="1" applyNumberFormat="1" applyFont="1" applyFill="1" applyBorder="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9" fillId="0" borderId="6" xfId="1" applyNumberFormat="1" applyFont="1" applyFill="1" applyBorder="1" applyAlignment="1" applyProtection="1">
      <alignment horizontal="center" vertical="center"/>
      <protection locked="0"/>
    </xf>
    <xf numFmtId="0" fontId="47" fillId="5" borderId="6" xfId="1" applyNumberFormat="1" applyFont="1" applyFill="1" applyBorder="1" applyAlignment="1" applyProtection="1">
      <alignment horizontal="center" vertical="center"/>
    </xf>
    <xf numFmtId="0" fontId="49" fillId="0" borderId="43" xfId="1" applyNumberFormat="1" applyFont="1" applyFill="1" applyBorder="1" applyAlignment="1" applyProtection="1">
      <alignment horizontal="center" vertical="center"/>
      <protection locked="0"/>
    </xf>
    <xf numFmtId="182" fontId="43" fillId="0" borderId="6" xfId="0" applyNumberFormat="1" applyFont="1" applyFill="1" applyBorder="1" applyAlignment="1" applyProtection="1">
      <alignment horizontal="center" vertical="center"/>
      <protection locked="0"/>
    </xf>
    <xf numFmtId="10" fontId="40" fillId="0" borderId="58" xfId="0" applyNumberFormat="1" applyFont="1" applyFill="1" applyBorder="1" applyAlignment="1" applyProtection="1">
      <alignment horizontal="center" vertical="center"/>
      <protection locked="0"/>
    </xf>
    <xf numFmtId="184" fontId="40" fillId="5" borderId="58" xfId="0" applyNumberFormat="1" applyFont="1" applyFill="1" applyBorder="1" applyAlignment="1" applyProtection="1">
      <alignment horizontal="center" vertical="center"/>
    </xf>
    <xf numFmtId="10" fontId="40" fillId="2" borderId="58" xfId="0" applyNumberFormat="1" applyFont="1" applyFill="1" applyBorder="1" applyAlignment="1" applyProtection="1">
      <alignment horizontal="center" vertical="center"/>
      <protection locked="0"/>
    </xf>
    <xf numFmtId="10" fontId="40" fillId="0" borderId="43" xfId="0" applyNumberFormat="1" applyFont="1" applyFill="1" applyBorder="1" applyAlignment="1" applyProtection="1">
      <alignment horizontal="center" vertical="center"/>
      <protection locked="0"/>
    </xf>
    <xf numFmtId="10" fontId="40" fillId="0" borderId="50" xfId="0" applyNumberFormat="1" applyFont="1" applyFill="1" applyBorder="1" applyAlignment="1" applyProtection="1">
      <alignment horizontal="center" vertical="center"/>
      <protection locked="0"/>
    </xf>
    <xf numFmtId="10" fontId="40" fillId="5" borderId="59" xfId="0" applyNumberFormat="1" applyFont="1" applyFill="1" applyBorder="1" applyAlignment="1" applyProtection="1">
      <alignment horizontal="center" vertical="center"/>
    </xf>
    <xf numFmtId="10" fontId="40" fillId="5" borderId="43" xfId="0" applyNumberFormat="1" applyFont="1" applyFill="1" applyBorder="1" applyAlignment="1" applyProtection="1">
      <alignment horizontal="center" vertical="center"/>
    </xf>
    <xf numFmtId="179" fontId="40" fillId="5" borderId="59" xfId="0" applyNumberFormat="1" applyFont="1" applyFill="1" applyBorder="1" applyAlignment="1" applyProtection="1">
      <alignment horizontal="center" vertical="center"/>
    </xf>
    <xf numFmtId="0" fontId="40" fillId="0" borderId="43" xfId="0" applyFont="1" applyBorder="1" applyAlignment="1" applyProtection="1">
      <alignment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0" fillId="5" borderId="17" xfId="0" applyFont="1" applyFill="1" applyBorder="1" applyAlignment="1" applyProtection="1">
      <alignment horizontal="center" vertical="center"/>
    </xf>
    <xf numFmtId="180" fontId="40" fillId="5" borderId="18" xfId="0" applyNumberFormat="1" applyFont="1" applyFill="1" applyBorder="1" applyAlignment="1" applyProtection="1">
      <alignment horizontal="center" vertical="center"/>
    </xf>
    <xf numFmtId="0" fontId="99" fillId="5" borderId="11" xfId="0" applyFont="1" applyFill="1" applyBorder="1" applyAlignment="1" applyProtection="1">
      <alignment horizontal="center" vertical="center"/>
    </xf>
    <xf numFmtId="0" fontId="99" fillId="5" borderId="31" xfId="0" applyFont="1" applyFill="1" applyBorder="1" applyAlignment="1" applyProtection="1">
      <alignment horizontal="center" vertical="center"/>
    </xf>
    <xf numFmtId="0" fontId="40" fillId="5" borderId="13" xfId="0" applyFont="1" applyFill="1" applyBorder="1" applyAlignment="1" applyProtection="1">
      <alignment horizontal="right" vertical="center"/>
    </xf>
    <xf numFmtId="0" fontId="99" fillId="5" borderId="1" xfId="0" applyFont="1" applyFill="1" applyBorder="1" applyAlignment="1" applyProtection="1">
      <alignment horizontal="center" vertical="center"/>
    </xf>
    <xf numFmtId="0" fontId="99" fillId="5" borderId="6" xfId="0" applyFont="1" applyFill="1" applyBorder="1" applyAlignment="1" applyProtection="1">
      <alignment horizontal="center" vertical="center"/>
    </xf>
    <xf numFmtId="0" fontId="40" fillId="5" borderId="2" xfId="0" applyFont="1" applyFill="1" applyBorder="1" applyAlignment="1" applyProtection="1">
      <alignment horizontal="right" vertical="center"/>
    </xf>
    <xf numFmtId="0" fontId="40" fillId="5" borderId="44" xfId="0" applyFont="1" applyFill="1" applyBorder="1" applyAlignment="1" applyProtection="1">
      <alignment horizontal="right" vertical="center"/>
    </xf>
    <xf numFmtId="0" fontId="40" fillId="5" borderId="6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3" fillId="5" borderId="1" xfId="0" applyFont="1" applyFill="1" applyBorder="1" applyProtection="1">
      <alignment vertical="center"/>
    </xf>
    <xf numFmtId="0" fontId="42" fillId="0" borderId="6" xfId="0" applyFont="1" applyFill="1" applyBorder="1" applyAlignment="1" applyProtection="1">
      <alignment horizontal="center" vertical="center"/>
      <protection locked="0"/>
    </xf>
    <xf numFmtId="0" fontId="42" fillId="5" borderId="64" xfId="0" applyFont="1" applyFill="1" applyBorder="1" applyAlignment="1" applyProtection="1">
      <alignment horizontal="center" vertical="center"/>
    </xf>
    <xf numFmtId="0" fontId="42" fillId="5" borderId="35" xfId="0" applyFont="1" applyFill="1" applyBorder="1" applyAlignment="1" applyProtection="1">
      <alignment horizontal="center" vertical="center"/>
    </xf>
    <xf numFmtId="0" fontId="43" fillId="0" borderId="7" xfId="0" applyFont="1" applyBorder="1" applyProtection="1">
      <alignment vertical="center"/>
      <protection locked="0"/>
    </xf>
    <xf numFmtId="0" fontId="43" fillId="0" borderId="1" xfId="0" applyFont="1" applyBorder="1" applyProtection="1">
      <alignment vertical="center"/>
      <protection locked="0"/>
    </xf>
    <xf numFmtId="0" fontId="43" fillId="0" borderId="6" xfId="0" applyFont="1" applyFill="1" applyBorder="1" applyAlignment="1" applyProtection="1">
      <alignment horizontal="center" vertical="center"/>
      <protection locked="0"/>
    </xf>
    <xf numFmtId="0" fontId="43" fillId="0" borderId="8" xfId="0" applyFont="1" applyBorder="1" applyProtection="1">
      <alignment vertical="center"/>
      <protection locked="0"/>
    </xf>
    <xf numFmtId="0" fontId="43" fillId="0" borderId="61" xfId="0" applyFont="1" applyBorder="1" applyProtection="1">
      <alignment vertical="center"/>
      <protection locked="0"/>
    </xf>
    <xf numFmtId="0" fontId="43" fillId="0" borderId="43" xfId="0" applyFont="1" applyBorder="1" applyProtection="1">
      <alignment vertical="center"/>
      <protection locked="0"/>
    </xf>
    <xf numFmtId="0" fontId="43" fillId="5" borderId="18" xfId="0" applyFont="1" applyFill="1" applyBorder="1" applyAlignment="1" applyProtection="1">
      <alignment vertical="center"/>
    </xf>
    <xf numFmtId="0" fontId="43" fillId="5" borderId="36" xfId="0" applyFont="1" applyFill="1" applyBorder="1" applyAlignment="1" applyProtection="1">
      <alignment horizontal="right" vertical="center"/>
    </xf>
    <xf numFmtId="9" fontId="43" fillId="6" borderId="36" xfId="0" applyNumberFormat="1" applyFont="1" applyFill="1" applyBorder="1" applyAlignment="1" applyProtection="1">
      <alignment horizontal="center" vertical="center"/>
      <protection locked="0"/>
    </xf>
    <xf numFmtId="0" fontId="43" fillId="5" borderId="27" xfId="0" applyFont="1" applyFill="1" applyBorder="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3" fillId="5" borderId="64" xfId="0" applyFont="1" applyFill="1" applyBorder="1" applyAlignment="1" applyProtection="1">
      <alignment horizontal="center" vertical="center"/>
    </xf>
    <xf numFmtId="0" fontId="48" fillId="5" borderId="1" xfId="0" applyFont="1" applyFill="1" applyBorder="1" applyAlignment="1" applyProtection="1">
      <alignment horizontal="left" vertical="center" wrapText="1"/>
    </xf>
    <xf numFmtId="9" fontId="43" fillId="5" borderId="6" xfId="0" applyNumberFormat="1" applyFont="1" applyFill="1" applyBorder="1" applyAlignment="1" applyProtection="1">
      <alignment horizontal="center" vertical="center"/>
    </xf>
    <xf numFmtId="10" fontId="43" fillId="5" borderId="17" xfId="0" applyNumberFormat="1" applyFont="1" applyFill="1" applyBorder="1" applyAlignment="1" applyProtection="1">
      <alignment horizontal="center" vertical="center"/>
    </xf>
    <xf numFmtId="0" fontId="43" fillId="5" borderId="16" xfId="0" applyFont="1" applyFill="1" applyBorder="1" applyAlignment="1" applyProtection="1">
      <alignment horizontal="right" vertical="center" wrapText="1"/>
    </xf>
    <xf numFmtId="0" fontId="43" fillId="5" borderId="35" xfId="0" applyFont="1" applyFill="1" applyBorder="1" applyAlignment="1" applyProtection="1">
      <alignment vertical="center"/>
    </xf>
    <xf numFmtId="0" fontId="43" fillId="5" borderId="26" xfId="0" applyFont="1" applyFill="1" applyBorder="1" applyAlignment="1" applyProtection="1">
      <alignment horizontal="right" vertical="center" wrapText="1"/>
    </xf>
    <xf numFmtId="0" fontId="43" fillId="5" borderId="60" xfId="0" applyFont="1" applyFill="1" applyBorder="1" applyAlignment="1" applyProtection="1">
      <alignment vertical="center"/>
    </xf>
    <xf numFmtId="0" fontId="43" fillId="5" borderId="25" xfId="0" applyFont="1" applyFill="1" applyBorder="1" applyProtection="1">
      <alignment vertical="center"/>
    </xf>
    <xf numFmtId="0" fontId="43" fillId="5" borderId="23" xfId="0" applyFont="1" applyFill="1" applyBorder="1" applyAlignment="1" applyProtection="1">
      <alignment horizontal="right" vertical="center" wrapText="1"/>
    </xf>
    <xf numFmtId="0" fontId="43" fillId="5" borderId="64" xfId="0" applyFont="1" applyFill="1" applyBorder="1" applyAlignment="1" applyProtection="1">
      <alignment vertical="center"/>
    </xf>
    <xf numFmtId="0" fontId="43" fillId="5" borderId="7" xfId="0" applyFont="1" applyFill="1" applyBorder="1" applyAlignment="1" applyProtection="1">
      <alignment horizontal="right" vertical="center" wrapText="1"/>
    </xf>
    <xf numFmtId="10" fontId="43" fillId="5" borderId="1" xfId="0" applyNumberFormat="1" applyFont="1" applyFill="1" applyBorder="1" applyAlignment="1" applyProtection="1">
      <alignment horizontal="center" vertical="center"/>
    </xf>
    <xf numFmtId="0" fontId="43" fillId="5" borderId="2" xfId="0" applyFont="1" applyFill="1" applyBorder="1" applyAlignment="1" applyProtection="1">
      <alignment horizontal="right" vertical="center"/>
    </xf>
    <xf numFmtId="10" fontId="43" fillId="5" borderId="2" xfId="0" applyNumberFormat="1" applyFont="1" applyFill="1" applyBorder="1" applyAlignment="1" applyProtection="1">
      <alignment horizontal="center" vertical="center"/>
    </xf>
    <xf numFmtId="0" fontId="43" fillId="5" borderId="35" xfId="0" applyFont="1" applyFill="1" applyBorder="1" applyAlignment="1" applyProtection="1">
      <alignment horizontal="right" vertical="center"/>
    </xf>
    <xf numFmtId="0" fontId="43" fillId="5" borderId="44" xfId="0" applyFont="1" applyFill="1" applyBorder="1" applyAlignment="1" applyProtection="1">
      <alignment horizontal="right" vertical="center"/>
    </xf>
    <xf numFmtId="0" fontId="43" fillId="5" borderId="61" xfId="0" applyFont="1" applyFill="1" applyBorder="1" applyAlignment="1" applyProtection="1">
      <alignment horizontal="center" vertical="center" wrapText="1"/>
    </xf>
    <xf numFmtId="10" fontId="43" fillId="5" borderId="61" xfId="0" applyNumberFormat="1" applyFont="1" applyFill="1" applyBorder="1" applyAlignment="1" applyProtection="1">
      <alignment horizontal="center" vertical="center"/>
    </xf>
    <xf numFmtId="9" fontId="43" fillId="5" borderId="2" xfId="0" applyNumberFormat="1" applyFont="1" applyFill="1" applyBorder="1" applyAlignment="1" applyProtection="1">
      <alignment horizontal="center" vertical="center" wrapText="1"/>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178" fontId="50" fillId="5" borderId="17"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178" fontId="49" fillId="5" borderId="1"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178" fontId="49" fillId="0" borderId="1" xfId="0" applyNumberFormat="1" applyFont="1" applyFill="1" applyBorder="1" applyAlignment="1" applyProtection="1">
      <alignment horizontal="center" vertical="center" wrapText="1"/>
      <protection locked="0"/>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0" fontId="50" fillId="0" borderId="1" xfId="0" applyFont="1" applyFill="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xf>
    <xf numFmtId="178"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178" fontId="50" fillId="5" borderId="61" xfId="0" applyNumberFormat="1" applyFont="1" applyFill="1" applyBorder="1" applyAlignment="1" applyProtection="1">
      <alignment horizontal="center" vertical="center" wrapText="1"/>
    </xf>
    <xf numFmtId="10" fontId="49" fillId="5" borderId="61" xfId="0" applyNumberFormat="1" applyFont="1" applyFill="1" applyBorder="1" applyAlignment="1" applyProtection="1">
      <alignment horizontal="center"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49" fontId="43" fillId="5" borderId="7" xfId="0" applyNumberFormat="1" applyFont="1" applyFill="1" applyBorder="1" applyAlignment="1" applyProtection="1">
      <alignment vertical="center" wrapText="1"/>
    </xf>
    <xf numFmtId="0" fontId="49" fillId="0" borderId="1" xfId="0" applyFont="1" applyFill="1" applyBorder="1" applyAlignment="1" applyProtection="1">
      <alignment horizontal="center" vertical="center" wrapText="1"/>
      <protection locked="0"/>
    </xf>
    <xf numFmtId="0" fontId="40" fillId="5" borderId="1" xfId="2" applyFont="1" applyFill="1" applyBorder="1" applyAlignment="1" applyProtection="1">
      <alignment horizontal="left" vertical="center" wrapText="1"/>
    </xf>
    <xf numFmtId="178" fontId="49" fillId="0" borderId="6" xfId="0" applyNumberFormat="1" applyFont="1" applyFill="1" applyBorder="1" applyAlignment="1" applyProtection="1">
      <alignment horizontal="center" vertical="center" wrapText="1"/>
      <protection locked="0"/>
    </xf>
    <xf numFmtId="0" fontId="49" fillId="5" borderId="17" xfId="0" applyFont="1" applyFill="1" applyBorder="1" applyAlignment="1" applyProtection="1">
      <alignment horizontal="left" vertical="center" wrapText="1"/>
    </xf>
    <xf numFmtId="9" fontId="40" fillId="5" borderId="0" xfId="0" applyNumberFormat="1" applyFont="1" applyFill="1" applyBorder="1" applyAlignment="1" applyProtection="1">
      <alignment horizontal="center" vertical="center"/>
    </xf>
    <xf numFmtId="10" fontId="49" fillId="5" borderId="1" xfId="0" applyNumberFormat="1" applyFont="1" applyFill="1" applyBorder="1" applyAlignment="1" applyProtection="1">
      <alignment horizontal="center" vertical="center" wrapText="1"/>
    </xf>
    <xf numFmtId="0" fontId="40" fillId="5" borderId="51" xfId="0" applyFont="1" applyFill="1" applyBorder="1" applyAlignment="1" applyProtection="1">
      <alignment horizontal="left" vertical="center"/>
    </xf>
    <xf numFmtId="192" fontId="49" fillId="5" borderId="1" xfId="0" applyNumberFormat="1" applyFont="1" applyFill="1" applyBorder="1" applyAlignment="1" applyProtection="1">
      <alignment horizontal="center" vertical="center" wrapText="1"/>
    </xf>
    <xf numFmtId="10" fontId="48" fillId="5" borderId="2" xfId="0" applyNumberFormat="1" applyFont="1" applyFill="1" applyBorder="1" applyAlignment="1" applyProtection="1">
      <alignment horizontal="center" vertical="center" wrapText="1"/>
    </xf>
    <xf numFmtId="49" fontId="48" fillId="5" borderId="7" xfId="0" applyNumberFormat="1" applyFont="1" applyFill="1" applyBorder="1" applyAlignment="1" applyProtection="1">
      <alignment vertical="center" wrapText="1"/>
    </xf>
    <xf numFmtId="182"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0" fontId="49" fillId="5" borderId="2" xfId="0" applyFont="1" applyFill="1" applyBorder="1" applyAlignment="1" applyProtection="1">
      <alignment horizontal="center" vertical="center" wrapText="1"/>
    </xf>
    <xf numFmtId="192" fontId="49" fillId="0" borderId="1" xfId="0" applyNumberFormat="1" applyFont="1" applyFill="1" applyBorder="1" applyAlignment="1" applyProtection="1">
      <alignment horizontal="center" vertical="center" wrapText="1"/>
      <protection locked="0"/>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8"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80"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8"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8"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8"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6"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8"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2" fontId="49" fillId="5" borderId="1" xfId="0" applyNumberFormat="1" applyFont="1" applyFill="1" applyBorder="1" applyAlignment="1" applyProtection="1">
      <alignment horizontal="center"/>
    </xf>
    <xf numFmtId="182"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7"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7" fontId="102" fillId="5" borderId="1" xfId="0" applyNumberFormat="1" applyFont="1" applyFill="1" applyBorder="1" applyAlignment="1" applyProtection="1">
      <alignment horizontal="center" vertical="center"/>
    </xf>
    <xf numFmtId="177"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7"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8" fontId="43" fillId="5" borderId="1" xfId="0" applyNumberFormat="1" applyFont="1" applyFill="1" applyBorder="1" applyAlignment="1" applyProtection="1">
      <alignment horizontal="center" vertical="center"/>
    </xf>
    <xf numFmtId="180" fontId="43" fillId="5" borderId="1" xfId="1" applyNumberFormat="1" applyFont="1" applyFill="1" applyBorder="1" applyAlignment="1" applyProtection="1">
      <alignment horizontal="center"/>
    </xf>
    <xf numFmtId="182"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8"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8"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8" fontId="42" fillId="5" borderId="1" xfId="1" applyNumberFormat="1" applyFont="1" applyFill="1" applyBorder="1" applyAlignment="1" applyProtection="1">
      <alignment horizontal="center"/>
    </xf>
    <xf numFmtId="0" fontId="42" fillId="5" borderId="1" xfId="1" applyFont="1" applyFill="1" applyBorder="1" applyAlignment="1" applyProtection="1"/>
    <xf numFmtId="178"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8"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8" fontId="42" fillId="5" borderId="0" xfId="0" applyNumberFormat="1" applyFont="1" applyFill="1" applyBorder="1" applyAlignment="1" applyProtection="1">
      <alignment horizontal="center"/>
    </xf>
    <xf numFmtId="178"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8" fontId="43" fillId="5" borderId="3" xfId="0" applyNumberFormat="1" applyFont="1" applyFill="1" applyBorder="1" applyAlignment="1" applyProtection="1">
      <alignment horizontal="center"/>
    </xf>
    <xf numFmtId="188" fontId="43" fillId="5" borderId="1" xfId="0" applyNumberFormat="1" applyFont="1" applyFill="1" applyBorder="1" applyAlignment="1" applyProtection="1">
      <alignment horizontal="center" vertical="center"/>
    </xf>
    <xf numFmtId="178"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8"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8"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8" fontId="43" fillId="5" borderId="1" xfId="0" applyNumberFormat="1" applyFont="1" applyFill="1" applyBorder="1" applyAlignment="1" applyProtection="1">
      <alignment horizontal="center" vertical="center" wrapText="1"/>
    </xf>
    <xf numFmtId="178" fontId="43" fillId="5" borderId="51" xfId="1" applyNumberFormat="1" applyFont="1" applyFill="1" applyBorder="1" applyAlignment="1" applyProtection="1"/>
    <xf numFmtId="178" fontId="42" fillId="5" borderId="1" xfId="0" applyNumberFormat="1" applyFont="1" applyFill="1" applyBorder="1" applyAlignment="1" applyProtection="1">
      <alignment horizontal="center"/>
    </xf>
    <xf numFmtId="178"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8" fontId="42" fillId="5" borderId="2" xfId="0" applyNumberFormat="1" applyFont="1" applyFill="1" applyBorder="1" applyAlignment="1" applyProtection="1"/>
    <xf numFmtId="178" fontId="42" fillId="5" borderId="51" xfId="0" applyNumberFormat="1" applyFont="1" applyFill="1" applyBorder="1" applyAlignment="1" applyProtection="1"/>
    <xf numFmtId="178"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7"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7"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2"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2"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2"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2" fontId="43" fillId="5" borderId="6" xfId="0" applyNumberFormat="1" applyFont="1" applyFill="1" applyBorder="1" applyAlignment="1" applyProtection="1">
      <alignment horizontal="center" vertical="center"/>
    </xf>
    <xf numFmtId="182" fontId="43" fillId="5" borderId="41" xfId="0" applyNumberFormat="1" applyFont="1" applyFill="1" applyBorder="1" applyAlignment="1" applyProtection="1">
      <alignment horizontal="center" vertical="center" wrapText="1"/>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4"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80"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80"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7"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2"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5"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5"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protection locked="0"/>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0" fontId="40" fillId="5" borderId="13" xfId="0" applyNumberFormat="1" applyFont="1" applyFill="1" applyBorder="1" applyAlignment="1" applyProtection="1">
      <alignment horizontal="center" vertical="center" wrapText="1"/>
    </xf>
    <xf numFmtId="49" fontId="40" fillId="2" borderId="4"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54" fillId="0" borderId="41"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49" fontId="40" fillId="0" borderId="24" xfId="0" applyNumberFormat="1" applyFont="1" applyFill="1" applyBorder="1" applyAlignment="1" applyProtection="1">
      <alignment horizontal="center" vertical="center" wrapText="1"/>
      <protection locked="0"/>
    </xf>
    <xf numFmtId="0" fontId="40" fillId="5" borderId="64" xfId="0" applyNumberFormat="1" applyFont="1" applyFill="1" applyBorder="1" applyAlignment="1" applyProtection="1">
      <alignment horizontal="center" vertical="center" wrapText="1"/>
    </xf>
    <xf numFmtId="49" fontId="40" fillId="0" borderId="23" xfId="0" applyNumberFormat="1" applyFont="1" applyFill="1" applyBorder="1" applyAlignment="1" applyProtection="1">
      <alignment horizontal="center" vertical="center" wrapText="1"/>
      <protection locked="0"/>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7" fontId="46" fillId="5" borderId="20" xfId="0" applyNumberFormat="1" applyFont="1" applyFill="1" applyBorder="1" applyAlignment="1" applyProtection="1">
      <alignment vertical="center" wrapText="1"/>
    </xf>
    <xf numFmtId="0" fontId="46" fillId="5" borderId="62" xfId="0" applyFont="1" applyFill="1" applyBorder="1" applyAlignment="1" applyProtection="1">
      <alignment vertical="center" wrapText="1"/>
    </xf>
    <xf numFmtId="187" fontId="46" fillId="5" borderId="48" xfId="0" applyNumberFormat="1" applyFont="1" applyFill="1" applyBorder="1" applyAlignment="1" applyProtection="1">
      <alignment vertical="center" wrapText="1"/>
    </xf>
    <xf numFmtId="0" fontId="46" fillId="5" borderId="48" xfId="0"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7" fontId="46" fillId="5" borderId="40" xfId="0" applyNumberFormat="1" applyFont="1" applyFill="1" applyBorder="1" applyAlignment="1" applyProtection="1">
      <alignment vertical="center" wrapText="1"/>
    </xf>
    <xf numFmtId="190" fontId="47" fillId="0" borderId="0" xfId="0" applyNumberFormat="1" applyFont="1" applyFill="1" applyAlignment="1" applyProtection="1">
      <alignment horizontal="center" vertical="center"/>
      <protection locked="0"/>
    </xf>
    <xf numFmtId="182"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2" fontId="47" fillId="5" borderId="2" xfId="0" applyNumberFormat="1" applyFont="1" applyFill="1" applyBorder="1" applyAlignment="1" applyProtection="1">
      <alignment horizontal="center" vertical="center"/>
    </xf>
    <xf numFmtId="182"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27" xfId="0" applyNumberFormat="1" applyFont="1" applyFill="1" applyBorder="1" applyAlignment="1" applyProtection="1">
      <alignment horizontal="center" vertical="center" wrapText="1"/>
      <protection locked="0"/>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center"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7" fontId="53" fillId="5" borderId="18" xfId="0" applyNumberFormat="1" applyFont="1" applyFill="1" applyBorder="1" applyAlignment="1" applyProtection="1">
      <alignment horizontal="right" vertical="center"/>
    </xf>
    <xf numFmtId="190"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7" fontId="45" fillId="0" borderId="19" xfId="0" applyNumberFormat="1" applyFont="1" applyFill="1" applyBorder="1" applyAlignment="1" applyProtection="1">
      <alignment horizontal="center" vertical="center" wrapText="1"/>
      <protection locked="0"/>
    </xf>
    <xf numFmtId="0" fontId="45" fillId="0" borderId="19" xfId="0" applyNumberFormat="1" applyFont="1" applyFill="1" applyBorder="1" applyAlignment="1" applyProtection="1">
      <alignment horizontal="center" vertical="center" wrapText="1"/>
      <protection locked="0"/>
    </xf>
    <xf numFmtId="190" fontId="47" fillId="3" borderId="3" xfId="0" applyNumberFormat="1" applyFont="1" applyFill="1" applyBorder="1" applyAlignment="1" applyProtection="1">
      <alignment horizontal="center" vertical="center"/>
      <protection locked="0"/>
    </xf>
    <xf numFmtId="190" fontId="47" fillId="3" borderId="3" xfId="0" applyNumberFormat="1" applyFont="1" applyFill="1" applyBorder="1" applyAlignment="1" applyProtection="1">
      <alignment horizontal="center" vertical="center" wrapText="1"/>
      <protection locked="0"/>
    </xf>
    <xf numFmtId="190"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99" fillId="0" borderId="32"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8"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45" fillId="5" borderId="43"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7"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7"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8"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80"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8"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5" fillId="5" borderId="71" xfId="0" applyNumberFormat="1" applyFont="1" applyFill="1" applyBorder="1" applyAlignment="1" applyProtection="1">
      <alignment horizontal="center" vertical="center" wrapText="1"/>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3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9" fillId="5" borderId="8"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49" fillId="0" borderId="34" xfId="1" applyNumberFormat="1" applyFont="1" applyFill="1" applyBorder="1" applyAlignment="1" applyProtection="1">
      <alignment horizontal="center" vertical="center"/>
      <protection locked="0"/>
    </xf>
    <xf numFmtId="0" fontId="49" fillId="0" borderId="58" xfId="1" applyNumberFormat="1" applyFont="1" applyFill="1" applyBorder="1" applyAlignment="1" applyProtection="1">
      <alignment horizontal="center" vertical="center"/>
      <protection locked="0"/>
    </xf>
    <xf numFmtId="182" fontId="43" fillId="0" borderId="31" xfId="0" applyNumberFormat="1" applyFont="1" applyFill="1" applyBorder="1" applyAlignment="1" applyProtection="1">
      <alignment horizontal="center" vertical="center"/>
      <protection locked="0"/>
    </xf>
    <xf numFmtId="0" fontId="42" fillId="0" borderId="61" xfId="0" applyFont="1" applyFill="1" applyBorder="1" applyAlignment="1" applyProtection="1">
      <alignment horizontal="center"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0" fontId="105" fillId="5" borderId="1" xfId="0" applyFont="1" applyFill="1" applyBorder="1" applyAlignment="1" applyProtection="1">
      <alignment horizontal="center" vertical="center" wrapText="1"/>
    </xf>
    <xf numFmtId="0" fontId="105" fillId="5" borderId="6" xfId="0" applyFont="1" applyFill="1" applyBorder="1" applyAlignment="1" applyProtection="1">
      <alignment horizontal="center" vertical="center" wrapText="1"/>
    </xf>
    <xf numFmtId="0" fontId="105" fillId="5" borderId="18" xfId="0" applyFont="1" applyFill="1" applyBorder="1" applyAlignment="1" applyProtection="1">
      <alignment horizontal="center" vertical="center" wrapText="1"/>
    </xf>
    <xf numFmtId="0" fontId="105" fillId="5" borderId="58" xfId="0" applyFont="1" applyFill="1" applyBorder="1" applyAlignment="1" applyProtection="1">
      <alignment horizontal="center" vertical="center" wrapText="1"/>
    </xf>
    <xf numFmtId="0" fontId="105" fillId="5" borderId="2" xfId="0" applyFont="1" applyFill="1" applyBorder="1" applyAlignment="1" applyProtection="1">
      <alignment vertical="center" wrapText="1"/>
    </xf>
    <xf numFmtId="0" fontId="105" fillId="5" borderId="41" xfId="0" applyFont="1" applyFill="1" applyBorder="1" applyAlignment="1" applyProtection="1">
      <alignment vertical="center" wrapText="1"/>
    </xf>
    <xf numFmtId="0" fontId="105" fillId="5" borderId="44" xfId="0" applyFont="1" applyFill="1" applyBorder="1" applyAlignment="1" applyProtection="1">
      <alignment vertical="center" wrapText="1"/>
    </xf>
    <xf numFmtId="0" fontId="105" fillId="5" borderId="62" xfId="0" applyFont="1" applyFill="1" applyBorder="1" applyAlignment="1" applyProtection="1">
      <alignment vertical="center" wrapText="1"/>
    </xf>
    <xf numFmtId="187" fontId="102" fillId="0" borderId="1"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center"/>
    </xf>
    <xf numFmtId="49" fontId="58" fillId="5" borderId="0" xfId="0" applyNumberFormat="1" applyFont="1" applyFill="1" applyBorder="1" applyAlignment="1" applyProtection="1"/>
    <xf numFmtId="0" fontId="60" fillId="5" borderId="0" xfId="0" applyFont="1" applyFill="1" applyAlignment="1" applyProtection="1">
      <alignment vertical="center"/>
    </xf>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90" fontId="58" fillId="5" borderId="36" xfId="0" applyNumberFormat="1" applyFont="1" applyFill="1" applyBorder="1" applyAlignment="1" applyProtection="1">
      <alignment horizontal="center" vertical="center"/>
    </xf>
    <xf numFmtId="182"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190" fontId="47" fillId="5" borderId="0" xfId="0" applyNumberFormat="1" applyFont="1" applyFill="1" applyAlignment="1" applyProtection="1">
      <alignment horizontal="center" vertical="center"/>
    </xf>
    <xf numFmtId="0" fontId="69" fillId="5" borderId="0" xfId="0" applyFont="1" applyFill="1" applyAlignment="1" applyProtection="1">
      <alignment horizontal="center" vertical="center"/>
    </xf>
    <xf numFmtId="177" fontId="47" fillId="5" borderId="0" xfId="0" applyNumberFormat="1"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90" fontId="47" fillId="5" borderId="0" xfId="0" applyNumberFormat="1" applyFont="1" applyFill="1" applyBorder="1" applyAlignment="1" applyProtection="1">
      <alignment horizontal="center"/>
    </xf>
    <xf numFmtId="182"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9"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9"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9"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90" fontId="47" fillId="5" borderId="3" xfId="0" applyNumberFormat="1" applyFont="1" applyFill="1" applyBorder="1" applyAlignment="1" applyProtection="1">
      <alignment horizontal="center" vertical="center"/>
    </xf>
    <xf numFmtId="190" fontId="47" fillId="5" borderId="3" xfId="0" applyNumberFormat="1" applyFont="1" applyFill="1" applyBorder="1" applyAlignment="1" applyProtection="1">
      <alignment horizontal="center" vertical="center" wrapText="1"/>
    </xf>
    <xf numFmtId="190"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9" fillId="5" borderId="0" xfId="0" applyFont="1" applyFill="1" applyAlignment="1" applyProtection="1"/>
    <xf numFmtId="0" fontId="43" fillId="5" borderId="0" xfId="0" applyNumberFormat="1" applyFont="1" applyFill="1" applyAlignment="1" applyProtection="1">
      <alignment horizontal="center" vertical="center"/>
      <protection locked="0"/>
    </xf>
    <xf numFmtId="0" fontId="40" fillId="5" borderId="61" xfId="0" applyFont="1" applyFill="1" applyBorder="1" applyAlignment="1" applyProtection="1">
      <alignment horizontal="center" vertical="center"/>
    </xf>
    <xf numFmtId="0" fontId="40" fillId="5" borderId="43" xfId="0" applyFont="1" applyFill="1" applyBorder="1" applyAlignment="1" applyProtection="1">
      <alignment horizontal="center" vertical="center"/>
    </xf>
    <xf numFmtId="182" fontId="106" fillId="5" borderId="81" xfId="0" applyNumberFormat="1" applyFont="1" applyFill="1" applyBorder="1" applyAlignment="1" applyProtection="1">
      <alignment horizontal="center" vertical="center"/>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107" fillId="8" borderId="1" xfId="0" applyFont="1" applyFill="1" applyBorder="1" applyAlignment="1" applyProtection="1">
      <alignment horizontal="center" vertical="center" wrapText="1"/>
    </xf>
    <xf numFmtId="10" fontId="107" fillId="8" borderId="1" xfId="0" applyNumberFormat="1" applyFont="1" applyFill="1" applyBorder="1" applyAlignment="1" applyProtection="1">
      <alignment horizontal="center" vertical="center"/>
    </xf>
    <xf numFmtId="9" fontId="107" fillId="8" borderId="1" xfId="0" applyNumberFormat="1" applyFont="1" applyFill="1" applyBorder="1" applyAlignment="1" applyProtection="1">
      <alignment horizontal="center" vertical="center"/>
    </xf>
    <xf numFmtId="0" fontId="107" fillId="8" borderId="18" xfId="0" applyFont="1" applyFill="1" applyBorder="1" applyAlignment="1" applyProtection="1">
      <alignment horizontal="center" vertical="center" wrapText="1"/>
    </xf>
    <xf numFmtId="9" fontId="107" fillId="8" borderId="18" xfId="0" applyNumberFormat="1" applyFont="1" applyFill="1" applyBorder="1" applyAlignment="1" applyProtection="1">
      <alignment horizontal="center" vertical="center"/>
    </xf>
    <xf numFmtId="0" fontId="107" fillId="8" borderId="35" xfId="0" applyFont="1" applyFill="1" applyBorder="1" applyAlignment="1" applyProtection="1">
      <alignment vertical="center" wrapText="1"/>
    </xf>
    <xf numFmtId="0" fontId="107" fillId="8" borderId="36" xfId="0" applyFont="1" applyFill="1" applyBorder="1" applyAlignment="1" applyProtection="1">
      <alignment horizontal="center" vertical="center" wrapText="1"/>
    </xf>
    <xf numFmtId="0" fontId="107" fillId="8" borderId="2" xfId="0" applyFont="1" applyFill="1" applyBorder="1" applyAlignment="1" applyProtection="1">
      <alignment vertical="center" wrapText="1"/>
    </xf>
    <xf numFmtId="0" fontId="107" fillId="8" borderId="60" xfId="0" applyFont="1" applyFill="1" applyBorder="1" applyAlignment="1" applyProtection="1">
      <alignment vertical="center" wrapText="1"/>
    </xf>
    <xf numFmtId="0" fontId="107" fillId="8" borderId="0" xfId="0" applyFont="1" applyFill="1" applyBorder="1" applyAlignment="1" applyProtection="1">
      <alignment horizontal="center" vertical="center" wrapText="1"/>
    </xf>
    <xf numFmtId="0" fontId="107" fillId="8" borderId="64" xfId="0" applyFont="1" applyFill="1" applyBorder="1" applyAlignment="1" applyProtection="1">
      <alignment vertical="center" wrapText="1"/>
    </xf>
    <xf numFmtId="0" fontId="107" fillId="8" borderId="65" xfId="0" applyFont="1" applyFill="1" applyBorder="1" applyAlignment="1" applyProtection="1">
      <alignment horizontal="center" vertical="center" wrapText="1"/>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80"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8"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8"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2"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9" fontId="0" fillId="5" borderId="11" xfId="0" applyNumberFormat="1" applyFill="1" applyBorder="1" applyAlignment="1" applyProtection="1">
      <alignment horizontal="center" vertical="center"/>
    </xf>
    <xf numFmtId="179" fontId="0" fillId="5" borderId="13" xfId="0" applyNumberFormat="1" applyFill="1" applyBorder="1" applyAlignment="1" applyProtection="1">
      <alignment horizontal="center" vertical="center"/>
    </xf>
    <xf numFmtId="179"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9" fontId="0" fillId="5" borderId="1" xfId="0" applyNumberFormat="1" applyFill="1" applyBorder="1" applyAlignment="1" applyProtection="1">
      <alignment horizontal="center" vertical="center"/>
    </xf>
    <xf numFmtId="179" fontId="0" fillId="5" borderId="2" xfId="0" applyNumberFormat="1" applyFill="1" applyBorder="1" applyAlignment="1" applyProtection="1">
      <alignment horizontal="center" vertical="center"/>
    </xf>
    <xf numFmtId="179"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9" fontId="0" fillId="5" borderId="44" xfId="0" applyNumberFormat="1" applyFill="1" applyBorder="1" applyAlignment="1" applyProtection="1">
      <alignment horizontal="center" vertical="center"/>
    </xf>
    <xf numFmtId="179" fontId="0" fillId="5" borderId="61" xfId="0" applyNumberFormat="1" applyFill="1" applyBorder="1" applyAlignment="1" applyProtection="1">
      <alignment horizontal="center" vertical="center"/>
    </xf>
    <xf numFmtId="179"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80"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8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49" fillId="5" borderId="49" xfId="0" applyNumberFormat="1" applyFont="1" applyFill="1" applyBorder="1" applyAlignment="1" applyProtection="1">
      <alignment horizontal="center" vertical="center" wrapText="1"/>
    </xf>
    <xf numFmtId="0" fontId="49" fillId="5" borderId="57" xfId="0" applyNumberFormat="1" applyFont="1" applyFill="1" applyBorder="1" applyAlignment="1" applyProtection="1">
      <alignment horizontal="center" vertical="center" wrapText="1"/>
    </xf>
    <xf numFmtId="0" fontId="118" fillId="5" borderId="37" xfId="0" applyNumberFormat="1" applyFont="1" applyFill="1" applyBorder="1" applyAlignment="1" applyProtection="1">
      <alignment horizontal="center" vertical="center" wrapText="1"/>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9" fillId="5" borderId="5" xfId="0" applyNumberFormat="1" applyFont="1" applyFill="1" applyBorder="1" applyAlignment="1" applyProtection="1">
      <alignment vertical="center" wrapText="1"/>
    </xf>
    <xf numFmtId="0" fontId="49" fillId="5" borderId="7" xfId="0" applyNumberFormat="1" applyFont="1" applyFill="1" applyBorder="1" applyAlignment="1" applyProtection="1">
      <alignment horizontal="center" vertical="center" wrapText="1"/>
    </xf>
    <xf numFmtId="0" fontId="118" fillId="5" borderId="1" xfId="0" applyNumberFormat="1" applyFont="1" applyFill="1" applyBorder="1" applyAlignment="1" applyProtection="1">
      <alignment horizontal="center" vertical="center" wrapText="1"/>
    </xf>
    <xf numFmtId="0" fontId="118" fillId="5" borderId="6" xfId="0" applyNumberFormat="1" applyFont="1" applyFill="1" applyBorder="1" applyAlignment="1" applyProtection="1">
      <alignment horizontal="center" vertical="center" wrapText="1"/>
    </xf>
    <xf numFmtId="0" fontId="118" fillId="5" borderId="61" xfId="0" applyNumberFormat="1" applyFont="1" applyFill="1" applyBorder="1" applyAlignment="1" applyProtection="1">
      <alignment horizontal="center" vertical="center" wrapText="1"/>
    </xf>
    <xf numFmtId="0" fontId="118" fillId="5" borderId="43" xfId="0" applyNumberFormat="1" applyFont="1" applyFill="1" applyBorder="1" applyAlignment="1" applyProtection="1">
      <alignment horizontal="center" vertical="center" wrapText="1"/>
    </xf>
    <xf numFmtId="180" fontId="78" fillId="5"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47" fillId="5" borderId="1" xfId="0" applyNumberFormat="1"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xf>
    <xf numFmtId="0" fontId="50" fillId="5" borderId="14" xfId="0" applyFont="1" applyFill="1" applyBorder="1" applyAlignment="1" applyProtection="1">
      <alignment horizontal="center" vertical="center"/>
    </xf>
    <xf numFmtId="0" fontId="50" fillId="5" borderId="13"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9" fillId="5" borderId="64" xfId="0" applyFont="1" applyFill="1" applyBorder="1" applyAlignment="1" applyProtection="1">
      <alignment horizontal="center" vertical="center" wrapText="1"/>
    </xf>
    <xf numFmtId="9" fontId="49" fillId="5" borderId="1" xfId="0" applyNumberFormat="1"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50" xfId="0" applyFont="1" applyFill="1" applyBorder="1" applyAlignment="1" applyProtection="1">
      <alignment horizontal="center" vertical="center" wrapText="1"/>
    </xf>
    <xf numFmtId="0" fontId="46" fillId="5" borderId="14" xfId="0" applyFont="1" applyFill="1" applyBorder="1" applyAlignment="1" applyProtection="1">
      <alignment horizontal="center" vertical="center" wrapText="1"/>
    </xf>
    <xf numFmtId="188" fontId="46" fillId="5" borderId="84" xfId="0" applyNumberFormat="1" applyFont="1" applyFill="1" applyBorder="1" applyAlignment="1" applyProtection="1">
      <alignment horizontal="center" vertical="center" wrapText="1"/>
    </xf>
    <xf numFmtId="14" fontId="47" fillId="5" borderId="84" xfId="0" applyNumberFormat="1" applyFont="1" applyFill="1" applyBorder="1" applyAlignment="1" applyProtection="1">
      <alignment horizontal="center" vertical="center" wrapText="1"/>
    </xf>
    <xf numFmtId="14" fontId="47" fillId="5" borderId="66" xfId="0" applyNumberFormat="1" applyFont="1" applyFill="1" applyBorder="1" applyAlignment="1" applyProtection="1">
      <alignment horizontal="center" vertical="center" wrapText="1"/>
    </xf>
    <xf numFmtId="10" fontId="47" fillId="5" borderId="66" xfId="0" applyNumberFormat="1" applyFont="1" applyFill="1" applyBorder="1" applyAlignment="1" applyProtection="1">
      <alignment horizontal="center" vertical="center" wrapText="1"/>
    </xf>
    <xf numFmtId="0" fontId="102" fillId="5" borderId="15" xfId="0" applyFont="1" applyFill="1" applyBorder="1" applyAlignment="1" applyProtection="1">
      <alignment horizontal="center" vertical="center" wrapText="1"/>
    </xf>
    <xf numFmtId="188" fontId="46" fillId="5" borderId="57" xfId="0" applyNumberFormat="1" applyFont="1" applyFill="1" applyBorder="1" applyAlignment="1" applyProtection="1">
      <alignment horizontal="center" vertical="center" wrapText="1"/>
    </xf>
    <xf numFmtId="0" fontId="46" fillId="5" borderId="17" xfId="0"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50" fillId="5" borderId="49" xfId="0" applyFont="1" applyFill="1" applyBorder="1" applyAlignment="1" applyProtection="1">
      <alignment horizontal="center" vertical="center" wrapText="1"/>
    </xf>
    <xf numFmtId="0" fontId="50" fillId="5" borderId="61" xfId="0" applyFont="1" applyFill="1" applyBorder="1" applyAlignment="1" applyProtection="1">
      <alignment horizontal="center" vertical="center" wrapText="1"/>
    </xf>
    <xf numFmtId="0" fontId="109" fillId="5" borderId="2" xfId="0" applyFont="1" applyFill="1" applyBorder="1" applyAlignment="1" applyProtection="1">
      <alignment horizontal="center" vertical="center" wrapText="1"/>
    </xf>
    <xf numFmtId="182" fontId="102" fillId="5" borderId="57" xfId="0" applyNumberFormat="1" applyFont="1" applyFill="1" applyBorder="1" applyAlignment="1" applyProtection="1">
      <alignment horizontal="center" vertical="center" wrapText="1"/>
    </xf>
    <xf numFmtId="0" fontId="49" fillId="5" borderId="12" xfId="0" applyFont="1" applyFill="1" applyBorder="1" applyAlignment="1" applyProtection="1">
      <alignment horizontal="center" vertical="center" wrapText="1"/>
    </xf>
    <xf numFmtId="0" fontId="49" fillId="5" borderId="59" xfId="0" applyFont="1" applyFill="1" applyBorder="1" applyAlignment="1" applyProtection="1">
      <alignment horizontal="center" vertical="center" wrapText="1"/>
    </xf>
    <xf numFmtId="0" fontId="47" fillId="5" borderId="11" xfId="0" applyFont="1" applyFill="1" applyBorder="1" applyAlignment="1" applyProtection="1">
      <alignment horizontal="center" vertical="center" wrapText="1"/>
    </xf>
    <xf numFmtId="0" fontId="47" fillId="5" borderId="6" xfId="0" applyFont="1" applyFill="1" applyBorder="1" applyAlignment="1" applyProtection="1">
      <alignment horizontal="center" vertical="center" wrapText="1"/>
    </xf>
    <xf numFmtId="188" fontId="46" fillId="5" borderId="61" xfId="0" applyNumberFormat="1" applyFont="1" applyFill="1" applyBorder="1" applyAlignment="1" applyProtection="1">
      <alignment horizontal="center" vertical="center" wrapText="1"/>
    </xf>
    <xf numFmtId="182"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73" fillId="5" borderId="0" xfId="0" applyFont="1" applyFill="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8" fontId="47" fillId="0" borderId="1" xfId="0" applyNumberFormat="1" applyFont="1" applyFill="1" applyBorder="1" applyAlignment="1" applyProtection="1">
      <alignment horizontal="center" vertical="center" wrapText="1"/>
      <protection locked="0"/>
    </xf>
    <xf numFmtId="0" fontId="49" fillId="0" borderId="11" xfId="0" applyFont="1" applyFill="1" applyBorder="1" applyAlignment="1" applyProtection="1">
      <alignment horizontal="center" vertical="center" wrapText="1"/>
      <protection locked="0"/>
    </xf>
    <xf numFmtId="0" fontId="49" fillId="0" borderId="61" xfId="0" applyFont="1" applyFill="1" applyBorder="1" applyAlignment="1" applyProtection="1">
      <alignment horizontal="center" vertical="center" wrapText="1"/>
      <protection locked="0"/>
    </xf>
    <xf numFmtId="0" fontId="49" fillId="0" borderId="43" xfId="0" applyFont="1" applyFill="1" applyBorder="1" applyAlignment="1" applyProtection="1">
      <alignment horizontal="center" vertical="center" wrapText="1"/>
      <protection locked="0"/>
    </xf>
    <xf numFmtId="0" fontId="43" fillId="0" borderId="6" xfId="0" applyFont="1" applyBorder="1" applyAlignment="1" applyProtection="1">
      <alignment vertical="center" wrapText="1"/>
      <protection locked="0"/>
    </xf>
    <xf numFmtId="182" fontId="48" fillId="5" borderId="41" xfId="0" applyNumberFormat="1" applyFont="1" applyFill="1" applyBorder="1" applyAlignment="1" applyProtection="1">
      <alignment horizontal="center" vertical="center"/>
    </xf>
    <xf numFmtId="0" fontId="53" fillId="5" borderId="0" xfId="0" applyFont="1" applyFill="1" applyBorder="1" applyAlignment="1" applyProtection="1">
      <alignment vertical="center"/>
      <protection locked="0"/>
    </xf>
    <xf numFmtId="0" fontId="58" fillId="5" borderId="0" xfId="0" applyFont="1" applyFill="1" applyBorder="1" applyAlignment="1" applyProtection="1">
      <alignment vertical="center"/>
      <protection locked="0"/>
    </xf>
    <xf numFmtId="0" fontId="66" fillId="5" borderId="0" xfId="0" applyFont="1" applyFill="1" applyBorder="1" applyAlignment="1" applyProtection="1">
      <alignment vertical="center"/>
      <protection locked="0"/>
    </xf>
    <xf numFmtId="190" fontId="58" fillId="5" borderId="0" xfId="0" applyNumberFormat="1" applyFont="1" applyFill="1" applyBorder="1" applyAlignment="1" applyProtection="1">
      <alignment horizontal="center" vertical="center"/>
      <protection locked="0"/>
    </xf>
    <xf numFmtId="0" fontId="43" fillId="5" borderId="0" xfId="0" applyFont="1" applyFill="1" applyAlignment="1" applyProtection="1">
      <alignment vertical="center" wrapText="1"/>
    </xf>
    <xf numFmtId="178" fontId="43" fillId="0" borderId="31" xfId="1" applyNumberFormat="1" applyFont="1" applyFill="1" applyBorder="1" applyAlignment="1" applyProtection="1">
      <alignment horizontal="center" vertical="center"/>
      <protection locked="0"/>
    </xf>
    <xf numFmtId="0" fontId="40" fillId="5" borderId="6" xfId="1" applyNumberFormat="1" applyFont="1" applyFill="1" applyBorder="1" applyAlignment="1" applyProtection="1">
      <alignment horizontal="center" vertical="center"/>
    </xf>
    <xf numFmtId="10" fontId="43" fillId="0" borderId="6" xfId="1" applyNumberFormat="1" applyFont="1" applyFill="1" applyBorder="1" applyAlignment="1" applyProtection="1">
      <alignment horizontal="center" vertical="center"/>
      <protection locked="0"/>
    </xf>
    <xf numFmtId="10" fontId="40" fillId="5" borderId="34" xfId="0" applyNumberFormat="1" applyFont="1" applyFill="1" applyBorder="1" applyAlignment="1" applyProtection="1">
      <alignment horizontal="center" vertical="center"/>
    </xf>
    <xf numFmtId="9" fontId="43" fillId="0" borderId="43" xfId="0" applyNumberFormat="1" applyFont="1" applyFill="1" applyBorder="1" applyAlignment="1" applyProtection="1">
      <alignment horizontal="center" vertical="center"/>
      <protection locked="0"/>
    </xf>
    <xf numFmtId="178" fontId="43" fillId="6" borderId="6" xfId="1" applyNumberFormat="1" applyFont="1" applyFill="1" applyBorder="1" applyAlignment="1" applyProtection="1">
      <alignment horizontal="center" vertical="center"/>
      <protection locked="0"/>
    </xf>
    <xf numFmtId="180" fontId="47" fillId="5" borderId="6" xfId="1" applyNumberFormat="1" applyFont="1" applyFill="1" applyBorder="1" applyAlignment="1" applyProtection="1">
      <alignment horizontal="center" vertical="center"/>
    </xf>
    <xf numFmtId="181" fontId="47" fillId="5" borderId="6" xfId="1" applyNumberFormat="1" applyFont="1" applyFill="1" applyBorder="1" applyAlignment="1" applyProtection="1">
      <alignment horizontal="center" vertical="center"/>
    </xf>
    <xf numFmtId="0" fontId="40" fillId="6" borderId="6" xfId="0" applyFont="1" applyFill="1" applyBorder="1" applyAlignment="1" applyProtection="1">
      <alignment horizontal="center" vertical="center"/>
      <protection locked="0"/>
    </xf>
    <xf numFmtId="0" fontId="40" fillId="5" borderId="38" xfId="0"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49" fontId="43" fillId="6" borderId="3" xfId="0" applyNumberFormat="1" applyFont="1" applyFill="1" applyBorder="1" applyAlignment="1" applyProtection="1">
      <alignment horizontal="center" vertical="center" wrapText="1"/>
      <protection locked="0"/>
    </xf>
    <xf numFmtId="182" fontId="40" fillId="0" borderId="43" xfId="0" applyNumberFormat="1" applyFont="1" applyFill="1" applyBorder="1" applyAlignment="1" applyProtection="1">
      <alignment horizontal="center" vertical="center"/>
      <protection locked="0"/>
    </xf>
    <xf numFmtId="0" fontId="40" fillId="0" borderId="34" xfId="0" applyFont="1" applyFill="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10" fontId="40" fillId="0" borderId="6" xfId="0" applyNumberFormat="1" applyFont="1" applyBorder="1" applyAlignment="1" applyProtection="1">
      <alignment horizontal="center" vertical="center"/>
      <protection locked="0"/>
    </xf>
    <xf numFmtId="184" fontId="40" fillId="0" borderId="6" xfId="0" applyNumberFormat="1" applyFont="1" applyBorder="1" applyAlignment="1" applyProtection="1">
      <alignment horizontal="center" vertical="center"/>
      <protection locked="0"/>
    </xf>
    <xf numFmtId="182" fontId="40" fillId="0" borderId="43" xfId="0" applyNumberFormat="1" applyFont="1" applyBorder="1" applyAlignment="1" applyProtection="1">
      <alignment horizontal="center" vertical="center"/>
      <protection locked="0"/>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185" fontId="43" fillId="0" borderId="43" xfId="0" applyNumberFormat="1" applyFont="1" applyFill="1" applyBorder="1" applyAlignment="1" applyProtection="1">
      <alignment horizontal="center" vertical="center"/>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3" fillId="5" borderId="4" xfId="0" applyFont="1" applyFill="1" applyBorder="1" applyAlignment="1" applyProtection="1">
      <alignment horizontal="left" vertical="center" wrapText="1"/>
    </xf>
    <xf numFmtId="49" fontId="43" fillId="0" borderId="6" xfId="0" applyNumberFormat="1" applyFont="1" applyFill="1" applyBorder="1" applyAlignment="1" applyProtection="1">
      <alignment horizontal="center" vertical="center" wrapText="1"/>
      <protection locked="0"/>
    </xf>
    <xf numFmtId="49" fontId="43" fillId="6" borderId="61" xfId="0" applyNumberFormat="1" applyFont="1" applyFill="1" applyBorder="1" applyAlignment="1" applyProtection="1">
      <alignment horizontal="center" vertical="center" wrapText="1"/>
      <protection locked="0"/>
    </xf>
    <xf numFmtId="49" fontId="43" fillId="0" borderId="43" xfId="0" applyNumberFormat="1" applyFont="1" applyFill="1" applyBorder="1" applyAlignment="1" applyProtection="1">
      <alignment horizontal="center" vertical="center" wrapText="1"/>
      <protection locked="0"/>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8" fillId="5" borderId="37" xfId="0" applyFont="1" applyFill="1" applyBorder="1" applyAlignment="1" applyProtection="1">
      <alignment horizontal="right" vertical="center"/>
    </xf>
    <xf numFmtId="0" fontId="43" fillId="5" borderId="28" xfId="0" applyFont="1" applyFill="1" applyBorder="1" applyAlignment="1" applyProtection="1">
      <alignment horizontal="left" vertical="center" wrapText="1"/>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protection locked="0"/>
    </xf>
    <xf numFmtId="0" fontId="95" fillId="0" borderId="0" xfId="5" applyFont="1" applyAlignment="1">
      <alignment horizontal="right" vertical="center"/>
    </xf>
    <xf numFmtId="14" fontId="122" fillId="0" borderId="0" xfId="5" applyNumberFormat="1" applyFont="1" applyAlignment="1">
      <alignment horizontal="left" vertical="center"/>
    </xf>
    <xf numFmtId="0" fontId="96" fillId="0" borderId="0" xfId="5" applyFont="1">
      <alignment vertical="center"/>
    </xf>
    <xf numFmtId="0" fontId="94" fillId="0" borderId="0" xfId="5">
      <alignment vertical="center"/>
    </xf>
    <xf numFmtId="0" fontId="123" fillId="6" borderId="18" xfId="5" applyFont="1" applyFill="1" applyBorder="1" applyAlignment="1">
      <alignment vertical="center"/>
    </xf>
    <xf numFmtId="0" fontId="124" fillId="0" borderId="1" xfId="5" applyFont="1" applyBorder="1" applyAlignment="1">
      <alignment horizontal="right" vertical="center"/>
    </xf>
    <xf numFmtId="0" fontId="124" fillId="0" borderId="2" xfId="5" applyFont="1" applyBorder="1" applyAlignment="1">
      <alignment vertical="center"/>
    </xf>
    <xf numFmtId="0" fontId="124" fillId="0" borderId="1" xfId="5" applyFont="1" applyFill="1" applyBorder="1" applyAlignment="1">
      <alignment horizontal="right" vertical="center"/>
    </xf>
    <xf numFmtId="185" fontId="124" fillId="0" borderId="18" xfId="5" applyNumberFormat="1" applyFont="1" applyFill="1" applyBorder="1" applyAlignment="1">
      <alignment horizontal="right" vertical="center"/>
    </xf>
    <xf numFmtId="0" fontId="94" fillId="0" borderId="0" xfId="5" applyFill="1">
      <alignment vertical="center"/>
    </xf>
    <xf numFmtId="0" fontId="125" fillId="0" borderId="0" xfId="5" applyFont="1">
      <alignment vertical="center"/>
    </xf>
    <xf numFmtId="0" fontId="123" fillId="0" borderId="1" xfId="5" applyFont="1" applyFill="1" applyBorder="1" applyAlignment="1">
      <alignment vertical="center"/>
    </xf>
    <xf numFmtId="0" fontId="126" fillId="0" borderId="0" xfId="5" applyFont="1">
      <alignment vertical="center"/>
    </xf>
    <xf numFmtId="0" fontId="126" fillId="0" borderId="1" xfId="5" applyFont="1" applyBorder="1">
      <alignment vertical="center"/>
    </xf>
    <xf numFmtId="0" fontId="95" fillId="0" borderId="1" xfId="5" applyFont="1" applyBorder="1">
      <alignment vertical="center"/>
    </xf>
    <xf numFmtId="185" fontId="124" fillId="0" borderId="1" xfId="5" applyNumberFormat="1" applyFont="1" applyFill="1" applyBorder="1" applyAlignment="1">
      <alignment horizontal="right" vertical="center"/>
    </xf>
    <xf numFmtId="14" fontId="126" fillId="0" borderId="1" xfId="5" applyNumberFormat="1" applyFont="1" applyBorder="1">
      <alignment vertical="center"/>
    </xf>
    <xf numFmtId="0" fontId="83" fillId="0" borderId="1" xfId="5" applyFont="1" applyBorder="1">
      <alignment vertical="center"/>
    </xf>
    <xf numFmtId="14" fontId="94" fillId="0" borderId="0" xfId="5" applyNumberFormat="1">
      <alignment vertical="center"/>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124" fillId="0" borderId="2" xfId="5" applyFont="1" applyBorder="1" applyAlignment="1">
      <alignment horizontal="right" vertical="center"/>
    </xf>
    <xf numFmtId="0" fontId="57" fillId="0" borderId="1" xfId="0" applyFont="1" applyFill="1" applyBorder="1" applyAlignment="1" applyProtection="1">
      <alignment horizontal="center" vertical="center" wrapText="1"/>
    </xf>
    <xf numFmtId="0" fontId="57"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xf>
    <xf numFmtId="0" fontId="43" fillId="5" borderId="43"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185" fontId="43" fillId="0" borderId="31" xfId="0" applyNumberFormat="1" applyFont="1" applyFill="1" applyBorder="1" applyAlignment="1" applyProtection="1">
      <alignment horizontal="left" vertical="center"/>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26" xfId="0" applyFont="1" applyFill="1" applyBorder="1" applyAlignment="1" applyProtection="1">
      <alignment horizontal="left" vertical="center" wrapText="1"/>
    </xf>
    <xf numFmtId="0" fontId="43" fillId="6" borderId="34"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124" fillId="0" borderId="1" xfId="5" applyFont="1" applyBorder="1" applyAlignment="1">
      <alignment horizontal="center" vertical="center"/>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75" xfId="0" applyFont="1" applyFill="1" applyBorder="1" applyAlignment="1" applyProtection="1">
      <alignment horizontal="right" vertical="center" wrapText="1"/>
    </xf>
    <xf numFmtId="0" fontId="43" fillId="5" borderId="75" xfId="0" applyNumberFormat="1" applyFont="1" applyFill="1" applyBorder="1" applyAlignment="1" applyProtection="1">
      <alignment horizontal="right" vertical="center"/>
    </xf>
    <xf numFmtId="0" fontId="43" fillId="5" borderId="90" xfId="0" applyFont="1" applyFill="1" applyBorder="1" applyAlignment="1" applyProtection="1">
      <alignment vertical="center" wrapText="1"/>
    </xf>
    <xf numFmtId="0" fontId="43" fillId="5" borderId="90" xfId="0" applyFont="1" applyFill="1" applyBorder="1" applyAlignment="1" applyProtection="1">
      <alignment horizontal="center"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horizontal="center" vertical="center" wrapText="1"/>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49" fontId="43" fillId="0" borderId="0" xfId="0" applyNumberFormat="1" applyFont="1" applyAlignment="1" applyProtection="1">
      <alignment horizontal="center" vertical="center" wrapText="1"/>
    </xf>
    <xf numFmtId="0" fontId="48" fillId="0" borderId="0" xfId="0" applyFont="1" applyAlignment="1" applyProtection="1">
      <alignment vertical="center" wrapText="1"/>
    </xf>
    <xf numFmtId="49" fontId="48" fillId="0" borderId="0" xfId="0" applyNumberFormat="1" applyFont="1" applyAlignment="1" applyProtection="1">
      <alignment horizontal="center" vertical="center" wrapText="1"/>
    </xf>
    <xf numFmtId="0" fontId="48" fillId="0" borderId="0" xfId="0" applyFont="1" applyAlignment="1" applyProtection="1">
      <alignment horizontal="center"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43" fillId="0" borderId="0" xfId="0" applyFont="1" applyAlignment="1" applyProtection="1">
      <alignment horizontal="center" vertical="center"/>
    </xf>
    <xf numFmtId="49" fontId="43" fillId="0" borderId="0" xfId="0" applyNumberFormat="1" applyFont="1" applyAlignment="1" applyProtection="1">
      <alignment horizontal="center" vertical="center"/>
    </xf>
    <xf numFmtId="14" fontId="43" fillId="0" borderId="54" xfId="0" applyNumberFormat="1" applyFont="1" applyFill="1" applyBorder="1" applyAlignment="1" applyProtection="1">
      <alignment horizontal="left" vertical="center"/>
      <protection locked="0"/>
    </xf>
    <xf numFmtId="0" fontId="48" fillId="6" borderId="37" xfId="0" applyFont="1" applyFill="1" applyBorder="1" applyAlignment="1" applyProtection="1">
      <alignment horizontal="center" vertical="center" wrapText="1"/>
      <protection locked="0"/>
    </xf>
    <xf numFmtId="182" fontId="40" fillId="5" borderId="35" xfId="0" applyNumberFormat="1" applyFont="1" applyFill="1" applyBorder="1" applyProtection="1">
      <alignment vertical="center"/>
    </xf>
    <xf numFmtId="182" fontId="40" fillId="5" borderId="64" xfId="0" applyNumberFormat="1" applyFont="1" applyFill="1" applyBorder="1" applyProtection="1">
      <alignment vertical="center"/>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40" fillId="0" borderId="15" xfId="0" applyNumberFormat="1" applyFont="1" applyFill="1" applyBorder="1" applyAlignment="1" applyProtection="1">
      <alignment horizontal="center" vertical="center"/>
      <protection locked="0"/>
    </xf>
    <xf numFmtId="0" fontId="132" fillId="5" borderId="0" xfId="0" applyFont="1" applyFill="1" applyAlignment="1" applyProtection="1">
      <alignment horizontal="center" vertical="center"/>
    </xf>
    <xf numFmtId="185" fontId="124" fillId="0" borderId="1" xfId="0" applyNumberFormat="1" applyFont="1" applyFill="1" applyBorder="1" applyAlignment="1">
      <alignment horizontal="right" vertical="center"/>
    </xf>
    <xf numFmtId="185" fontId="83" fillId="0" borderId="1" xfId="0" applyNumberFormat="1" applyFont="1" applyFill="1" applyBorder="1" applyAlignment="1">
      <alignment horizontal="right"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99" fillId="5" borderId="13" xfId="0" applyNumberFormat="1" applyFont="1" applyFill="1" applyBorder="1" applyProtection="1">
      <alignment vertical="center"/>
    </xf>
    <xf numFmtId="0" fontId="99" fillId="5" borderId="2" xfId="0" applyNumberFormat="1" applyFont="1" applyFill="1" applyBorder="1" applyProtection="1">
      <alignment vertical="center"/>
    </xf>
    <xf numFmtId="0" fontId="99" fillId="5" borderId="44" xfId="0" applyNumberFormat="1" applyFont="1" applyFill="1" applyBorder="1" applyProtection="1">
      <alignment vertical="center"/>
    </xf>
    <xf numFmtId="10" fontId="49" fillId="5" borderId="31" xfId="0" applyNumberFormat="1" applyFont="1" applyFill="1" applyBorder="1" applyAlignment="1" applyProtection="1">
      <alignment vertical="center" wrapText="1"/>
    </xf>
    <xf numFmtId="10" fontId="49" fillId="5" borderId="6" xfId="0" applyNumberFormat="1" applyFont="1" applyFill="1" applyBorder="1" applyAlignment="1" applyProtection="1">
      <alignment vertical="center" wrapText="1"/>
    </xf>
    <xf numFmtId="10" fontId="49" fillId="5" borderId="43" xfId="0" applyNumberFormat="1" applyFont="1" applyFill="1" applyBorder="1" applyAlignment="1" applyProtection="1">
      <alignment vertical="center" wrapText="1"/>
    </xf>
    <xf numFmtId="0" fontId="54" fillId="5" borderId="23"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188" fontId="54" fillId="5" borderId="34" xfId="0" applyNumberFormat="1"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179" fontId="54" fillId="5" borderId="6" xfId="0" applyNumberFormat="1" applyFont="1" applyFill="1" applyBorder="1" applyAlignment="1" applyProtection="1">
      <alignment horizontal="center" vertical="center"/>
    </xf>
    <xf numFmtId="179" fontId="54" fillId="5" borderId="43" xfId="0" applyNumberFormat="1" applyFont="1" applyFill="1" applyBorder="1" applyAlignment="1" applyProtection="1">
      <alignment horizontal="center" vertical="center"/>
    </xf>
    <xf numFmtId="0" fontId="54" fillId="5" borderId="61" xfId="0" applyFont="1" applyFill="1" applyBorder="1" applyAlignment="1" applyProtection="1">
      <alignment horizontal="center" vertical="center"/>
    </xf>
    <xf numFmtId="0" fontId="54" fillId="5" borderId="40" xfId="0" applyFont="1" applyFill="1" applyBorder="1" applyAlignment="1" applyProtection="1">
      <alignment horizontal="center" vertical="center"/>
    </xf>
    <xf numFmtId="0" fontId="54" fillId="0" borderId="17" xfId="0" applyFont="1" applyBorder="1" applyAlignment="1" applyProtection="1">
      <alignment horizontal="center" vertical="center"/>
      <protection locked="0"/>
    </xf>
    <xf numFmtId="0" fontId="54" fillId="0" borderId="64" xfId="0" applyFont="1" applyBorder="1" applyAlignment="1" applyProtection="1">
      <alignment horizontal="center" vertical="center"/>
      <protection locked="0"/>
    </xf>
    <xf numFmtId="0" fontId="54" fillId="0" borderId="97" xfId="0" applyFont="1" applyFill="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95"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0" fontId="99" fillId="0" borderId="95" xfId="0" applyFont="1" applyFill="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43" fillId="5" borderId="0" xfId="0" applyFont="1" applyFill="1" applyAlignment="1" applyProtection="1">
      <alignment horizontal="center" vertical="center"/>
    </xf>
    <xf numFmtId="0" fontId="40" fillId="5" borderId="15" xfId="0" applyFont="1" applyFill="1" applyBorder="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40" fillId="6" borderId="53" xfId="0" applyNumberFormat="1" applyFont="1" applyFill="1" applyBorder="1" applyAlignment="1" applyProtection="1">
      <alignment horizontal="center" vertical="center"/>
      <protection locked="0"/>
    </xf>
    <xf numFmtId="0" fontId="105" fillId="5" borderId="80" xfId="0" applyFont="1" applyFill="1" applyBorder="1" applyAlignment="1" applyProtection="1">
      <alignment vertical="center" wrapText="1"/>
    </xf>
    <xf numFmtId="0" fontId="57" fillId="5" borderId="2" xfId="0" applyFont="1" applyFill="1" applyBorder="1" applyProtection="1">
      <alignment vertical="center"/>
    </xf>
    <xf numFmtId="0" fontId="57" fillId="5" borderId="0" xfId="0" applyFont="1" applyFill="1" applyBorder="1" applyProtection="1">
      <alignment vertical="center"/>
    </xf>
    <xf numFmtId="0" fontId="56" fillId="0" borderId="1" xfId="0" applyNumberFormat="1" applyFont="1" applyFill="1" applyBorder="1" applyAlignment="1" applyProtection="1">
      <alignment horizontal="center" vertical="center"/>
      <protection locked="0"/>
    </xf>
    <xf numFmtId="180" fontId="40" fillId="5" borderId="58" xfId="0" applyNumberFormat="1" applyFont="1" applyFill="1" applyBorder="1" applyAlignment="1" applyProtection="1">
      <alignment horizontal="center" vertical="center"/>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14" fontId="40" fillId="5" borderId="15" xfId="0" applyNumberFormat="1" applyFont="1" applyFill="1" applyBorder="1" applyAlignment="1" applyProtection="1">
      <alignment horizontal="center" vertical="center"/>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80"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80"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8" fontId="53" fillId="8" borderId="0" xfId="0" applyNumberFormat="1" applyFont="1" applyFill="1" applyBorder="1" applyAlignment="1" applyProtection="1"/>
    <xf numFmtId="182" fontId="58" fillId="5" borderId="0" xfId="0" applyNumberFormat="1" applyFont="1" applyFill="1" applyBorder="1" applyAlignment="1" applyProtection="1">
      <alignment vertical="center"/>
      <protection locked="0"/>
    </xf>
    <xf numFmtId="0" fontId="58" fillId="5" borderId="0" xfId="0" applyFont="1" applyFill="1" applyBorder="1" applyAlignment="1" applyProtection="1">
      <alignment horizontal="center" vertical="center"/>
      <protection locked="0"/>
    </xf>
    <xf numFmtId="182" fontId="40" fillId="5" borderId="0" xfId="0" applyNumberFormat="1" applyFont="1" applyFill="1" applyBorder="1" applyAlignment="1" applyProtection="1">
      <alignment vertical="center" wrapText="1"/>
      <protection locked="0"/>
    </xf>
    <xf numFmtId="0" fontId="47" fillId="5" borderId="0" xfId="0" applyFont="1" applyFill="1" applyBorder="1" applyAlignment="1" applyProtection="1">
      <alignment horizontal="center" vertical="center"/>
      <protection locked="0"/>
    </xf>
    <xf numFmtId="182" fontId="40" fillId="5" borderId="0" xfId="0" applyNumberFormat="1" applyFont="1" applyFill="1" applyBorder="1" applyAlignment="1" applyProtection="1">
      <alignment horizontal="center" vertical="center" wrapText="1"/>
      <protection locked="0"/>
    </xf>
    <xf numFmtId="0" fontId="40" fillId="5" borderId="0" xfId="0" applyFont="1" applyFill="1" applyBorder="1" applyAlignment="1" applyProtection="1">
      <alignment horizontal="center" vertical="center"/>
      <protection locked="0"/>
    </xf>
    <xf numFmtId="0" fontId="40" fillId="5" borderId="25"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25" xfId="0" applyFont="1" applyFill="1" applyBorder="1" applyAlignment="1" applyProtection="1">
      <alignment horizontal="center" vertical="center"/>
      <protection locked="0"/>
    </xf>
    <xf numFmtId="182" fontId="45" fillId="5" borderId="0" xfId="0" applyNumberFormat="1" applyFont="1" applyFill="1" applyBorder="1" applyAlignment="1" applyProtection="1">
      <alignment horizontal="center" vertical="center" wrapText="1"/>
      <protection locked="0"/>
    </xf>
    <xf numFmtId="0" fontId="47" fillId="5" borderId="25"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horizontal="center" vertical="center" wrapText="1"/>
      <protection locked="0"/>
    </xf>
    <xf numFmtId="0" fontId="45" fillId="5" borderId="0" xfId="0" applyFont="1" applyFill="1" applyBorder="1" applyAlignment="1" applyProtection="1">
      <alignment horizontal="center" vertical="center"/>
      <protection locked="0"/>
    </xf>
    <xf numFmtId="0" fontId="45" fillId="5" borderId="25" xfId="0" applyFont="1" applyFill="1" applyBorder="1" applyAlignment="1" applyProtection="1">
      <alignment horizontal="center" vertical="center"/>
      <protection locked="0"/>
    </xf>
    <xf numFmtId="182" fontId="47" fillId="5" borderId="0" xfId="0" applyNumberFormat="1" applyFont="1" applyFill="1" applyBorder="1" applyAlignment="1" applyProtection="1">
      <alignment vertical="center" wrapText="1"/>
      <protection locked="0"/>
    </xf>
    <xf numFmtId="0" fontId="47" fillId="5" borderId="0" xfId="0" applyFont="1" applyFill="1" applyAlignment="1" applyProtection="1">
      <alignment horizontal="center" vertical="center"/>
      <protection locked="0"/>
    </xf>
    <xf numFmtId="182" fontId="47" fillId="5" borderId="0" xfId="0" applyNumberFormat="1" applyFont="1" applyFill="1" applyAlignment="1" applyProtection="1">
      <alignment horizontal="center" vertical="center"/>
      <protection locked="0"/>
    </xf>
    <xf numFmtId="0" fontId="69" fillId="5" borderId="0" xfId="0"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9" fontId="47" fillId="5" borderId="0" xfId="0" applyNumberFormat="1" applyFont="1" applyFill="1" applyAlignment="1" applyProtection="1">
      <alignment horizontal="center" vertical="center"/>
      <protection locked="0"/>
    </xf>
    <xf numFmtId="190" fontId="47" fillId="5" borderId="0" xfId="0" applyNumberFormat="1" applyFont="1" applyFill="1" applyAlignment="1" applyProtection="1">
      <alignment horizontal="center" vertical="center"/>
      <protection locked="0"/>
    </xf>
    <xf numFmtId="190" fontId="69" fillId="5" borderId="0" xfId="0" applyNumberFormat="1" applyFont="1" applyFill="1" applyAlignment="1" applyProtection="1">
      <alignment horizontal="center" vertical="center"/>
      <protection locked="0"/>
    </xf>
    <xf numFmtId="182" fontId="69" fillId="5" borderId="0" xfId="0" applyNumberFormat="1" applyFont="1" applyFill="1" applyAlignment="1" applyProtection="1">
      <alignment horizontal="center" vertical="center"/>
      <protection locked="0"/>
    </xf>
    <xf numFmtId="177" fontId="47" fillId="5" borderId="0" xfId="0" applyNumberFormat="1" applyFont="1" applyFill="1" applyAlignment="1" applyProtection="1">
      <alignment horizontal="center" vertical="center"/>
      <protection locked="0"/>
    </xf>
    <xf numFmtId="0" fontId="40" fillId="5" borderId="0" xfId="0" applyNumberFormat="1" applyFont="1" applyFill="1" applyBorder="1" applyAlignment="1" applyProtection="1">
      <alignment horizontal="center" vertical="center" wrapText="1"/>
      <protection locked="0"/>
    </xf>
    <xf numFmtId="0" fontId="69" fillId="5" borderId="0" xfId="0" applyNumberFormat="1" applyFont="1" applyFill="1" applyBorder="1" applyAlignment="1" applyProtection="1">
      <alignment horizontal="center" vertical="center" wrapText="1"/>
      <protection locked="0"/>
    </xf>
    <xf numFmtId="0" fontId="47" fillId="5" borderId="0" xfId="0" applyNumberFormat="1" applyFont="1" applyFill="1" applyBorder="1" applyAlignment="1" applyProtection="1">
      <alignment horizontal="center" vertical="center" wrapText="1"/>
      <protection locked="0"/>
    </xf>
    <xf numFmtId="0" fontId="45" fillId="5" borderId="0" xfId="0" applyNumberFormat="1" applyFont="1" applyFill="1" applyBorder="1" applyAlignment="1" applyProtection="1">
      <alignment horizontal="center" vertical="center" wrapText="1"/>
      <protection locked="0"/>
    </xf>
    <xf numFmtId="0" fontId="49" fillId="5" borderId="0" xfId="0" applyFont="1" applyFill="1" applyAlignment="1" applyProtection="1">
      <protection locked="0"/>
    </xf>
    <xf numFmtId="190" fontId="47" fillId="5" borderId="0" xfId="0" applyNumberFormat="1" applyFont="1" applyFill="1" applyBorder="1" applyAlignment="1" applyProtection="1">
      <alignment horizontal="center"/>
      <protection locked="0"/>
    </xf>
    <xf numFmtId="182"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73" fillId="5" borderId="1" xfId="0"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40" fillId="5" borderId="31" xfId="0" applyFont="1" applyFill="1" applyBorder="1" applyAlignment="1" applyProtection="1">
      <alignment horizontal="center" vertical="center"/>
    </xf>
    <xf numFmtId="0" fontId="40" fillId="5" borderId="6" xfId="0" applyFont="1" applyFill="1" applyBorder="1" applyAlignment="1" applyProtection="1">
      <alignment horizontal="center"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3" fillId="8" borderId="1" xfId="0" applyFont="1" applyFill="1" applyBorder="1" applyProtection="1">
      <alignment vertical="center"/>
    </xf>
    <xf numFmtId="0" fontId="102" fillId="8" borderId="0" xfId="0" applyFont="1" applyFill="1" applyProtection="1">
      <alignment vertical="center"/>
    </xf>
    <xf numFmtId="0" fontId="42" fillId="5" borderId="31"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40" fillId="5" borderId="15" xfId="0" applyFont="1" applyFill="1" applyBorder="1" applyAlignment="1" applyProtection="1">
      <alignment horizontal="center" vertical="center"/>
      <protection locked="0"/>
    </xf>
    <xf numFmtId="0" fontId="40" fillId="5" borderId="73" xfId="0" applyFont="1" applyFill="1" applyBorder="1" applyAlignment="1" applyProtection="1">
      <alignment horizontal="center" vertical="center"/>
      <protection locked="0"/>
    </xf>
    <xf numFmtId="0" fontId="43" fillId="5" borderId="82" xfId="0" applyFont="1" applyFill="1" applyBorder="1" applyAlignment="1" applyProtection="1">
      <alignment vertical="center"/>
      <protection locked="0"/>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102" fillId="8" borderId="3" xfId="0" applyFont="1" applyFill="1" applyBorder="1" applyProtection="1">
      <alignment vertical="center"/>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5"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2" fontId="48" fillId="0" borderId="6" xfId="0" applyNumberFormat="1" applyFont="1" applyFill="1" applyBorder="1" applyAlignment="1" applyProtection="1">
      <alignment horizontal="center" vertical="center"/>
      <protection locked="0"/>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5"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10" fontId="102" fillId="5" borderId="1" xfId="0" applyNumberFormat="1" applyFont="1" applyFill="1" applyBorder="1" applyAlignment="1" applyProtection="1">
      <alignment horizontal="center" vertical="center" wrapText="1"/>
    </xf>
    <xf numFmtId="10" fontId="99" fillId="0" borderId="1" xfId="0" applyNumberFormat="1" applyFont="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wrapText="1"/>
    </xf>
    <xf numFmtId="180" fontId="118" fillId="5" borderId="49" xfId="0" applyNumberFormat="1" applyFont="1" applyFill="1" applyBorder="1" applyAlignment="1" applyProtection="1">
      <alignment horizontal="center" vertical="center" wrapText="1"/>
    </xf>
    <xf numFmtId="180" fontId="40" fillId="5" borderId="6" xfId="0" applyNumberFormat="1" applyFont="1" applyFill="1" applyBorder="1" applyAlignment="1" applyProtection="1">
      <alignment horizontal="center" vertical="center"/>
    </xf>
    <xf numFmtId="10" fontId="99" fillId="5" borderId="1" xfId="0" applyNumberFormat="1" applyFont="1" applyFill="1" applyBorder="1" applyAlignment="1" applyProtection="1">
      <alignment horizontal="center" vertical="center"/>
    </xf>
    <xf numFmtId="10" fontId="102" fillId="5" borderId="61" xfId="0" applyNumberFormat="1" applyFont="1" applyFill="1" applyBorder="1" applyAlignment="1" applyProtection="1">
      <alignment horizontal="center" vertical="center" wrapText="1"/>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8"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8"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8"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10" fontId="40" fillId="5" borderId="6" xfId="0" applyNumberFormat="1" applyFont="1" applyFill="1" applyBorder="1" applyAlignment="1" applyProtection="1">
      <alignment horizontal="center" vertical="center"/>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2"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2"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2"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2" fontId="48" fillId="5" borderId="125" xfId="0" applyNumberFormat="1" applyFont="1" applyFill="1" applyBorder="1" applyAlignment="1" applyProtection="1">
      <alignment horizontal="center" vertical="center"/>
    </xf>
    <xf numFmtId="182"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7" fontId="43" fillId="5" borderId="1" xfId="0" applyNumberFormat="1" applyFont="1" applyFill="1" applyBorder="1" applyAlignment="1" applyProtection="1">
      <alignment horizontal="center"/>
      <protection locked="0"/>
    </xf>
    <xf numFmtId="187" fontId="43" fillId="5" borderId="6" xfId="0" applyNumberFormat="1" applyFont="1" applyFill="1" applyBorder="1" applyAlignment="1" applyProtection="1">
      <alignment horizontal="center"/>
      <protection locked="0"/>
    </xf>
    <xf numFmtId="187" fontId="102" fillId="5" borderId="1" xfId="0" applyNumberFormat="1" applyFont="1" applyFill="1" applyBorder="1" applyAlignment="1" applyProtection="1">
      <alignment horizontal="center"/>
      <protection locked="0"/>
    </xf>
    <xf numFmtId="187"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7" fontId="47" fillId="5" borderId="73" xfId="1" applyNumberFormat="1" applyFont="1" applyFill="1" applyBorder="1" applyAlignment="1" applyProtection="1">
      <alignment horizontal="center" vertical="center"/>
    </xf>
    <xf numFmtId="177" fontId="40" fillId="0" borderId="58" xfId="1" applyNumberFormat="1" applyFont="1" applyFill="1" applyBorder="1" applyAlignment="1" applyProtection="1">
      <alignment horizontal="center" vertical="center"/>
      <protection locked="0"/>
    </xf>
    <xf numFmtId="179"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9" fillId="5" borderId="7" xfId="0" applyFont="1" applyFill="1" applyBorder="1" applyAlignment="1" applyProtection="1">
      <alignment horizontal="center" vertical="center" wrapText="1"/>
    </xf>
    <xf numFmtId="9" fontId="49" fillId="5" borderId="6" xfId="0" applyNumberFormat="1" applyFont="1" applyFill="1" applyBorder="1" applyAlignment="1" applyProtection="1">
      <alignment horizontal="center" vertical="center" wrapText="1"/>
    </xf>
    <xf numFmtId="0" fontId="49" fillId="8" borderId="0" xfId="0" applyFont="1" applyFill="1" applyAlignment="1" applyProtection="1">
      <alignment vertical="center" wrapText="1"/>
      <protection locked="0"/>
    </xf>
    <xf numFmtId="0" fontId="49" fillId="8" borderId="0" xfId="0" applyFont="1" applyFill="1" applyAlignment="1" applyProtection="1">
      <alignment horizontal="center" vertical="center" wrapText="1"/>
      <protection locked="0"/>
    </xf>
    <xf numFmtId="9" fontId="49" fillId="5" borderId="8" xfId="0" applyNumberFormat="1" applyFont="1" applyFill="1" applyBorder="1" applyAlignment="1" applyProtection="1">
      <alignment horizontal="center" vertical="center" wrapText="1"/>
    </xf>
    <xf numFmtId="10" fontId="49" fillId="5" borderId="43" xfId="0" applyNumberFormat="1" applyFont="1" applyFill="1" applyBorder="1" applyAlignment="1" applyProtection="1">
      <alignment horizontal="center" vertical="center" wrapText="1"/>
    </xf>
    <xf numFmtId="0" fontId="49" fillId="5" borderId="55"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57" fillId="0" borderId="24" xfId="0" applyNumberFormat="1"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xf>
    <xf numFmtId="0" fontId="47" fillId="5" borderId="77" xfId="0" applyFont="1" applyFill="1" applyBorder="1" applyAlignment="1" applyProtection="1">
      <alignment horizontal="center" vertical="center"/>
    </xf>
    <xf numFmtId="0" fontId="40" fillId="5" borderId="69" xfId="0" applyFont="1" applyFill="1" applyBorder="1" applyAlignment="1" applyProtection="1">
      <alignment horizontal="center" vertical="center" wrapText="1"/>
    </xf>
    <xf numFmtId="0" fontId="40" fillId="5" borderId="45" xfId="0" applyFont="1" applyFill="1" applyBorder="1" applyAlignment="1" applyProtection="1">
      <alignment horizontal="center" vertical="center" wrapText="1"/>
    </xf>
    <xf numFmtId="0" fontId="40" fillId="5" borderId="77" xfId="0" applyFont="1" applyFill="1" applyBorder="1" applyAlignment="1" applyProtection="1">
      <alignment horizontal="center" vertical="center" wrapText="1"/>
    </xf>
    <xf numFmtId="0" fontId="40" fillId="5" borderId="16" xfId="0" applyFont="1" applyFill="1" applyBorder="1" applyAlignment="1" applyProtection="1">
      <alignment horizontal="center" vertical="center" wrapText="1"/>
    </xf>
    <xf numFmtId="0" fontId="40" fillId="5" borderId="23" xfId="0" applyFont="1" applyFill="1" applyBorder="1" applyAlignment="1" applyProtection="1">
      <alignment horizontal="center" vertical="center" wrapText="1"/>
    </xf>
    <xf numFmtId="0" fontId="40" fillId="5" borderId="86" xfId="0" applyFont="1" applyFill="1" applyBorder="1" applyAlignment="1" applyProtection="1">
      <alignment horizontal="center" vertical="center" wrapText="1"/>
    </xf>
    <xf numFmtId="0" fontId="40" fillId="0" borderId="86" xfId="0" applyFont="1" applyFill="1" applyBorder="1" applyAlignment="1" applyProtection="1">
      <alignment horizontal="center" vertical="center" wrapText="1"/>
      <protection locked="0"/>
    </xf>
    <xf numFmtId="0" fontId="47" fillId="0" borderId="86" xfId="0" applyFont="1" applyFill="1" applyBorder="1" applyAlignment="1" applyProtection="1">
      <alignment horizontal="center" vertical="center"/>
      <protection locked="0"/>
    </xf>
    <xf numFmtId="0" fontId="45" fillId="0" borderId="123" xfId="0"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62"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protection locked="0"/>
    </xf>
    <xf numFmtId="0" fontId="46" fillId="5" borderId="40" xfId="0" applyNumberFormat="1" applyFont="1" applyFill="1" applyBorder="1" applyAlignment="1" applyProtection="1">
      <alignment vertical="center" wrapText="1"/>
    </xf>
    <xf numFmtId="182" fontId="58" fillId="5" borderId="0" xfId="0" applyNumberFormat="1" applyFont="1" applyFill="1" applyBorder="1" applyAlignment="1" applyProtection="1">
      <alignment vertical="center"/>
    </xf>
    <xf numFmtId="182" fontId="40" fillId="5" borderId="0" xfId="0" applyNumberFormat="1" applyFont="1" applyFill="1" applyBorder="1" applyAlignment="1" applyProtection="1">
      <alignment vertical="center" wrapText="1"/>
    </xf>
    <xf numFmtId="182" fontId="40" fillId="5" borderId="0" xfId="0" applyNumberFormat="1"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xf>
    <xf numFmtId="0" fontId="40" fillId="5" borderId="25" xfId="0" applyFont="1" applyFill="1" applyBorder="1" applyAlignment="1" applyProtection="1">
      <alignment horizontal="center" vertical="center"/>
    </xf>
    <xf numFmtId="182" fontId="68" fillId="5" borderId="0" xfId="0" applyNumberFormat="1" applyFont="1" applyFill="1" applyBorder="1" applyAlignment="1" applyProtection="1">
      <alignment horizontal="center" vertical="center" wrapText="1"/>
    </xf>
    <xf numFmtId="0" fontId="68" fillId="5" borderId="0" xfId="0" applyFont="1" applyFill="1" applyBorder="1" applyAlignment="1" applyProtection="1">
      <alignment horizontal="center" vertical="center"/>
    </xf>
    <xf numFmtId="0" fontId="68" fillId="5" borderId="25" xfId="0" applyFont="1" applyFill="1" applyBorder="1" applyAlignment="1" applyProtection="1">
      <alignment horizontal="center" vertical="center"/>
    </xf>
    <xf numFmtId="182" fontId="45" fillId="5" borderId="0" xfId="0" applyNumberFormat="1" applyFont="1" applyFill="1" applyBorder="1" applyAlignment="1" applyProtection="1">
      <alignment horizontal="center" vertical="center" wrapText="1"/>
    </xf>
    <xf numFmtId="182" fontId="69" fillId="5" borderId="0" xfId="0" applyNumberFormat="1" applyFont="1" applyFill="1" applyBorder="1" applyAlignment="1" applyProtection="1">
      <alignment horizontal="center" vertical="center" wrapText="1"/>
    </xf>
    <xf numFmtId="0" fontId="45" fillId="5" borderId="0" xfId="0" applyFont="1" applyFill="1" applyBorder="1" applyAlignment="1" applyProtection="1">
      <alignment horizontal="center" vertical="center"/>
    </xf>
    <xf numFmtId="0" fontId="45" fillId="5" borderId="25" xfId="0" applyFont="1" applyFill="1" applyBorder="1" applyAlignment="1" applyProtection="1">
      <alignment horizontal="center" vertical="center"/>
    </xf>
    <xf numFmtId="182" fontId="47" fillId="5" borderId="0" xfId="0" applyNumberFormat="1" applyFont="1" applyFill="1" applyBorder="1" applyAlignment="1" applyProtection="1">
      <alignment vertical="center" wrapText="1"/>
    </xf>
    <xf numFmtId="182" fontId="47" fillId="5" borderId="0" xfId="0" applyNumberFormat="1" applyFont="1" applyFill="1" applyAlignment="1" applyProtection="1">
      <alignment horizontal="center" vertical="center"/>
    </xf>
    <xf numFmtId="182" fontId="69" fillId="5" borderId="0" xfId="0" applyNumberFormat="1" applyFont="1" applyFill="1" applyAlignment="1" applyProtection="1">
      <alignment horizontal="center" vertical="center"/>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8"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80"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8" fontId="49" fillId="5" borderId="1" xfId="1" applyNumberFormat="1" applyFont="1" applyFill="1" applyBorder="1" applyAlignment="1" applyProtection="1">
      <alignment vertical="center"/>
    </xf>
    <xf numFmtId="178" fontId="55" fillId="5" borderId="1" xfId="1" applyNumberFormat="1" applyFont="1" applyFill="1" applyBorder="1" applyAlignment="1" applyProtection="1">
      <alignment horizontal="center" vertical="center"/>
    </xf>
    <xf numFmtId="180"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80"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2"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8" fontId="49" fillId="5" borderId="2" xfId="1" applyNumberFormat="1" applyFont="1" applyFill="1" applyBorder="1" applyAlignment="1" applyProtection="1">
      <alignment horizontal="right" vertical="center"/>
    </xf>
    <xf numFmtId="0" fontId="103" fillId="0" borderId="0" xfId="7" applyFont="1">
      <alignment vertical="center"/>
    </xf>
    <xf numFmtId="0" fontId="103" fillId="0" borderId="0" xfId="7" applyFont="1" applyAlignment="1">
      <alignment horizontal="center" vertical="center"/>
    </xf>
    <xf numFmtId="0" fontId="103" fillId="0" borderId="127" xfId="7" applyFont="1" applyBorder="1">
      <alignment vertical="center"/>
    </xf>
    <xf numFmtId="0" fontId="98" fillId="5" borderId="127" xfId="8" applyFont="1" applyFill="1" applyBorder="1" applyAlignment="1" applyProtection="1">
      <alignment horizontal="center" vertical="center"/>
    </xf>
    <xf numFmtId="0" fontId="19" fillId="5" borderId="127" xfId="8" applyFont="1" applyFill="1" applyBorder="1" applyAlignment="1" applyProtection="1">
      <alignment horizontal="center" vertical="center"/>
    </xf>
    <xf numFmtId="0" fontId="103" fillId="0" borderId="128" xfId="7" applyFont="1" applyBorder="1" applyAlignment="1">
      <alignment vertical="center"/>
    </xf>
    <xf numFmtId="0" fontId="103" fillId="0" borderId="127" xfId="7" applyFont="1" applyBorder="1" applyAlignment="1">
      <alignment vertical="center"/>
    </xf>
    <xf numFmtId="0" fontId="103" fillId="0" borderId="127" xfId="7" applyFont="1" applyBorder="1" applyAlignment="1">
      <alignment horizontal="center" vertical="center"/>
    </xf>
    <xf numFmtId="0" fontId="103" fillId="0" borderId="0" xfId="7" applyFont="1" applyFill="1">
      <alignment vertical="center"/>
    </xf>
    <xf numFmtId="0" fontId="99" fillId="0" borderId="0" xfId="8" applyFont="1" applyFill="1" applyAlignment="1" applyProtection="1">
      <alignment horizontal="center" vertical="center"/>
    </xf>
    <xf numFmtId="0" fontId="19" fillId="0" borderId="0" xfId="8" applyFont="1" applyFill="1" applyAlignment="1" applyProtection="1">
      <alignment horizontal="center" vertical="center"/>
    </xf>
    <xf numFmtId="0" fontId="103" fillId="0" borderId="129" xfId="7" applyFont="1" applyFill="1" applyBorder="1" applyAlignment="1">
      <alignment horizontal="center" vertical="center"/>
    </xf>
    <xf numFmtId="0" fontId="103" fillId="0" borderId="0" xfId="7" applyFont="1" applyFill="1" applyBorder="1" applyAlignment="1">
      <alignment horizontal="center" vertical="center"/>
    </xf>
    <xf numFmtId="0" fontId="103" fillId="0" borderId="0" xfId="7" applyFont="1" applyFill="1" applyAlignment="1">
      <alignment horizontal="center" vertical="center"/>
    </xf>
    <xf numFmtId="0" fontId="102" fillId="0" borderId="0" xfId="7" applyFont="1" applyAlignment="1">
      <alignment horizontal="center" vertical="center"/>
    </xf>
    <xf numFmtId="10" fontId="102" fillId="0" borderId="0" xfId="7" applyNumberFormat="1" applyFont="1" applyAlignment="1">
      <alignment horizontal="center" vertical="center"/>
    </xf>
    <xf numFmtId="49" fontId="49" fillId="5" borderId="1" xfId="7" applyNumberFormat="1" applyFont="1" applyFill="1" applyBorder="1" applyAlignment="1" applyProtection="1">
      <alignment horizontal="center" vertical="center" wrapText="1"/>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7" fontId="152" fillId="14" borderId="0" xfId="7" applyNumberFormat="1"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10" fontId="102" fillId="14" borderId="0" xfId="7" applyNumberFormat="1" applyFont="1" applyFill="1" applyAlignment="1">
      <alignment horizontal="center" vertical="center"/>
    </xf>
    <xf numFmtId="187" fontId="103" fillId="12" borderId="131" xfId="7" applyNumberFormat="1" applyFont="1" applyFill="1" applyBorder="1" applyAlignment="1">
      <alignment horizontal="center" vertical="center" wrapText="1"/>
    </xf>
    <xf numFmtId="187" fontId="103" fillId="12" borderId="137" xfId="7" applyNumberFormat="1" applyFont="1" applyFill="1" applyBorder="1" applyAlignment="1">
      <alignment horizontal="center" vertical="center" wrapText="1"/>
    </xf>
    <xf numFmtId="0" fontId="102" fillId="0" borderId="0" xfId="7" applyFont="1">
      <alignment vertical="center"/>
    </xf>
    <xf numFmtId="10" fontId="102" fillId="0" borderId="129" xfId="7" applyNumberFormat="1" applyFont="1" applyBorder="1">
      <alignment vertical="center"/>
    </xf>
    <xf numFmtId="10" fontId="102" fillId="0" borderId="0" xfId="7" applyNumberFormat="1" applyFont="1">
      <alignment vertical="center"/>
    </xf>
    <xf numFmtId="178" fontId="102" fillId="0" borderId="0" xfId="7" applyNumberFormat="1" applyFont="1">
      <alignment vertical="center"/>
    </xf>
    <xf numFmtId="182" fontId="102" fillId="0" borderId="129" xfId="7" applyNumberFormat="1" applyFont="1" applyBorder="1">
      <alignment vertical="center"/>
    </xf>
    <xf numFmtId="182" fontId="102" fillId="0" borderId="0" xfId="7" applyNumberFormat="1" applyFont="1">
      <alignment vertical="center"/>
    </xf>
    <xf numFmtId="187" fontId="102"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2" fillId="0" borderId="136" xfId="7" applyNumberFormat="1" applyFont="1" applyBorder="1">
      <alignment vertical="center"/>
    </xf>
    <xf numFmtId="10" fontId="102"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2" fillId="0" borderId="142" xfId="7" applyNumberFormat="1" applyFont="1" applyBorder="1">
      <alignment vertical="center"/>
    </xf>
    <xf numFmtId="10" fontId="102" fillId="0" borderId="36" xfId="7" applyNumberFormat="1" applyFont="1" applyBorder="1">
      <alignment vertical="center"/>
    </xf>
    <xf numFmtId="0" fontId="102"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2" fillId="0" borderId="0" xfId="7" applyNumberFormat="1" applyFont="1" applyBorder="1">
      <alignment vertical="center"/>
    </xf>
    <xf numFmtId="187" fontId="103" fillId="12" borderId="134" xfId="7" applyNumberFormat="1" applyFont="1" applyFill="1" applyBorder="1" applyAlignment="1">
      <alignment horizontal="center" vertical="center" wrapText="1"/>
    </xf>
    <xf numFmtId="187" fontId="103" fillId="12" borderId="143" xfId="7" applyNumberFormat="1" applyFont="1" applyFill="1" applyBorder="1" applyAlignment="1">
      <alignment horizontal="center" vertical="center" wrapText="1"/>
    </xf>
    <xf numFmtId="0" fontId="102" fillId="13" borderId="131" xfId="7" applyFont="1" applyFill="1" applyBorder="1" applyAlignment="1" applyProtection="1">
      <alignment horizontal="center" vertical="center" wrapText="1"/>
    </xf>
    <xf numFmtId="0" fontId="102" fillId="13" borderId="132" xfId="7" applyFont="1" applyFill="1" applyBorder="1" applyAlignment="1" applyProtection="1">
      <alignment horizontal="center" vertical="center" wrapText="1"/>
    </xf>
    <xf numFmtId="49" fontId="49" fillId="6" borderId="1" xfId="7" applyNumberFormat="1" applyFont="1" applyFill="1" applyBorder="1" applyAlignment="1" applyProtection="1">
      <alignment horizontal="center" vertical="center" wrapText="1"/>
    </xf>
    <xf numFmtId="187" fontId="102" fillId="6" borderId="0" xfId="7" applyNumberFormat="1" applyFont="1" applyFill="1" applyAlignment="1">
      <alignment horizontal="center" vertical="center"/>
    </xf>
    <xf numFmtId="0" fontId="102" fillId="6" borderId="134" xfId="7" applyFont="1" applyFill="1" applyBorder="1" applyAlignment="1" applyProtection="1">
      <alignment horizontal="center" vertical="center" wrapText="1"/>
    </xf>
    <xf numFmtId="0" fontId="102" fillId="6" borderId="138" xfId="7" applyFont="1" applyFill="1" applyBorder="1" applyAlignment="1" applyProtection="1">
      <alignment horizontal="center" vertical="center" wrapText="1"/>
    </xf>
    <xf numFmtId="0" fontId="102" fillId="6" borderId="0" xfId="7" applyFont="1" applyFill="1">
      <alignment vertical="center"/>
    </xf>
    <xf numFmtId="10" fontId="102" fillId="6" borderId="129" xfId="7" applyNumberFormat="1" applyFont="1" applyFill="1" applyBorder="1">
      <alignment vertical="center"/>
    </xf>
    <xf numFmtId="10" fontId="102" fillId="6" borderId="0" xfId="7" applyNumberFormat="1" applyFont="1" applyFill="1">
      <alignment vertical="center"/>
    </xf>
    <xf numFmtId="178" fontId="102" fillId="6" borderId="0" xfId="7" applyNumberFormat="1" applyFont="1" applyFill="1">
      <alignment vertical="center"/>
    </xf>
    <xf numFmtId="10" fontId="102" fillId="6" borderId="136" xfId="7" applyNumberFormat="1" applyFont="1" applyFill="1" applyBorder="1">
      <alignment vertical="center"/>
    </xf>
    <xf numFmtId="10" fontId="102" fillId="6" borderId="65" xfId="7" applyNumberFormat="1" applyFont="1" applyFill="1" applyBorder="1">
      <alignment vertical="center"/>
    </xf>
    <xf numFmtId="0" fontId="139" fillId="6" borderId="0" xfId="7" applyFont="1" applyFill="1">
      <alignment vertical="center"/>
    </xf>
    <xf numFmtId="0" fontId="102" fillId="6" borderId="0" xfId="7" applyNumberFormat="1" applyFont="1" applyFill="1" applyAlignment="1">
      <alignment horizontal="center" vertical="center"/>
    </xf>
    <xf numFmtId="0" fontId="102" fillId="12" borderId="140" xfId="7" applyFont="1" applyFill="1" applyBorder="1" applyAlignment="1" applyProtection="1">
      <alignment horizontal="center" vertical="center" wrapText="1"/>
    </xf>
    <xf numFmtId="0" fontId="102" fillId="12" borderId="141" xfId="7" applyFont="1" applyFill="1" applyBorder="1" applyAlignment="1" applyProtection="1">
      <alignment horizontal="center" vertical="center" wrapText="1"/>
    </xf>
    <xf numFmtId="14" fontId="102" fillId="0" borderId="0" xfId="7" applyNumberFormat="1" applyFont="1">
      <alignment vertical="center"/>
    </xf>
    <xf numFmtId="0" fontId="139" fillId="0" borderId="0" xfId="7" applyFont="1">
      <alignment vertical="center"/>
    </xf>
    <xf numFmtId="0" fontId="102" fillId="0" borderId="0" xfId="7" applyNumberFormat="1" applyFont="1" applyAlignment="1">
      <alignment horizontal="center" vertical="center"/>
    </xf>
    <xf numFmtId="187" fontId="103" fillId="12" borderId="140" xfId="7" applyNumberFormat="1" applyFont="1" applyFill="1" applyBorder="1" applyAlignment="1">
      <alignment horizontal="center" vertical="center" wrapText="1"/>
    </xf>
    <xf numFmtId="187" fontId="103" fillId="12" borderId="144" xfId="7" applyNumberFormat="1" applyFont="1" applyFill="1" applyBorder="1" applyAlignment="1">
      <alignment horizontal="center" vertical="center" wrapText="1"/>
    </xf>
    <xf numFmtId="187" fontId="102" fillId="14" borderId="0" xfId="7" applyNumberFormat="1" applyFont="1" applyFill="1" applyAlignment="1">
      <alignment horizontal="center" vertical="center"/>
    </xf>
    <xf numFmtId="187" fontId="102"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2" fillId="0" borderId="40" xfId="7" applyFont="1" applyBorder="1">
      <alignment vertical="center"/>
    </xf>
    <xf numFmtId="10" fontId="102" fillId="0" borderId="147" xfId="7" applyNumberFormat="1" applyFont="1" applyBorder="1">
      <alignment vertical="center"/>
    </xf>
    <xf numFmtId="10" fontId="102" fillId="0" borderId="40" xfId="7" applyNumberFormat="1" applyFont="1" applyBorder="1">
      <alignment vertical="center"/>
    </xf>
    <xf numFmtId="178" fontId="102" fillId="0" borderId="40" xfId="7" applyNumberFormat="1" applyFont="1" applyBorder="1">
      <alignment vertical="center"/>
    </xf>
    <xf numFmtId="10" fontId="102"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2" fillId="15" borderId="129" xfId="7" applyNumberFormat="1" applyFont="1" applyFill="1" applyBorder="1">
      <alignment vertical="center"/>
    </xf>
    <xf numFmtId="10" fontId="102" fillId="15" borderId="0" xfId="7" applyNumberFormat="1" applyFont="1" applyFill="1">
      <alignment vertical="center"/>
    </xf>
    <xf numFmtId="179" fontId="102" fillId="0" borderId="0" xfId="7" applyNumberFormat="1" applyFont="1" applyAlignment="1">
      <alignment horizontal="center" vertical="center"/>
    </xf>
    <xf numFmtId="10" fontId="102" fillId="15" borderId="136" xfId="7" applyNumberFormat="1" applyFont="1" applyFill="1" applyBorder="1">
      <alignment vertical="center"/>
    </xf>
    <xf numFmtId="10" fontId="102" fillId="15" borderId="65" xfId="7" applyNumberFormat="1" applyFont="1" applyFill="1" applyBorder="1">
      <alignment vertical="center"/>
    </xf>
    <xf numFmtId="10" fontId="102" fillId="15" borderId="147" xfId="7" applyNumberFormat="1" applyFont="1" applyFill="1" applyBorder="1">
      <alignment vertical="center"/>
    </xf>
    <xf numFmtId="10" fontId="102" fillId="15" borderId="40" xfId="7" applyNumberFormat="1" applyFont="1" applyFill="1" applyBorder="1">
      <alignment vertical="center"/>
    </xf>
    <xf numFmtId="179" fontId="102" fillId="0" borderId="40" xfId="7" applyNumberFormat="1" applyFont="1" applyBorder="1" applyAlignment="1">
      <alignment horizontal="center" vertical="center"/>
    </xf>
    <xf numFmtId="0" fontId="103" fillId="13" borderId="150" xfId="7" applyFont="1" applyFill="1" applyBorder="1" applyAlignment="1">
      <alignment horizontal="center" vertical="center" wrapText="1"/>
    </xf>
    <xf numFmtId="0" fontId="103" fillId="13" borderId="151" xfId="7" applyFont="1" applyFill="1" applyBorder="1" applyAlignment="1">
      <alignment horizontal="center" vertical="center" wrapText="1"/>
    </xf>
    <xf numFmtId="181" fontId="102" fillId="0" borderId="0" xfId="7" applyNumberFormat="1" applyFont="1" applyAlignment="1">
      <alignment horizontal="center" vertical="center"/>
    </xf>
    <xf numFmtId="181" fontId="102" fillId="0" borderId="129" xfId="7" applyNumberFormat="1" applyFont="1" applyBorder="1" applyAlignment="1">
      <alignment horizontal="center" vertical="center"/>
    </xf>
    <xf numFmtId="178" fontId="102"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3" fillId="12" borderId="140" xfId="7" applyFont="1" applyFill="1" applyBorder="1" applyAlignment="1">
      <alignment horizontal="center" vertical="center" wrapText="1"/>
    </xf>
    <xf numFmtId="0" fontId="103" fillId="12" borderId="144" xfId="7" applyFont="1" applyFill="1" applyBorder="1" applyAlignment="1">
      <alignment horizontal="center" vertical="center" wrapText="1"/>
    </xf>
    <xf numFmtId="178" fontId="102"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1" fontId="102" fillId="6" borderId="0" xfId="7" applyNumberFormat="1" applyFont="1" applyFill="1" applyAlignment="1">
      <alignment horizontal="center" vertical="center"/>
    </xf>
    <xf numFmtId="0" fontId="102" fillId="6" borderId="129" xfId="7" applyFont="1" applyFill="1" applyBorder="1">
      <alignment vertical="center"/>
    </xf>
    <xf numFmtId="179" fontId="102" fillId="6" borderId="0" xfId="7" applyNumberFormat="1" applyFont="1" applyFill="1" applyAlignment="1">
      <alignment horizontal="center" vertical="center"/>
    </xf>
    <xf numFmtId="0" fontId="103" fillId="12" borderId="152" xfId="7" applyFont="1" applyFill="1" applyBorder="1" applyAlignment="1">
      <alignment horizontal="center" vertical="center" wrapText="1"/>
    </xf>
    <xf numFmtId="0" fontId="103" fillId="12" borderId="153" xfId="7" applyFont="1" applyFill="1" applyBorder="1" applyAlignment="1">
      <alignment horizontal="center" vertical="center" wrapText="1"/>
    </xf>
    <xf numFmtId="0" fontId="103" fillId="12" borderId="154" xfId="7" applyFont="1" applyFill="1" applyBorder="1" applyAlignment="1">
      <alignment horizontal="center" vertical="center" wrapText="1"/>
    </xf>
    <xf numFmtId="0" fontId="144" fillId="0" borderId="0" xfId="7" applyFont="1">
      <alignment vertical="center"/>
    </xf>
    <xf numFmtId="0" fontId="118" fillId="0" borderId="0" xfId="7" applyFont="1">
      <alignment vertical="center"/>
    </xf>
    <xf numFmtId="0" fontId="118" fillId="0" borderId="129" xfId="7" applyFont="1" applyBorder="1">
      <alignment vertical="center"/>
    </xf>
    <xf numFmtId="181" fontId="118" fillId="0" borderId="0" xfId="7" applyNumberFormat="1" applyFont="1" applyAlignment="1">
      <alignment horizontal="center" vertical="center"/>
    </xf>
    <xf numFmtId="181" fontId="118"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7" fillId="0" borderId="3" xfId="6" applyNumberFormat="1" applyFont="1" applyFill="1" applyBorder="1" applyAlignment="1" applyProtection="1">
      <alignment horizontal="center" vertical="center" wrapText="1"/>
      <protection locked="0"/>
    </xf>
    <xf numFmtId="10" fontId="49" fillId="5" borderId="6" xfId="6" applyNumberFormat="1" applyFont="1" applyFill="1" applyBorder="1" applyAlignment="1" applyProtection="1">
      <alignment horizontal="center" vertical="center" wrapText="1"/>
    </xf>
    <xf numFmtId="10" fontId="47" fillId="0" borderId="56" xfId="6" applyNumberFormat="1" applyFont="1" applyFill="1" applyBorder="1" applyAlignment="1" applyProtection="1">
      <alignment horizontal="center" vertical="center" wrapText="1"/>
      <protection locked="0"/>
    </xf>
    <xf numFmtId="10" fontId="49" fillId="5" borderId="43" xfId="6" applyNumberFormat="1" applyFont="1" applyFill="1" applyBorder="1" applyAlignment="1" applyProtection="1">
      <alignment horizontal="center" vertical="center" wrapText="1"/>
    </xf>
    <xf numFmtId="0" fontId="47" fillId="5" borderId="40" xfId="6" applyFont="1" applyFill="1" applyBorder="1" applyAlignment="1" applyProtection="1">
      <alignment vertical="center" wrapText="1"/>
      <protection locked="0"/>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xf>
    <xf numFmtId="49" fontId="40" fillId="0" borderId="0" xfId="0" applyNumberFormat="1" applyFont="1" applyFill="1" applyBorder="1" applyAlignment="1" applyProtection="1">
      <alignment horizontal="center" vertical="center"/>
    </xf>
    <xf numFmtId="49" fontId="40" fillId="0" borderId="0" xfId="0" applyNumberFormat="1" applyFont="1" applyFill="1" applyAlignment="1" applyProtection="1">
      <alignment horizontal="center" vertical="center"/>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1" fontId="40" fillId="5" borderId="28" xfId="0" applyNumberFormat="1" applyFont="1" applyFill="1" applyBorder="1" applyAlignment="1" applyProtection="1">
      <alignment horizontal="center" vertical="center" wrapText="1"/>
    </xf>
    <xf numFmtId="191" fontId="40" fillId="5" borderId="11" xfId="0" applyNumberFormat="1" applyFont="1" applyFill="1" applyBorder="1" applyAlignment="1" applyProtection="1">
      <alignment horizontal="center" vertical="center" wrapText="1"/>
    </xf>
    <xf numFmtId="191"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48" fillId="6" borderId="79" xfId="0" applyFont="1" applyFill="1" applyBorder="1" applyAlignment="1" applyProtection="1">
      <alignment horizontal="center" vertical="center" wrapText="1"/>
      <protection locked="0"/>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4"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4" fillId="5" borderId="1" xfId="6" applyFont="1" applyFill="1" applyBorder="1" applyAlignment="1" applyProtection="1">
      <alignment horizontal="center" vertical="center" wrapText="1"/>
    </xf>
    <xf numFmtId="0" fontId="54" fillId="0" borderId="1" xfId="6" applyFont="1" applyFill="1" applyBorder="1" applyAlignment="1" applyProtection="1">
      <alignment horizontal="center" vertical="center" wrapText="1"/>
      <protection locked="0"/>
    </xf>
    <xf numFmtId="0" fontId="49" fillId="5" borderId="1" xfId="6" applyFont="1" applyFill="1" applyBorder="1" applyAlignment="1" applyProtection="1">
      <alignment horizontal="center" vertical="center" wrapText="1"/>
      <protection locked="0"/>
    </xf>
    <xf numFmtId="180" fontId="49" fillId="5" borderId="1" xfId="6" applyNumberFormat="1" applyFont="1" applyFill="1" applyBorder="1" applyAlignment="1" applyProtection="1">
      <alignment horizontal="center" vertical="center" wrapText="1"/>
      <protection locked="0"/>
    </xf>
    <xf numFmtId="0" fontId="49" fillId="5" borderId="0" xfId="6" applyFont="1" applyFill="1" applyAlignment="1" applyProtection="1">
      <alignment vertical="center" wrapText="1"/>
      <protection locked="0"/>
    </xf>
    <xf numFmtId="0" fontId="49" fillId="5" borderId="0" xfId="6" applyFont="1" applyFill="1" applyAlignment="1" applyProtection="1">
      <alignment horizontal="center" vertical="center" wrapText="1"/>
      <protection locked="0"/>
    </xf>
    <xf numFmtId="0" fontId="49" fillId="8" borderId="0" xfId="6" applyFont="1" applyFill="1" applyAlignment="1" applyProtection="1">
      <alignment horizontal="center" vertical="center" wrapText="1"/>
    </xf>
    <xf numFmtId="0" fontId="49" fillId="0" borderId="0" xfId="6" applyFont="1" applyAlignment="1" applyProtection="1">
      <alignment horizontal="center" vertical="center" wrapText="1"/>
    </xf>
    <xf numFmtId="0" fontId="102" fillId="5" borderId="1" xfId="6" applyFont="1" applyFill="1" applyBorder="1" applyAlignment="1" applyProtection="1">
      <alignment horizontal="center" vertical="center"/>
    </xf>
    <xf numFmtId="187" fontId="102" fillId="5" borderId="1" xfId="6" applyNumberFormat="1" applyFont="1" applyFill="1" applyBorder="1" applyAlignment="1" applyProtection="1">
      <alignment horizontal="center" vertical="center"/>
    </xf>
    <xf numFmtId="178" fontId="118" fillId="0" borderId="1" xfId="6" applyNumberFormat="1" applyFont="1" applyFill="1" applyBorder="1" applyAlignment="1" applyProtection="1">
      <alignment horizontal="center" vertical="center"/>
    </xf>
    <xf numFmtId="178" fontId="118" fillId="5" borderId="1" xfId="6" applyNumberFormat="1" applyFont="1" applyFill="1" applyBorder="1" applyAlignment="1" applyProtection="1">
      <alignment horizontal="center" vertical="center"/>
    </xf>
    <xf numFmtId="188" fontId="118" fillId="5" borderId="1" xfId="6" applyNumberFormat="1" applyFont="1" applyFill="1" applyBorder="1" applyAlignment="1" applyProtection="1">
      <alignment horizontal="center" vertical="center" wrapText="1"/>
    </xf>
    <xf numFmtId="0" fontId="49" fillId="5" borderId="1" xfId="6" applyFont="1" applyFill="1" applyBorder="1" applyAlignment="1" applyProtection="1">
      <alignment horizontal="center" vertical="center" wrapText="1"/>
    </xf>
    <xf numFmtId="0" fontId="49" fillId="5" borderId="1" xfId="6" applyNumberFormat="1" applyFont="1" applyFill="1" applyBorder="1" applyAlignment="1" applyProtection="1">
      <alignment horizontal="center" vertical="center" wrapText="1"/>
    </xf>
    <xf numFmtId="0" fontId="102" fillId="5" borderId="1" xfId="6" applyFont="1" applyFill="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90" fontId="58" fillId="5" borderId="126" xfId="0" applyNumberFormat="1" applyFont="1" applyFill="1" applyBorder="1" applyAlignment="1" applyProtection="1">
      <alignment horizontal="center" vertical="center"/>
      <protection locked="0"/>
    </xf>
    <xf numFmtId="182"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90" fontId="58" fillId="5" borderId="126" xfId="0" applyNumberFormat="1" applyFont="1" applyFill="1" applyBorder="1" applyAlignment="1" applyProtection="1">
      <alignment horizontal="center" vertical="center"/>
    </xf>
    <xf numFmtId="177" fontId="47" fillId="5" borderId="31" xfId="1"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6"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80"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8"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lignment vertical="center"/>
    </xf>
    <xf numFmtId="193" fontId="124" fillId="0" borderId="1" xfId="5" applyNumberFormat="1" applyFont="1" applyFill="1" applyBorder="1" applyAlignment="1">
      <alignment horizontal="right" vertical="center"/>
    </xf>
    <xf numFmtId="193" fontId="131" fillId="0" borderId="1" xfId="5" applyNumberFormat="1" applyFont="1" applyFill="1" applyBorder="1" applyAlignment="1">
      <alignment horizontal="right" vertical="center"/>
    </xf>
    <xf numFmtId="0" fontId="131" fillId="0" borderId="0" xfId="5" applyFont="1" applyFill="1">
      <alignment vertical="center"/>
    </xf>
    <xf numFmtId="0" fontId="124" fillId="0" borderId="1" xfId="5" applyFont="1" applyFill="1" applyBorder="1" applyAlignment="1">
      <alignment horizontal="left" vertical="center"/>
    </xf>
    <xf numFmtId="10" fontId="102" fillId="6" borderId="0" xfId="7" applyNumberFormat="1" applyFont="1" applyFill="1" applyAlignment="1">
      <alignment horizontal="center" vertical="center"/>
    </xf>
    <xf numFmtId="0" fontId="102" fillId="14" borderId="0" xfId="7" applyFont="1" applyFill="1" applyAlignment="1">
      <alignment horizontal="center" vertical="center"/>
    </xf>
    <xf numFmtId="187" fontId="152" fillId="14" borderId="0" xfId="7" applyNumberFormat="1" applyFont="1" applyFill="1" applyAlignment="1">
      <alignment horizontal="center" vertical="center"/>
    </xf>
    <xf numFmtId="182" fontId="43" fillId="0" borderId="43" xfId="0" applyNumberFormat="1"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right" vertical="center"/>
    </xf>
    <xf numFmtId="49" fontId="49"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3" fillId="14" borderId="0" xfId="7" applyFont="1" applyFill="1">
      <alignment vertical="center"/>
    </xf>
    <xf numFmtId="0" fontId="103" fillId="14" borderId="0" xfId="7" applyFont="1" applyFill="1" applyAlignment="1">
      <alignment horizontal="center" vertical="center"/>
    </xf>
    <xf numFmtId="0" fontId="103" fillId="14" borderId="129" xfId="7" applyFont="1" applyFill="1" applyBorder="1" applyAlignment="1">
      <alignment horizontal="center" vertical="center"/>
    </xf>
    <xf numFmtId="0" fontId="43" fillId="6" borderId="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wrapText="1"/>
    </xf>
    <xf numFmtId="0" fontId="54" fillId="5" borderId="43" xfId="0" applyFont="1" applyFill="1" applyBorder="1" applyAlignment="1" applyProtection="1">
      <alignment horizontal="center" vertical="center" wrapText="1"/>
    </xf>
    <xf numFmtId="0" fontId="43"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4"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4"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2" fontId="43" fillId="5" borderId="0" xfId="0" applyNumberFormat="1" applyFont="1" applyFill="1" applyProtection="1">
      <alignment vertical="center"/>
    </xf>
    <xf numFmtId="0" fontId="54" fillId="5" borderId="166"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2" fillId="5" borderId="0" xfId="0" applyFont="1" applyFill="1" applyAlignment="1" applyProtection="1">
      <alignment vertical="center"/>
      <protection locked="0"/>
    </xf>
    <xf numFmtId="0" fontId="40" fillId="5" borderId="0" xfId="0" applyFont="1" applyFill="1" applyAlignment="1" applyProtection="1">
      <alignment horizontal="center"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100" fillId="5" borderId="0" xfId="0" applyFont="1" applyFill="1" applyAlignment="1" applyProtection="1">
      <alignment horizontal="center" vertical="center"/>
      <protection locked="0"/>
    </xf>
    <xf numFmtId="0" fontId="118" fillId="5" borderId="0" xfId="0" applyFont="1" applyFill="1" applyAlignment="1" applyProtection="1">
      <alignment vertical="center"/>
      <protection locked="0"/>
    </xf>
    <xf numFmtId="180" fontId="43" fillId="5" borderId="0" xfId="0" applyNumberFormat="1" applyFont="1" applyFill="1" applyAlignment="1" applyProtection="1">
      <alignment vertical="center"/>
      <protection locked="0"/>
    </xf>
    <xf numFmtId="0" fontId="45" fillId="5" borderId="0" xfId="0" applyFont="1" applyFill="1" applyAlignment="1" applyProtection="1">
      <alignment horizontal="left" vertical="center"/>
      <protection locked="0"/>
    </xf>
    <xf numFmtId="0" fontId="40" fillId="5" borderId="0" xfId="0" applyFont="1" applyFill="1" applyAlignment="1" applyProtection="1">
      <alignment vertical="center"/>
      <protection locked="0"/>
    </xf>
    <xf numFmtId="182" fontId="49" fillId="5" borderId="57"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182" fontId="100" fillId="5" borderId="0" xfId="0" applyNumberFormat="1" applyFont="1" applyFill="1" applyAlignment="1" applyProtection="1">
      <alignment horizontal="center" vertical="center"/>
    </xf>
    <xf numFmtId="0" fontId="118" fillId="5" borderId="6" xfId="0" applyFont="1" applyFill="1" applyBorder="1" applyAlignment="1" applyProtection="1">
      <alignment horizontal="left" vertical="center"/>
    </xf>
    <xf numFmtId="0" fontId="41" fillId="5" borderId="6" xfId="0" applyFont="1" applyFill="1" applyBorder="1" applyAlignment="1" applyProtection="1">
      <alignment horizontal="center" vertical="center" wrapText="1"/>
    </xf>
    <xf numFmtId="0" fontId="41" fillId="5" borderId="6" xfId="0" applyFont="1" applyFill="1" applyBorder="1" applyAlignment="1" applyProtection="1">
      <alignment vertical="center" wrapText="1"/>
    </xf>
    <xf numFmtId="0" fontId="57" fillId="5" borderId="43" xfId="0" applyFont="1" applyFill="1" applyBorder="1" applyAlignment="1" applyProtection="1">
      <alignment horizontal="center" vertical="center" wrapText="1"/>
    </xf>
    <xf numFmtId="49" fontId="43" fillId="0" borderId="0" xfId="0" applyNumberFormat="1" applyFont="1" applyBorder="1" applyAlignment="1" applyProtection="1">
      <alignment horizontal="center" vertical="center" wrapText="1"/>
    </xf>
    <xf numFmtId="0" fontId="43" fillId="0" borderId="0" xfId="0" applyFont="1" applyBorder="1" applyAlignment="1" applyProtection="1">
      <alignment vertical="center" wrapText="1"/>
    </xf>
    <xf numFmtId="0" fontId="43" fillId="0" borderId="0" xfId="0" applyFont="1" applyBorder="1" applyAlignment="1" applyProtection="1">
      <alignment horizontal="center" vertical="center" wrapText="1"/>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2" fontId="54" fillId="5" borderId="2" xfId="0" applyNumberFormat="1" applyFont="1" applyFill="1" applyBorder="1" applyAlignment="1" applyProtection="1">
      <alignment horizontal="center" vertical="center"/>
    </xf>
    <xf numFmtId="182"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102" fillId="0" borderId="0" xfId="7" applyFont="1" applyFill="1" applyAlignment="1">
      <alignment horizontal="center" vertical="center"/>
    </xf>
    <xf numFmtId="10" fontId="102"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50" fillId="5" borderId="11" xfId="0" applyFont="1" applyFill="1" applyBorder="1" applyAlignment="1" applyProtection="1">
      <alignment horizontal="center" vertical="center" wrapText="1"/>
    </xf>
    <xf numFmtId="0" fontId="102" fillId="8" borderId="18"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9" fillId="5" borderId="3" xfId="6" applyFont="1" applyFill="1" applyBorder="1" applyAlignment="1" applyProtection="1">
      <alignment horizontal="center" vertical="center" wrapText="1"/>
      <protection locked="0"/>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5" fontId="131" fillId="0" borderId="0" xfId="0" applyNumberFormat="1" applyFont="1" applyAlignment="1">
      <alignment horizontal="left" vertical="center"/>
    </xf>
    <xf numFmtId="185"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4" fontId="210" fillId="0" borderId="0" xfId="0" applyNumberFormat="1" applyFont="1" applyAlignment="1">
      <alignment vertical="center"/>
    </xf>
    <xf numFmtId="194"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7" xfId="0" applyFont="1" applyFill="1" applyBorder="1" applyAlignment="1" applyProtection="1">
      <alignment horizontal="left" vertical="center"/>
    </xf>
    <xf numFmtId="0" fontId="48" fillId="5" borderId="88" xfId="0" applyFont="1" applyFill="1" applyBorder="1" applyAlignment="1" applyProtection="1">
      <alignment horizontal="left" vertical="center"/>
    </xf>
    <xf numFmtId="0" fontId="43" fillId="5" borderId="89" xfId="0" applyFont="1" applyFill="1" applyBorder="1" applyAlignment="1" applyProtection="1">
      <alignment horizontal="lef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horizontal="left" vertical="center"/>
    </xf>
    <xf numFmtId="0" fontId="43" fillId="5" borderId="54" xfId="0" applyFont="1" applyFill="1" applyBorder="1" applyAlignment="1" applyProtection="1">
      <alignment vertical="center" wrapText="1"/>
    </xf>
    <xf numFmtId="0" fontId="43" fillId="5" borderId="124" xfId="0" applyFont="1" applyFill="1" applyBorder="1" applyAlignment="1" applyProtection="1">
      <alignment horizontal="left" vertical="center"/>
    </xf>
    <xf numFmtId="14" fontId="43" fillId="6" borderId="75" xfId="0" applyNumberFormat="1" applyFont="1" applyFill="1" applyBorder="1" applyAlignment="1" applyProtection="1">
      <alignment horizontal="left" vertical="center"/>
      <protection locked="0"/>
    </xf>
    <xf numFmtId="0" fontId="43" fillId="5" borderId="158" xfId="0" applyFont="1" applyFill="1" applyBorder="1" applyAlignment="1" applyProtection="1">
      <alignment vertical="center"/>
    </xf>
    <xf numFmtId="0" fontId="43" fillId="5" borderId="32" xfId="0" applyFont="1" applyFill="1" applyBorder="1" applyAlignment="1" applyProtection="1">
      <alignment vertical="center" wrapText="1"/>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horizontal="center" vertical="center"/>
      <protection locked="0"/>
    </xf>
    <xf numFmtId="0" fontId="43" fillId="5" borderId="1" xfId="0" applyFont="1" applyFill="1" applyBorder="1" applyAlignment="1" applyProtection="1">
      <alignment horizontal="right" vertical="center" wrapText="1"/>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43" fillId="0" borderId="3"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2" borderId="75" xfId="0" applyFont="1" applyFill="1" applyBorder="1" applyAlignment="1" applyProtection="1">
      <alignment horizontal="left" vertical="center" wrapText="1"/>
      <protection locked="0"/>
    </xf>
    <xf numFmtId="0" fontId="43" fillId="5" borderId="91" xfId="0" applyFont="1" applyFill="1" applyBorder="1" applyAlignment="1" applyProtection="1">
      <alignment horizontal="left" vertical="center" wrapText="1"/>
    </xf>
    <xf numFmtId="0" fontId="43" fillId="0" borderId="75" xfId="0" applyFont="1" applyFill="1" applyBorder="1" applyAlignment="1" applyProtection="1">
      <alignment vertical="center" wrapText="1"/>
      <protection locked="0"/>
    </xf>
    <xf numFmtId="0" fontId="43" fillId="5" borderId="17" xfId="0" applyFont="1" applyFill="1" applyBorder="1" applyAlignment="1" applyProtection="1">
      <alignment vertical="center" wrapText="1"/>
    </xf>
    <xf numFmtId="0" fontId="43" fillId="5" borderId="22" xfId="0" applyFont="1" applyFill="1" applyBorder="1" applyAlignment="1" applyProtection="1">
      <alignment horizontal="right" vertical="center" wrapText="1"/>
    </xf>
    <xf numFmtId="49" fontId="43" fillId="5" borderId="28" xfId="0" applyNumberFormat="1" applyFont="1" applyFill="1" applyBorder="1" applyAlignment="1" applyProtection="1">
      <alignment horizontal="center"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0" borderId="0" xfId="0" applyFont="1" applyBorder="1" applyAlignment="1" applyProtection="1">
      <alignment vertical="center"/>
    </xf>
    <xf numFmtId="0" fontId="43" fillId="5" borderId="29" xfId="0" applyFont="1" applyFill="1" applyBorder="1" applyAlignment="1" applyProtection="1">
      <alignment horizontal="left" vertical="center" wrapText="1"/>
    </xf>
    <xf numFmtId="0" fontId="43" fillId="5" borderId="70" xfId="0" applyFont="1" applyFill="1" applyBorder="1" applyAlignment="1" applyProtection="1">
      <alignment vertical="center" wrapText="1"/>
    </xf>
    <xf numFmtId="0" fontId="43" fillId="5" borderId="92" xfId="0" applyFont="1" applyFill="1" applyBorder="1" applyAlignment="1" applyProtection="1">
      <alignment horizontal="left" vertical="center" wrapText="1"/>
    </xf>
    <xf numFmtId="0" fontId="43" fillId="5" borderId="93" xfId="0" applyFont="1" applyFill="1" applyBorder="1" applyAlignment="1" applyProtection="1">
      <alignment vertical="center" wrapText="1"/>
    </xf>
    <xf numFmtId="0" fontId="43" fillId="5" borderId="29" xfId="0" applyFont="1" applyFill="1" applyBorder="1" applyAlignment="1" applyProtection="1">
      <alignment vertical="center"/>
    </xf>
    <xf numFmtId="0" fontId="43" fillId="6" borderId="40" xfId="0" applyFont="1" applyFill="1" applyBorder="1" applyAlignment="1" applyProtection="1">
      <alignment horizontal="center" vertical="center" wrapText="1"/>
      <protection locked="0"/>
    </xf>
    <xf numFmtId="0" fontId="43" fillId="5" borderId="42" xfId="0" applyFont="1" applyFill="1" applyBorder="1" applyAlignment="1" applyProtection="1">
      <alignment horizontal="center" vertical="center" wrapText="1"/>
    </xf>
    <xf numFmtId="0" fontId="43" fillId="6" borderId="73" xfId="0" applyFont="1" applyFill="1" applyBorder="1" applyAlignment="1" applyProtection="1">
      <alignment horizontal="center" vertical="center" wrapText="1"/>
      <protection locked="0"/>
    </xf>
    <xf numFmtId="0" fontId="118" fillId="5" borderId="0" xfId="0" applyFont="1" applyFill="1" applyBorder="1" applyAlignment="1" applyProtection="1">
      <alignment vertical="center" wrapText="1"/>
    </xf>
    <xf numFmtId="0" fontId="43" fillId="5" borderId="39" xfId="0" applyFont="1" applyFill="1" applyBorder="1" applyAlignment="1" applyProtection="1">
      <alignment horizontal="righ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51" fillId="6" borderId="1" xfId="0" applyFont="1" applyFill="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shrinkToFit="1"/>
      <protection locked="0"/>
    </xf>
    <xf numFmtId="0" fontId="43" fillId="5" borderId="39" xfId="0" applyFont="1" applyFill="1" applyBorder="1" applyAlignment="1" applyProtection="1">
      <alignment vertical="center" wrapText="1"/>
    </xf>
    <xf numFmtId="0" fontId="43" fillId="5" borderId="10" xfId="0" applyFont="1" applyFill="1" applyBorder="1" applyAlignment="1" applyProtection="1">
      <alignment horizontal="right" vertical="center" wrapText="1"/>
    </xf>
    <xf numFmtId="0" fontId="43" fillId="5" borderId="21" xfId="0" applyFont="1" applyFill="1" applyBorder="1" applyAlignment="1" applyProtection="1">
      <alignment horizontal="right" vertical="center" wrapText="1"/>
    </xf>
    <xf numFmtId="185" fontId="43" fillId="0" borderId="38" xfId="0" applyNumberFormat="1" applyFont="1" applyFill="1" applyBorder="1" applyAlignment="1" applyProtection="1">
      <alignment horizontal="left" vertical="center" wrapText="1"/>
      <protection locked="0"/>
    </xf>
    <xf numFmtId="0" fontId="43" fillId="5" borderId="5" xfId="0" applyFont="1" applyFill="1" applyBorder="1" applyAlignment="1" applyProtection="1">
      <alignment horizontal="right" vertical="center" wrapText="1"/>
    </xf>
    <xf numFmtId="0" fontId="43" fillId="5" borderId="77" xfId="0" applyFont="1" applyFill="1" applyBorder="1" applyAlignment="1" applyProtection="1">
      <alignment horizontal="left" vertical="center" wrapText="1"/>
    </xf>
    <xf numFmtId="0" fontId="43" fillId="5" borderId="25" xfId="0" applyFont="1" applyFill="1" applyBorder="1" applyAlignment="1" applyProtection="1">
      <alignment horizontal="right" vertical="center" wrapText="1"/>
    </xf>
    <xf numFmtId="0" fontId="43" fillId="0" borderId="41" xfId="0" applyFont="1" applyFill="1" applyBorder="1" applyAlignment="1" applyProtection="1">
      <alignment horizontal="left" vertical="center" wrapText="1"/>
      <protection locked="0"/>
    </xf>
    <xf numFmtId="0" fontId="43" fillId="0" borderId="6"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right" vertical="center" wrapText="1"/>
    </xf>
    <xf numFmtId="0" fontId="43" fillId="0" borderId="1"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center" wrapText="1"/>
    </xf>
    <xf numFmtId="0" fontId="43" fillId="5" borderId="40" xfId="0" applyFont="1" applyFill="1" applyBorder="1" applyAlignment="1" applyProtection="1">
      <alignment horizontal="right" vertical="center" wrapText="1"/>
    </xf>
    <xf numFmtId="0" fontId="43" fillId="0" borderId="61"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101" fillId="0" borderId="0" xfId="0" applyFont="1" applyBorder="1" applyAlignment="1" applyProtection="1">
      <alignment vertical="center"/>
    </xf>
    <xf numFmtId="0" fontId="48" fillId="5" borderId="37" xfId="0" applyFont="1" applyFill="1" applyBorder="1" applyAlignment="1" applyProtection="1">
      <alignment horizontal="center" vertical="center" wrapText="1"/>
    </xf>
    <xf numFmtId="0" fontId="48" fillId="5" borderId="79" xfId="0" applyFont="1" applyFill="1" applyBorder="1" applyAlignment="1" applyProtection="1">
      <alignment horizontal="center" vertical="center" wrapText="1"/>
    </xf>
    <xf numFmtId="0" fontId="43" fillId="5" borderId="0"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39" xfId="0" applyFont="1" applyFill="1" applyBorder="1" applyAlignment="1" applyProtection="1">
      <alignment horizontal="left" vertical="center" wrapText="1"/>
    </xf>
    <xf numFmtId="0" fontId="43" fillId="5" borderId="25" xfId="0" applyFont="1" applyFill="1" applyBorder="1" applyAlignment="1" applyProtection="1">
      <alignment horizontal="left" vertical="center" wrapText="1"/>
    </xf>
    <xf numFmtId="0" fontId="43" fillId="5" borderId="27" xfId="0" applyFont="1" applyFill="1" applyBorder="1" applyAlignment="1" applyProtection="1">
      <alignment horizontal="right" vertical="center" wrapText="1"/>
    </xf>
    <xf numFmtId="0" fontId="104" fillId="5" borderId="0" xfId="0" applyFont="1" applyFill="1" applyAlignment="1" applyProtection="1">
      <alignment vertical="center" wrapText="1"/>
    </xf>
    <xf numFmtId="0" fontId="43" fillId="0" borderId="0" xfId="0" applyFont="1" applyAlignment="1" applyProtection="1">
      <alignment vertical="center"/>
      <protection locked="0"/>
    </xf>
    <xf numFmtId="0" fontId="42" fillId="5" borderId="9" xfId="0" applyFont="1" applyFill="1" applyBorder="1" applyAlignment="1" applyProtection="1">
      <alignment vertical="center" wrapText="1"/>
    </xf>
    <xf numFmtId="0" fontId="40" fillId="6" borderId="79" xfId="0" applyFont="1" applyFill="1" applyBorder="1" applyAlignment="1" applyProtection="1">
      <alignment vertical="center"/>
      <protection locked="0"/>
    </xf>
    <xf numFmtId="180" fontId="40" fillId="5" borderId="0" xfId="0" applyNumberFormat="1" applyFont="1" applyFill="1" applyAlignment="1" applyProtection="1">
      <alignment vertical="center"/>
      <protection locked="0"/>
    </xf>
    <xf numFmtId="0" fontId="40" fillId="0" borderId="0" xfId="0" applyFont="1" applyAlignment="1" applyProtection="1">
      <alignment vertical="center"/>
      <protection locked="0"/>
    </xf>
    <xf numFmtId="0" fontId="40" fillId="6" borderId="15" xfId="0" applyNumberFormat="1" applyFont="1" applyFill="1" applyBorder="1" applyAlignment="1" applyProtection="1">
      <alignment horizontal="center" vertical="center"/>
      <protection locked="0"/>
    </xf>
    <xf numFmtId="0" fontId="42" fillId="5" borderId="55" xfId="0" applyFont="1" applyFill="1" applyBorder="1" applyAlignment="1" applyProtection="1">
      <alignment vertical="center" wrapText="1"/>
      <protection locked="0"/>
    </xf>
    <xf numFmtId="180" fontId="42" fillId="5" borderId="1" xfId="0" applyNumberFormat="1" applyFont="1" applyFill="1" applyBorder="1" applyAlignment="1" applyProtection="1">
      <alignment vertical="center"/>
    </xf>
    <xf numFmtId="0" fontId="42" fillId="5" borderId="29" xfId="0" applyFont="1" applyFill="1" applyBorder="1" applyAlignment="1" applyProtection="1">
      <alignment vertical="center" wrapText="1"/>
      <protection locked="0"/>
    </xf>
    <xf numFmtId="0" fontId="42" fillId="5" borderId="0" xfId="0" applyFont="1" applyFill="1" applyBorder="1" applyAlignment="1" applyProtection="1">
      <alignment vertical="center" wrapText="1"/>
      <protection locked="0"/>
    </xf>
    <xf numFmtId="180" fontId="42" fillId="5" borderId="0" xfId="0" applyNumberFormat="1" applyFont="1" applyFill="1" applyBorder="1" applyAlignment="1" applyProtection="1">
      <alignment vertical="center"/>
    </xf>
    <xf numFmtId="0" fontId="40" fillId="5" borderId="4" xfId="1" applyFont="1" applyFill="1" applyBorder="1" applyAlignment="1" applyProtection="1">
      <alignment horizontal="left" vertical="center" wrapText="1"/>
    </xf>
    <xf numFmtId="178" fontId="40" fillId="2" borderId="31" xfId="1" applyNumberFormat="1"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xf>
    <xf numFmtId="181" fontId="47" fillId="5" borderId="7" xfId="1" applyNumberFormat="1" applyFont="1" applyFill="1" applyBorder="1" applyAlignment="1" applyProtection="1">
      <alignment horizontal="left" vertical="center" wrapText="1"/>
    </xf>
    <xf numFmtId="0" fontId="40" fillId="5" borderId="4" xfId="0" applyFont="1" applyFill="1" applyBorder="1" applyAlignment="1" applyProtection="1">
      <alignment vertical="center" wrapText="1"/>
    </xf>
    <xf numFmtId="0" fontId="40" fillId="5" borderId="0" xfId="0" applyFont="1" applyFill="1" applyAlignment="1" applyProtection="1">
      <alignment vertical="center" wrapText="1"/>
      <protection locked="0"/>
    </xf>
    <xf numFmtId="0" fontId="40" fillId="0" borderId="0" xfId="0" applyFont="1" applyAlignment="1" applyProtection="1">
      <alignment vertical="center" wrapText="1"/>
      <protection locked="0"/>
    </xf>
    <xf numFmtId="0" fontId="40" fillId="5" borderId="7" xfId="0" applyFont="1" applyFill="1" applyBorder="1" applyAlignment="1" applyProtection="1">
      <alignment horizontal="left" vertical="center" wrapText="1"/>
    </xf>
    <xf numFmtId="0" fontId="40" fillId="5" borderId="7" xfId="0" applyFont="1" applyFill="1" applyBorder="1" applyAlignment="1" applyProtection="1">
      <alignment vertical="center" wrapText="1"/>
    </xf>
    <xf numFmtId="180" fontId="40" fillId="5" borderId="7" xfId="0" applyNumberFormat="1" applyFont="1" applyFill="1" applyBorder="1" applyAlignment="1" applyProtection="1">
      <alignment horizontal="left" vertical="center" wrapText="1"/>
    </xf>
    <xf numFmtId="14" fontId="40" fillId="5" borderId="0" xfId="0" applyNumberFormat="1" applyFont="1" applyFill="1" applyAlignment="1" applyProtection="1">
      <alignment vertical="center"/>
      <protection locked="0"/>
    </xf>
    <xf numFmtId="0" fontId="40" fillId="5" borderId="8" xfId="0" applyFont="1" applyFill="1" applyBorder="1" applyAlignment="1" applyProtection="1">
      <alignment vertical="center" wrapText="1"/>
    </xf>
    <xf numFmtId="0" fontId="40" fillId="5" borderId="23" xfId="0" applyFont="1" applyFill="1" applyBorder="1" applyAlignment="1" applyProtection="1">
      <alignment vertical="center" wrapText="1"/>
    </xf>
    <xf numFmtId="0" fontId="40" fillId="5" borderId="16" xfId="0" applyFont="1" applyFill="1" applyBorder="1" applyAlignment="1" applyProtection="1">
      <alignment vertical="center" wrapText="1"/>
    </xf>
    <xf numFmtId="0" fontId="99" fillId="5" borderId="8" xfId="0" applyFont="1" applyFill="1" applyBorder="1" applyAlignment="1" applyProtection="1">
      <alignment horizontal="left" vertical="center" wrapText="1"/>
    </xf>
    <xf numFmtId="180" fontId="40" fillId="5" borderId="7" xfId="1" applyNumberFormat="1" applyFont="1" applyFill="1" applyBorder="1" applyAlignment="1" applyProtection="1">
      <alignment horizontal="left" vertical="center" wrapText="1"/>
    </xf>
    <xf numFmtId="177" fontId="47" fillId="5" borderId="4" xfId="1" applyNumberFormat="1" applyFont="1" applyFill="1" applyBorder="1" applyAlignment="1" applyProtection="1">
      <alignment vertical="center" wrapText="1"/>
    </xf>
    <xf numFmtId="0" fontId="40" fillId="5" borderId="7" xfId="0" applyFont="1" applyFill="1" applyBorder="1" applyAlignment="1" applyProtection="1">
      <alignment horizontal="left" vertical="center"/>
    </xf>
    <xf numFmtId="177" fontId="47" fillId="5" borderId="7" xfId="1" applyNumberFormat="1" applyFont="1" applyFill="1" applyBorder="1" applyAlignment="1" applyProtection="1">
      <alignment vertical="center" wrapText="1"/>
    </xf>
    <xf numFmtId="177" fontId="47" fillId="5" borderId="16" xfId="1" applyNumberFormat="1" applyFont="1" applyFill="1" applyBorder="1" applyAlignment="1" applyProtection="1">
      <alignment vertical="center" wrapText="1"/>
    </xf>
    <xf numFmtId="177" fontId="47" fillId="5" borderId="8" xfId="1" applyNumberFormat="1" applyFont="1" applyFill="1" applyBorder="1" applyAlignment="1" applyProtection="1">
      <alignment vertical="center" wrapText="1"/>
    </xf>
    <xf numFmtId="177" fontId="40" fillId="5" borderId="7" xfId="1" applyNumberFormat="1" applyFont="1" applyFill="1" applyBorder="1" applyAlignment="1" applyProtection="1">
      <alignment vertical="center" wrapText="1"/>
    </xf>
    <xf numFmtId="180" fontId="42" fillId="5" borderId="9" xfId="0" applyNumberFormat="1" applyFont="1" applyFill="1" applyBorder="1" applyAlignment="1" applyProtection="1">
      <alignment vertical="center"/>
    </xf>
    <xf numFmtId="0" fontId="40" fillId="5" borderId="5" xfId="0" applyFont="1" applyFill="1" applyBorder="1" applyAlignment="1" applyProtection="1">
      <alignment vertical="center"/>
    </xf>
    <xf numFmtId="0" fontId="43" fillId="6" borderId="31" xfId="0" applyFont="1" applyFill="1" applyBorder="1" applyAlignment="1" applyProtection="1">
      <alignment horizontal="center" vertical="center"/>
      <protection locked="0"/>
    </xf>
    <xf numFmtId="0" fontId="40" fillId="5" borderId="8"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16" xfId="0" applyFont="1" applyFill="1" applyBorder="1" applyAlignment="1" applyProtection="1">
      <alignment horizontal="right" vertical="center" wrapText="1"/>
    </xf>
    <xf numFmtId="180" fontId="40" fillId="5" borderId="0" xfId="0" applyNumberFormat="1" applyFont="1" applyFill="1" applyAlignment="1" applyProtection="1">
      <alignment horizontal="center" vertical="center"/>
      <protection locked="0"/>
    </xf>
    <xf numFmtId="0" fontId="43" fillId="0" borderId="0" xfId="0" applyFont="1" applyFill="1" applyAlignment="1" applyProtection="1">
      <alignment vertical="center"/>
      <protection locked="0"/>
    </xf>
    <xf numFmtId="0" fontId="111" fillId="5" borderId="46" xfId="0" applyFont="1" applyFill="1" applyBorder="1" applyAlignment="1" applyProtection="1">
      <alignment horizontal="right" vertical="center"/>
    </xf>
    <xf numFmtId="0" fontId="40" fillId="5" borderId="8" xfId="0" applyFont="1" applyFill="1" applyBorder="1" applyAlignment="1" applyProtection="1">
      <alignment horizontal="right" vertical="center" wrapText="1"/>
    </xf>
    <xf numFmtId="0" fontId="40" fillId="5" borderId="23" xfId="0" applyFont="1" applyFill="1" applyBorder="1" applyAlignment="1" applyProtection="1">
      <alignment horizontal="left" vertical="center" wrapText="1"/>
    </xf>
    <xf numFmtId="0" fontId="40" fillId="5" borderId="26" xfId="0" applyFont="1" applyFill="1" applyBorder="1" applyAlignment="1" applyProtection="1">
      <alignment vertical="center" wrapText="1"/>
    </xf>
    <xf numFmtId="0" fontId="40" fillId="5" borderId="22" xfId="0" applyFont="1" applyFill="1" applyBorder="1" applyAlignment="1" applyProtection="1">
      <alignment vertical="center" wrapText="1"/>
    </xf>
    <xf numFmtId="0" fontId="40" fillId="5" borderId="4" xfId="0" applyFont="1" applyFill="1" applyBorder="1" applyAlignment="1" applyProtection="1">
      <alignment horizontal="left" vertical="center" wrapText="1"/>
    </xf>
    <xf numFmtId="0" fontId="40" fillId="2" borderId="6" xfId="0" applyFont="1" applyFill="1" applyBorder="1" applyAlignment="1" applyProtection="1">
      <alignment horizontal="center" vertical="center"/>
      <protection locked="0"/>
    </xf>
    <xf numFmtId="0" fontId="45" fillId="5" borderId="0" xfId="0" applyFont="1" applyFill="1" applyAlignment="1" applyProtection="1">
      <alignment vertical="center"/>
      <protection locked="0"/>
    </xf>
    <xf numFmtId="0" fontId="40" fillId="0" borderId="7" xfId="0" applyFont="1" applyBorder="1" applyAlignment="1" applyProtection="1">
      <alignment horizontal="right" vertical="center" wrapText="1"/>
      <protection locked="0"/>
    </xf>
    <xf numFmtId="0" fontId="40" fillId="0" borderId="8" xfId="0" applyFont="1" applyBorder="1" applyAlignment="1" applyProtection="1">
      <alignment horizontal="right" vertical="center" wrapText="1"/>
      <protection locked="0"/>
    </xf>
    <xf numFmtId="0" fontId="40" fillId="5" borderId="0" xfId="0" applyFont="1" applyFill="1" applyBorder="1" applyAlignment="1" applyProtection="1">
      <alignment vertical="center"/>
      <protection locked="0"/>
    </xf>
    <xf numFmtId="0" fontId="43" fillId="5" borderId="0" xfId="0" applyFont="1" applyFill="1" applyAlignment="1" applyProtection="1">
      <alignment vertical="center" wrapText="1"/>
      <protection locked="0"/>
    </xf>
    <xf numFmtId="0" fontId="43" fillId="0" borderId="0" xfId="0" applyFont="1" applyAlignment="1" applyProtection="1">
      <alignment vertical="center" wrapText="1"/>
      <protection locked="0"/>
    </xf>
    <xf numFmtId="180" fontId="43"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2" fillId="5" borderId="55" xfId="0" applyFont="1" applyFill="1" applyBorder="1" applyAlignment="1" applyProtection="1">
      <alignment horizontal="center" vertical="center" wrapText="1"/>
    </xf>
    <xf numFmtId="0" fontId="42" fillId="5" borderId="14" xfId="0" applyFont="1" applyFill="1" applyBorder="1" applyAlignment="1" applyProtection="1">
      <alignment horizontal="right" vertical="center" wrapText="1"/>
    </xf>
    <xf numFmtId="0" fontId="42" fillId="5" borderId="81" xfId="0" applyFont="1" applyFill="1" applyBorder="1" applyAlignment="1" applyProtection="1">
      <alignment horizontal="center" vertical="center"/>
    </xf>
    <xf numFmtId="0" fontId="42" fillId="5" borderId="0" xfId="0" applyFont="1" applyFill="1" applyBorder="1" applyAlignment="1" applyProtection="1">
      <alignment horizontal="right" vertical="center" wrapText="1"/>
    </xf>
    <xf numFmtId="0" fontId="42" fillId="5" borderId="55" xfId="0" applyFont="1" applyFill="1" applyBorder="1" applyAlignment="1" applyProtection="1">
      <alignment horizontal="right" vertical="center" wrapText="1"/>
    </xf>
    <xf numFmtId="0" fontId="40" fillId="5" borderId="66" xfId="0" applyFont="1" applyFill="1" applyBorder="1" applyAlignment="1" applyProtection="1">
      <alignment horizontal="center" vertical="center"/>
    </xf>
    <xf numFmtId="0" fontId="40" fillId="8" borderId="0" xfId="0" applyFont="1" applyFill="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40" fillId="5" borderId="0" xfId="0" applyNumberFormat="1" applyFont="1" applyFill="1" applyBorder="1" applyAlignment="1" applyProtection="1">
      <alignment horizontal="center" vertical="center" wrapText="1"/>
      <protection locked="0"/>
    </xf>
    <xf numFmtId="0" fontId="40"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40" fillId="5" borderId="26" xfId="0" applyNumberFormat="1"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40" fillId="5" borderId="0" xfId="0" applyFont="1" applyFill="1" applyBorder="1" applyAlignment="1" applyProtection="1">
      <alignment horizontal="center" vertical="center" wrapText="1"/>
      <protection locked="0"/>
    </xf>
    <xf numFmtId="49" fontId="40" fillId="5" borderId="42" xfId="0" applyNumberFormat="1" applyFont="1" applyFill="1" applyBorder="1" applyAlignment="1" applyProtection="1">
      <alignment horizontal="center" vertical="center" wrapText="1"/>
    </xf>
    <xf numFmtId="0" fontId="40"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2" fillId="5" borderId="42" xfId="0" applyFont="1" applyFill="1" applyBorder="1" applyAlignment="1" applyProtection="1">
      <alignment vertical="center" wrapText="1"/>
    </xf>
    <xf numFmtId="0" fontId="40" fillId="5" borderId="61" xfId="0" applyFont="1" applyFill="1" applyBorder="1" applyAlignment="1" applyProtection="1">
      <alignment horizontal="center" vertical="center" wrapText="1"/>
    </xf>
    <xf numFmtId="0" fontId="178" fillId="0" borderId="43" xfId="0" applyFont="1" applyBorder="1" applyAlignment="1" applyProtection="1">
      <alignment horizontal="center" vertical="center"/>
      <protection locked="0"/>
    </xf>
    <xf numFmtId="0" fontId="40" fillId="8" borderId="0" xfId="0" applyFont="1" applyFill="1" applyBorder="1" applyAlignment="1" applyProtection="1">
      <alignment horizontal="center" vertical="center" wrapText="1"/>
      <protection locked="0"/>
    </xf>
    <xf numFmtId="0" fontId="40" fillId="8" borderId="0" xfId="0" applyNumberFormat="1" applyFont="1" applyFill="1" applyBorder="1" applyAlignment="1" applyProtection="1">
      <alignment horizontal="center" vertical="center" wrapText="1"/>
      <protection locked="0"/>
    </xf>
    <xf numFmtId="49" fontId="40" fillId="8" borderId="0" xfId="0" applyNumberFormat="1"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9" fillId="5" borderId="116" xfId="0" applyFont="1" applyFill="1" applyBorder="1" applyAlignment="1" applyProtection="1">
      <alignment horizontal="center" vertical="center"/>
    </xf>
    <xf numFmtId="0" fontId="40" fillId="8" borderId="0" xfId="0"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protection locked="0"/>
    </xf>
    <xf numFmtId="0" fontId="42" fillId="5" borderId="5" xfId="0" applyFont="1" applyFill="1" applyBorder="1" applyAlignment="1" applyProtection="1">
      <alignment horizontal="center" vertical="center" wrapText="1"/>
    </xf>
    <xf numFmtId="0" fontId="42" fillId="5" borderId="5" xfId="0" applyFont="1" applyFill="1" applyBorder="1" applyAlignment="1" applyProtection="1">
      <alignment horizontal="right" vertical="center" wrapText="1"/>
    </xf>
    <xf numFmtId="0" fontId="42" fillId="5" borderId="79" xfId="0" applyFont="1" applyFill="1" applyBorder="1" applyAlignment="1" applyProtection="1">
      <alignment horizontal="center" vertical="center" wrapText="1"/>
    </xf>
    <xf numFmtId="0" fontId="42" fillId="5" borderId="82" xfId="0" applyFont="1" applyFill="1" applyBorder="1" applyAlignment="1" applyProtection="1">
      <alignment horizontal="right" vertical="center" wrapText="1"/>
    </xf>
    <xf numFmtId="0" fontId="40" fillId="5" borderId="4" xfId="0" applyFont="1" applyFill="1" applyBorder="1" applyAlignment="1" applyProtection="1">
      <alignment horizontal="center" vertical="center" wrapText="1"/>
    </xf>
    <xf numFmtId="49" fontId="40" fillId="5" borderId="59" xfId="0" applyNumberFormat="1" applyFont="1" applyFill="1" applyBorder="1" applyAlignment="1" applyProtection="1">
      <alignment horizontal="center" vertical="center" wrapText="1"/>
    </xf>
    <xf numFmtId="49" fontId="42" fillId="5" borderId="10"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center" vertical="center" wrapText="1"/>
    </xf>
    <xf numFmtId="49" fontId="42" fillId="5" borderId="77" xfId="0" applyNumberFormat="1" applyFont="1" applyFill="1" applyBorder="1" applyAlignment="1" applyProtection="1">
      <alignment vertical="center" wrapText="1"/>
    </xf>
    <xf numFmtId="0" fontId="40"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40" fillId="6"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49" fontId="42" fillId="5" borderId="78" xfId="0" applyNumberFormat="1" applyFont="1" applyFill="1" applyBorder="1" applyAlignment="1" applyProtection="1">
      <alignment vertical="center" wrapText="1"/>
    </xf>
    <xf numFmtId="0" fontId="40" fillId="5" borderId="8" xfId="0" applyFont="1" applyFill="1" applyBorder="1" applyAlignment="1" applyProtection="1">
      <alignment horizontal="center" vertical="center" wrapText="1"/>
    </xf>
    <xf numFmtId="0" fontId="40" fillId="0" borderId="43" xfId="0" applyNumberFormat="1" applyFont="1" applyFill="1" applyBorder="1" applyAlignment="1" applyProtection="1">
      <alignment horizontal="center" vertical="center" wrapText="1"/>
      <protection locked="0"/>
    </xf>
    <xf numFmtId="0" fontId="42" fillId="5" borderId="78" xfId="0" applyFont="1" applyFill="1" applyBorder="1" applyAlignment="1" applyProtection="1">
      <alignment vertical="center" wrapText="1"/>
    </xf>
    <xf numFmtId="0" fontId="40" fillId="5" borderId="0" xfId="0" applyFont="1" applyFill="1" applyAlignment="1" applyProtection="1">
      <alignment horizontal="center" vertical="center" wrapText="1"/>
      <protection locked="0"/>
    </xf>
    <xf numFmtId="0" fontId="40" fillId="5" borderId="0" xfId="0" applyNumberFormat="1" applyFont="1" applyFill="1" applyAlignment="1" applyProtection="1">
      <alignment horizontal="center" vertical="center" wrapText="1"/>
      <protection locked="0"/>
    </xf>
    <xf numFmtId="0" fontId="40" fillId="0" borderId="0" xfId="0" applyFont="1" applyFill="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0" xfId="0" applyNumberFormat="1" applyFont="1" applyFill="1" applyAlignment="1" applyProtection="1">
      <alignment horizontal="center" vertical="center" wrapText="1"/>
      <protection locked="0"/>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0" fillId="5" borderId="18" xfId="0" applyFont="1" applyFill="1" applyBorder="1" applyAlignment="1" applyProtection="1">
      <alignment vertical="center" wrapText="1"/>
    </xf>
    <xf numFmtId="0" fontId="40" fillId="5" borderId="18" xfId="0" applyFont="1" applyFill="1" applyBorder="1" applyAlignment="1" applyProtection="1">
      <alignment horizontal="center" vertical="center" wrapText="1"/>
    </xf>
    <xf numFmtId="0" fontId="99" fillId="2" borderId="18" xfId="0" applyFont="1" applyFill="1" applyBorder="1" applyAlignment="1" applyProtection="1">
      <alignment horizontal="center" vertical="center"/>
      <protection locked="0"/>
    </xf>
    <xf numFmtId="0" fontId="43" fillId="5" borderId="51"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2" fillId="5" borderId="2" xfId="0" applyFont="1" applyFill="1" applyBorder="1" applyAlignment="1" applyProtection="1">
      <alignment horizontal="right" vertical="center"/>
    </xf>
    <xf numFmtId="0" fontId="40" fillId="5" borderId="3" xfId="0" applyFont="1" applyFill="1" applyBorder="1" applyProtection="1">
      <alignment vertical="center"/>
    </xf>
    <xf numFmtId="0" fontId="42" fillId="5" borderId="60" xfId="0" applyFont="1" applyFill="1" applyBorder="1" applyAlignment="1" applyProtection="1">
      <alignment horizontal="right" vertical="center"/>
    </xf>
    <xf numFmtId="0" fontId="40" fillId="5" borderId="0" xfId="0" applyFont="1" applyFill="1" applyProtection="1">
      <alignment vertical="center"/>
    </xf>
    <xf numFmtId="0" fontId="42" fillId="5" borderId="5" xfId="0" applyFont="1" applyFill="1" applyBorder="1" applyAlignment="1" applyProtection="1">
      <alignment vertical="center"/>
    </xf>
    <xf numFmtId="0" fontId="40" fillId="5" borderId="11" xfId="0" applyFont="1" applyFill="1" applyBorder="1" applyAlignment="1" applyProtection="1">
      <alignment vertical="center"/>
    </xf>
    <xf numFmtId="0" fontId="50" fillId="5" borderId="38" xfId="1" applyFont="1" applyFill="1" applyBorder="1" applyAlignment="1" applyProtection="1">
      <alignment vertical="center"/>
    </xf>
    <xf numFmtId="0" fontId="42" fillId="5" borderId="39" xfId="0" applyFont="1" applyFill="1" applyBorder="1" applyAlignment="1" applyProtection="1">
      <alignment vertical="center"/>
    </xf>
    <xf numFmtId="0" fontId="40" fillId="5" borderId="1" xfId="0" applyFont="1" applyFill="1" applyBorder="1" applyProtection="1">
      <alignment vertical="center"/>
    </xf>
    <xf numFmtId="0" fontId="43" fillId="5" borderId="41" xfId="0" applyFont="1" applyFill="1" applyBorder="1" applyAlignment="1" applyProtection="1">
      <alignment vertical="center"/>
    </xf>
    <xf numFmtId="0" fontId="42" fillId="5" borderId="29" xfId="0" applyFont="1" applyFill="1" applyBorder="1" applyAlignment="1" applyProtection="1">
      <alignment vertical="center"/>
    </xf>
    <xf numFmtId="0" fontId="40" fillId="5" borderId="61" xfId="0" applyFont="1" applyFill="1" applyBorder="1" applyProtection="1">
      <alignment vertical="center"/>
    </xf>
    <xf numFmtId="0" fontId="43" fillId="5" borderId="62" xfId="0" applyFont="1" applyFill="1" applyBorder="1" applyAlignment="1" applyProtection="1">
      <alignment vertical="center"/>
    </xf>
    <xf numFmtId="0" fontId="40" fillId="5" borderId="55" xfId="0" applyFont="1" applyFill="1" applyBorder="1" applyAlignment="1" applyProtection="1">
      <alignment vertical="center"/>
    </xf>
    <xf numFmtId="0" fontId="40" fillId="5" borderId="67" xfId="0" applyFont="1" applyFill="1" applyBorder="1" applyProtection="1">
      <alignment vertical="center"/>
    </xf>
    <xf numFmtId="0" fontId="40" fillId="5" borderId="14" xfId="0" applyFont="1" applyFill="1" applyBorder="1" applyProtection="1">
      <alignment vertical="center"/>
    </xf>
    <xf numFmtId="0" fontId="40" fillId="5" borderId="41" xfId="0" applyFont="1" applyFill="1" applyBorder="1" applyAlignment="1" applyProtection="1">
      <alignment horizontal="center" vertical="center"/>
    </xf>
    <xf numFmtId="0" fontId="100" fillId="0" borderId="7" xfId="0" applyFont="1" applyBorder="1" applyAlignment="1" applyProtection="1">
      <alignment horizontal="center" vertical="center"/>
      <protection locked="0"/>
    </xf>
    <xf numFmtId="0" fontId="40" fillId="6" borderId="41"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xf>
    <xf numFmtId="0" fontId="43" fillId="0" borderId="0" xfId="0" applyFont="1" applyFill="1" applyProtection="1">
      <alignment vertical="center"/>
    </xf>
    <xf numFmtId="0" fontId="42" fillId="5" borderId="55" xfId="0" applyFont="1" applyFill="1" applyBorder="1" applyAlignment="1" applyProtection="1">
      <alignment horizontal="left" vertical="center"/>
    </xf>
    <xf numFmtId="0" fontId="42" fillId="5" borderId="15" xfId="0" applyFont="1" applyFill="1" applyBorder="1" applyAlignment="1" applyProtection="1">
      <alignment horizontal="center" vertical="center"/>
    </xf>
    <xf numFmtId="0" fontId="42" fillId="5" borderId="23" xfId="0" applyFont="1" applyFill="1" applyBorder="1" applyAlignment="1" applyProtection="1">
      <alignment horizontal="center" vertical="center"/>
    </xf>
    <xf numFmtId="0" fontId="43" fillId="5" borderId="17" xfId="0" applyFont="1" applyFill="1" applyBorder="1" applyProtection="1">
      <alignment vertical="center"/>
    </xf>
    <xf numFmtId="0" fontId="43" fillId="6" borderId="64" xfId="0" applyFont="1" applyFill="1" applyBorder="1" applyProtection="1">
      <alignment vertical="center"/>
    </xf>
    <xf numFmtId="0" fontId="42" fillId="6" borderId="1" xfId="0" applyFont="1" applyFill="1" applyBorder="1" applyAlignment="1" applyProtection="1">
      <alignment horizontal="right" vertical="center"/>
      <protection locked="0"/>
    </xf>
    <xf numFmtId="0" fontId="43" fillId="5" borderId="28" xfId="0" applyFont="1" applyFill="1" applyBorder="1" applyProtection="1">
      <alignment vertical="center"/>
    </xf>
    <xf numFmtId="0" fontId="43" fillId="5" borderId="31" xfId="0" applyFont="1" applyFill="1" applyBorder="1" applyAlignment="1" applyProtection="1">
      <alignment horizontal="center" vertical="center"/>
    </xf>
    <xf numFmtId="0" fontId="42" fillId="5" borderId="63" xfId="0" applyFont="1" applyFill="1" applyBorder="1" applyAlignment="1" applyProtection="1">
      <alignment horizontal="left" vertical="center"/>
    </xf>
    <xf numFmtId="0" fontId="40" fillId="5" borderId="24" xfId="0" applyFont="1" applyFill="1" applyBorder="1" applyAlignment="1" applyProtection="1">
      <alignment horizontal="right" vertical="center"/>
    </xf>
    <xf numFmtId="0" fontId="43" fillId="5" borderId="7" xfId="0" applyFont="1" applyFill="1" applyBorder="1" applyProtection="1">
      <alignment vertical="center"/>
    </xf>
    <xf numFmtId="0" fontId="42" fillId="5" borderId="20" xfId="0" applyFont="1" applyFill="1" applyBorder="1" applyAlignment="1" applyProtection="1">
      <alignment horizontal="left" vertical="center"/>
    </xf>
    <xf numFmtId="0" fontId="40" fillId="5" borderId="27" xfId="0" applyFont="1" applyFill="1" applyBorder="1" applyAlignment="1" applyProtection="1">
      <alignment horizontal="right" vertical="center"/>
    </xf>
    <xf numFmtId="0" fontId="43" fillId="5" borderId="8" xfId="0" applyFont="1" applyFill="1" applyBorder="1" applyProtection="1">
      <alignment vertical="center"/>
    </xf>
    <xf numFmtId="0" fontId="40" fillId="5" borderId="28" xfId="0" applyFont="1" applyFill="1" applyBorder="1" applyAlignment="1" applyProtection="1">
      <alignment horizontal="left" vertical="center"/>
    </xf>
    <xf numFmtId="0" fontId="40" fillId="6" borderId="82" xfId="0" applyFont="1" applyFill="1" applyBorder="1" applyProtection="1">
      <alignment vertical="center"/>
      <protection locked="0"/>
    </xf>
    <xf numFmtId="0" fontId="40" fillId="5" borderId="0"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0" fillId="0" borderId="81" xfId="0" applyFont="1" applyFill="1" applyBorder="1" applyProtection="1">
      <alignment vertical="center"/>
      <protection locked="0"/>
    </xf>
    <xf numFmtId="0" fontId="100" fillId="0" borderId="4"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43" fillId="5" borderId="39" xfId="0" applyFont="1" applyFill="1" applyBorder="1" applyProtection="1">
      <alignment vertical="center"/>
    </xf>
    <xf numFmtId="0" fontId="43" fillId="5" borderId="29" xfId="0" applyFont="1" applyFill="1" applyBorder="1" applyProtection="1">
      <alignment vertical="center"/>
    </xf>
    <xf numFmtId="0" fontId="43" fillId="5" borderId="0" xfId="0" applyFont="1" applyFill="1" applyBorder="1" applyAlignment="1" applyProtection="1">
      <alignment horizontal="center" vertical="center"/>
    </xf>
    <xf numFmtId="0" fontId="118" fillId="5" borderId="0" xfId="0" applyFont="1" applyFill="1" applyBorder="1" applyAlignment="1" applyProtection="1">
      <alignment horizontal="center" vertical="center"/>
    </xf>
    <xf numFmtId="0" fontId="118" fillId="5" borderId="0" xfId="0" applyFont="1" applyFill="1" applyProtection="1">
      <alignment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9" fontId="43" fillId="5" borderId="0" xfId="0" applyNumberFormat="1" applyFont="1" applyFill="1" applyAlignment="1" applyProtection="1">
      <alignment horizontal="center" vertical="center"/>
    </xf>
    <xf numFmtId="0" fontId="44" fillId="0" borderId="6" xfId="0" applyFont="1" applyFill="1" applyBorder="1" applyAlignment="1" applyProtection="1">
      <alignment vertical="center" wrapText="1"/>
      <protection locked="0"/>
    </xf>
    <xf numFmtId="0" fontId="43" fillId="6" borderId="3" xfId="0" applyFont="1" applyFill="1" applyBorder="1" applyAlignment="1" applyProtection="1">
      <alignment horizontal="center" vertical="center"/>
      <protection locked="0"/>
    </xf>
    <xf numFmtId="10" fontId="43" fillId="5" borderId="0" xfId="0" applyNumberFormat="1" applyFont="1" applyFill="1" applyAlignment="1" applyProtection="1">
      <alignment horizontal="center" vertical="center"/>
    </xf>
    <xf numFmtId="0" fontId="103" fillId="8" borderId="1" xfId="0" applyFont="1" applyFill="1" applyBorder="1" applyAlignment="1" applyProtection="1">
      <alignment horizontal="center" vertical="center" wrapText="1"/>
    </xf>
    <xf numFmtId="0" fontId="43" fillId="5" borderId="6" xfId="0" applyFont="1" applyFill="1" applyBorder="1" applyProtection="1">
      <alignment vertical="center"/>
    </xf>
    <xf numFmtId="0" fontId="44" fillId="5" borderId="0" xfId="0" applyFont="1" applyFill="1" applyProtection="1">
      <alignment vertical="center"/>
    </xf>
    <xf numFmtId="0" fontId="118" fillId="0" borderId="6" xfId="0" applyFont="1" applyFill="1" applyBorder="1" applyAlignment="1" applyProtection="1">
      <alignment vertical="center" wrapText="1"/>
      <protection locked="0"/>
    </xf>
    <xf numFmtId="0" fontId="43" fillId="2" borderId="3" xfId="0" applyFont="1" applyFill="1" applyBorder="1" applyAlignment="1" applyProtection="1">
      <alignment horizontal="center" vertical="center" wrapText="1"/>
      <protection locked="0"/>
    </xf>
    <xf numFmtId="0" fontId="102" fillId="8" borderId="2" xfId="0" applyFont="1" applyFill="1" applyBorder="1" applyAlignment="1" applyProtection="1">
      <alignment horizontal="center" vertical="center" wrapText="1"/>
    </xf>
    <xf numFmtId="0" fontId="107" fillId="8" borderId="27" xfId="0" applyFont="1" applyFill="1" applyBorder="1" applyAlignment="1" applyProtection="1">
      <alignment vertical="center" wrapText="1"/>
    </xf>
    <xf numFmtId="0" fontId="107" fillId="8" borderId="51" xfId="0" applyFont="1" applyFill="1" applyBorder="1" applyAlignment="1" applyProtection="1">
      <alignment horizontal="center" vertical="center"/>
    </xf>
    <xf numFmtId="0" fontId="107" fillId="8" borderId="3" xfId="0" applyFont="1" applyFill="1" applyBorder="1" applyAlignment="1" applyProtection="1">
      <alignment vertical="center" wrapText="1"/>
    </xf>
    <xf numFmtId="0" fontId="118" fillId="0" borderId="43" xfId="0" applyFont="1" applyFill="1" applyBorder="1" applyAlignment="1" applyProtection="1">
      <alignment vertical="center" wrapText="1"/>
      <protection locked="0"/>
    </xf>
    <xf numFmtId="0" fontId="107" fillId="8" borderId="25" xfId="0" applyFont="1" applyFill="1" applyBorder="1" applyAlignment="1" applyProtection="1">
      <alignment vertical="center" wrapText="1"/>
    </xf>
    <xf numFmtId="0" fontId="107"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8"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0" fillId="2" borderId="1" xfId="2" applyFont="1" applyFill="1" applyBorder="1" applyAlignment="1" applyProtection="1">
      <alignment horizontal="center" vertical="center" wrapText="1"/>
      <protection locked="0"/>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30" fillId="5" borderId="1" xfId="0" applyFont="1" applyFill="1" applyBorder="1" applyAlignment="1" applyProtection="1">
      <alignment vertical="center"/>
    </xf>
    <xf numFmtId="0" fontId="130" fillId="5" borderId="1" xfId="0" applyFont="1" applyFill="1" applyBorder="1" applyAlignment="1" applyProtection="1">
      <alignment vertical="center" shrinkToFit="1"/>
    </xf>
    <xf numFmtId="0" fontId="130" fillId="5" borderId="2" xfId="0" applyFont="1" applyFill="1" applyBorder="1" applyAlignment="1" applyProtection="1">
      <alignment vertical="center"/>
    </xf>
    <xf numFmtId="0" fontId="130" fillId="5" borderId="44" xfId="0" applyFont="1" applyFill="1" applyBorder="1" applyAlignment="1" applyProtection="1">
      <alignment vertical="center"/>
    </xf>
    <xf numFmtId="0" fontId="105" fillId="5" borderId="1" xfId="0" applyFont="1" applyFill="1" applyBorder="1" applyAlignment="1" applyProtection="1">
      <alignment vertical="center" shrinkToFit="1"/>
    </xf>
    <xf numFmtId="0" fontId="40" fillId="5" borderId="0" xfId="0" applyFont="1" applyFill="1" applyProtection="1">
      <alignment vertical="center"/>
      <protection locked="0"/>
    </xf>
    <xf numFmtId="0" fontId="43" fillId="0" borderId="0" xfId="0" applyFont="1" applyBorder="1" applyProtection="1">
      <alignment vertical="center"/>
    </xf>
    <xf numFmtId="0" fontId="57" fillId="5" borderId="6" xfId="0" applyFont="1" applyFill="1" applyBorder="1" applyAlignment="1" applyProtection="1">
      <alignment vertical="center" shrinkToFit="1"/>
    </xf>
    <xf numFmtId="0" fontId="57" fillId="5" borderId="6" xfId="0" applyFont="1" applyFill="1" applyBorder="1" applyAlignment="1" applyProtection="1">
      <alignment vertical="center" wrapText="1"/>
    </xf>
    <xf numFmtId="0" fontId="130" fillId="5" borderId="61" xfId="0" applyFont="1" applyFill="1" applyBorder="1" applyAlignment="1" applyProtection="1">
      <alignment vertical="center" shrinkToFit="1"/>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8"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3" xfId="0"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42" xfId="0" applyFont="1" applyFill="1" applyBorder="1" applyAlignment="1" applyProtection="1">
      <alignment horizontal="left" vertical="center"/>
    </xf>
    <xf numFmtId="0" fontId="42" fillId="5" borderId="56" xfId="0" applyFont="1" applyFill="1" applyBorder="1" applyAlignment="1" applyProtection="1">
      <alignment horizontal="center" vertical="center"/>
    </xf>
    <xf numFmtId="0" fontId="42" fillId="5" borderId="46" xfId="0" applyFont="1" applyFill="1" applyBorder="1" applyAlignment="1" applyProtection="1">
      <alignment horizontal="left" vertical="center"/>
    </xf>
    <xf numFmtId="0" fontId="40" fillId="5" borderId="28" xfId="0" applyFont="1" applyFill="1" applyBorder="1" applyAlignment="1" applyProtection="1">
      <alignment horizontal="right" vertical="center"/>
    </xf>
    <xf numFmtId="0" fontId="40" fillId="5" borderId="56" xfId="0" applyFont="1" applyFill="1" applyBorder="1" applyAlignment="1" applyProtection="1">
      <alignment horizontal="right" vertical="center"/>
    </xf>
    <xf numFmtId="0" fontId="130" fillId="5" borderId="64" xfId="0" applyFont="1" applyFill="1" applyBorder="1" applyAlignment="1" applyProtection="1">
      <alignment vertical="center"/>
    </xf>
    <xf numFmtId="0" fontId="43" fillId="5" borderId="0" xfId="0" applyFont="1" applyFill="1" applyBorder="1" applyProtection="1">
      <alignmen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54"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102" fillId="8" borderId="2" xfId="0" applyFont="1" applyFill="1" applyBorder="1" applyAlignment="1" applyProtection="1">
      <alignment horizontal="center" vertical="center"/>
    </xf>
    <xf numFmtId="0" fontId="102" fillId="8" borderId="51" xfId="0" applyFont="1" applyFill="1" applyBorder="1" applyAlignment="1" applyProtection="1">
      <alignment horizontal="center" vertical="center"/>
    </xf>
    <xf numFmtId="0" fontId="102" fillId="8" borderId="3" xfId="0" applyFont="1" applyFill="1" applyBorder="1" applyAlignment="1" applyProtection="1">
      <alignment horizontal="center" vertical="center"/>
    </xf>
    <xf numFmtId="0" fontId="43" fillId="8" borderId="1" xfId="0" applyFont="1" applyFill="1" applyBorder="1" applyAlignment="1" applyProtection="1">
      <alignment vertical="center"/>
      <protection locked="0"/>
    </xf>
    <xf numFmtId="0" fontId="102" fillId="0" borderId="1" xfId="0" applyFont="1" applyBorder="1" applyAlignment="1" applyProtection="1">
      <alignment horizontal="center" vertical="center" wrapText="1"/>
    </xf>
    <xf numFmtId="0" fontId="43" fillId="8" borderId="1" xfId="0" applyFont="1" applyFill="1" applyBorder="1" applyAlignment="1" applyProtection="1">
      <alignment horizontal="center" vertical="center" wrapText="1"/>
      <protection locked="0"/>
    </xf>
    <xf numFmtId="0" fontId="53" fillId="5" borderId="90"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8" fillId="5" borderId="165" xfId="0" applyFont="1" applyFill="1" applyBorder="1" applyAlignment="1" applyProtection="1">
      <alignment horizontal="center" vertical="center"/>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190" fontId="53" fillId="5" borderId="0" xfId="0" applyNumberFormat="1" applyFont="1" applyFill="1" applyBorder="1" applyAlignment="1" applyProtection="1">
      <alignment horizontal="center" vertical="center"/>
      <protection locked="0"/>
    </xf>
    <xf numFmtId="182" fontId="53" fillId="5" borderId="0" xfId="0" applyNumberFormat="1" applyFont="1" applyFill="1" applyBorder="1" applyAlignment="1" applyProtection="1">
      <alignment vertical="center"/>
      <protection locked="0"/>
    </xf>
    <xf numFmtId="0" fontId="53" fillId="5" borderId="0" xfId="0" applyFont="1" applyFill="1" applyBorder="1" applyAlignment="1" applyProtection="1">
      <alignment horizontal="center" vertical="center"/>
      <protection locked="0"/>
    </xf>
    <xf numFmtId="0" fontId="53" fillId="5" borderId="39"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54"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3" fillId="5" borderId="39" xfId="0" applyFont="1" applyFill="1" applyBorder="1" applyAlignment="1" applyProtection="1">
      <alignment horizontal="center" vertical="center"/>
      <protection locked="0"/>
    </xf>
    <xf numFmtId="190" fontId="40" fillId="5" borderId="38" xfId="0" applyNumberFormat="1" applyFont="1" applyFill="1" applyBorder="1" applyAlignment="1" applyProtection="1">
      <alignment horizontal="center" vertical="center" wrapText="1"/>
    </xf>
    <xf numFmtId="190" fontId="40" fillId="5" borderId="41"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49" fontId="40" fillId="2" borderId="67" xfId="0" applyNumberFormat="1" applyFont="1" applyFill="1" applyBorder="1" applyAlignment="1" applyProtection="1">
      <alignment horizontal="center" vertical="center" wrapText="1"/>
      <protection locked="0"/>
    </xf>
    <xf numFmtId="0" fontId="40" fillId="0" borderId="35" xfId="0" applyFont="1" applyFill="1" applyBorder="1" applyAlignment="1" applyProtection="1">
      <alignment horizontal="center" vertical="center" wrapText="1"/>
      <protection locked="0"/>
    </xf>
    <xf numFmtId="0" fontId="54" fillId="5" borderId="41" xfId="0" applyNumberFormat="1" applyFont="1" applyFill="1" applyBorder="1" applyAlignment="1" applyProtection="1">
      <alignment horizontal="center" vertical="center" wrapText="1"/>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5" borderId="22" xfId="0" applyNumberFormat="1"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0" fontId="54" fillId="5" borderId="45" xfId="0" applyNumberFormat="1" applyFont="1" applyFill="1" applyBorder="1" applyAlignment="1" applyProtection="1">
      <alignment horizontal="center" vertical="center" wrapText="1"/>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0" fontId="54" fillId="5" borderId="77" xfId="0" applyNumberFormat="1" applyFont="1" applyFill="1" applyBorder="1" applyAlignment="1" applyProtection="1">
      <alignment horizontal="center" vertical="center" wrapText="1"/>
    </xf>
    <xf numFmtId="49" fontId="47" fillId="2" borderId="3" xfId="0" applyNumberFormat="1" applyFont="1" applyFill="1" applyBorder="1" applyAlignment="1" applyProtection="1">
      <alignment horizontal="center" vertical="center" wrapText="1"/>
      <protection locked="0"/>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7" fillId="2" borderId="4" xfId="0" applyFont="1" applyFill="1" applyBorder="1" applyAlignment="1" applyProtection="1">
      <alignment horizontal="center" vertical="center" wrapText="1"/>
      <protection locked="0"/>
    </xf>
    <xf numFmtId="0" fontId="47" fillId="2" borderId="28"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190" fontId="47" fillId="5" borderId="41" xfId="0" applyNumberFormat="1" applyFont="1" applyFill="1" applyBorder="1" applyAlignment="1" applyProtection="1">
      <alignment horizontal="center" vertical="center"/>
    </xf>
    <xf numFmtId="190" fontId="47" fillId="5" borderId="41" xfId="0" applyNumberFormat="1" applyFont="1" applyFill="1" applyBorder="1" applyAlignment="1" applyProtection="1">
      <alignment horizontal="center" vertical="center" wrapText="1"/>
    </xf>
    <xf numFmtId="190" fontId="47" fillId="5" borderId="43" xfId="0" applyNumberFormat="1" applyFont="1" applyFill="1" applyBorder="1" applyAlignment="1" applyProtection="1">
      <alignment horizontal="center" vertical="center" wrapText="1"/>
    </xf>
    <xf numFmtId="0" fontId="47" fillId="0" borderId="39" xfId="0" applyFont="1" applyFill="1" applyBorder="1" applyAlignment="1" applyProtection="1">
      <alignment horizontal="center" vertical="center"/>
      <protection locked="0"/>
    </xf>
    <xf numFmtId="0" fontId="69" fillId="0" borderId="39" xfId="0" applyFont="1" applyFill="1" applyBorder="1" applyAlignment="1" applyProtection="1">
      <alignment horizontal="center" vertical="center"/>
      <protection locked="0"/>
    </xf>
    <xf numFmtId="0" fontId="47" fillId="0" borderId="39" xfId="0" applyFont="1" applyBorder="1" applyAlignment="1" applyProtection="1">
      <protection locked="0"/>
    </xf>
    <xf numFmtId="49" fontId="40" fillId="0" borderId="39" xfId="0" applyNumberFormat="1" applyFont="1" applyFill="1" applyBorder="1" applyAlignment="1" applyProtection="1">
      <alignment horizontal="center" vertical="center"/>
      <protection locked="0"/>
    </xf>
    <xf numFmtId="9" fontId="40" fillId="0" borderId="39" xfId="0" applyNumberFormat="1" applyFont="1" applyFill="1" applyBorder="1" applyAlignment="1" applyProtection="1">
      <alignment horizontal="center" vertical="center" wrapText="1"/>
      <protection locked="0"/>
    </xf>
    <xf numFmtId="0" fontId="99" fillId="0" borderId="39" xfId="0" applyFont="1" applyFill="1" applyBorder="1" applyAlignment="1" applyProtection="1">
      <alignment vertical="center"/>
      <protection locked="0"/>
    </xf>
    <xf numFmtId="0" fontId="40"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protection locked="0"/>
    </xf>
    <xf numFmtId="0" fontId="45" fillId="0" borderId="39" xfId="0" applyFont="1" applyFill="1" applyBorder="1" applyAlignment="1" applyProtection="1">
      <alignment vertical="center" wrapText="1"/>
      <protection locked="0"/>
    </xf>
    <xf numFmtId="0" fontId="40" fillId="0" borderId="39" xfId="0" applyFont="1" applyFill="1" applyBorder="1" applyAlignment="1" applyProtection="1">
      <alignment vertical="center" wrapText="1"/>
      <protection locked="0"/>
    </xf>
    <xf numFmtId="0" fontId="40" fillId="0" borderId="83" xfId="0" applyNumberFormat="1" applyFont="1" applyFill="1" applyBorder="1" applyAlignment="1" applyProtection="1">
      <alignment horizontal="center" vertical="center"/>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9" fillId="5" borderId="5" xfId="0" applyFont="1" applyFill="1" applyBorder="1" applyAlignment="1" applyProtection="1">
      <alignment horizontal="center" vertical="center"/>
      <protection locked="0"/>
    </xf>
    <xf numFmtId="0" fontId="54" fillId="5" borderId="37"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0" fontId="99" fillId="5" borderId="37" xfId="0" applyFont="1" applyFill="1" applyBorder="1" applyAlignment="1" applyProtection="1">
      <alignment horizontal="center" vertical="center"/>
      <protection locked="0"/>
    </xf>
    <xf numFmtId="0" fontId="54" fillId="5" borderId="79" xfId="0" applyFont="1" applyFill="1" applyBorder="1" applyAlignment="1" applyProtection="1">
      <alignment horizontal="center" vertical="center"/>
      <protection locked="0"/>
    </xf>
    <xf numFmtId="0" fontId="54" fillId="5" borderId="63" xfId="0" applyFont="1" applyFill="1" applyBorder="1" applyProtection="1">
      <alignment vertical="center"/>
    </xf>
    <xf numFmtId="0" fontId="99" fillId="5" borderId="2" xfId="0" applyFont="1" applyFill="1" applyBorder="1" applyAlignment="1" applyProtection="1">
      <alignment horizontal="center" vertical="center"/>
    </xf>
    <xf numFmtId="0" fontId="99" fillId="5" borderId="95" xfId="0" applyFont="1" applyFill="1" applyBorder="1" applyAlignment="1" applyProtection="1">
      <alignment horizontal="center" vertical="center"/>
    </xf>
    <xf numFmtId="0" fontId="54" fillId="5" borderId="65" xfId="0" applyFont="1" applyFill="1" applyBorder="1" applyAlignment="1" applyProtection="1">
      <alignment horizontal="center" vertical="center"/>
    </xf>
    <xf numFmtId="0" fontId="99" fillId="0" borderId="17" xfId="0" applyFont="1" applyBorder="1" applyAlignment="1" applyProtection="1">
      <alignment horizontal="center" vertical="center"/>
      <protection locked="0"/>
    </xf>
    <xf numFmtId="0" fontId="99" fillId="5" borderId="24" xfId="0" applyFont="1" applyFill="1" applyBorder="1" applyAlignment="1" applyProtection="1">
      <alignment horizontal="center" vertical="center"/>
    </xf>
    <xf numFmtId="0" fontId="99" fillId="5"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5" borderId="8" xfId="0" applyFont="1" applyFill="1" applyBorder="1" applyAlignment="1" applyProtection="1">
      <alignment horizontal="center" vertical="center"/>
    </xf>
    <xf numFmtId="0" fontId="54" fillId="5" borderId="96" xfId="0" applyFont="1" applyFill="1" applyBorder="1" applyAlignment="1" applyProtection="1">
      <alignment horizontal="left" vertical="center"/>
    </xf>
    <xf numFmtId="0" fontId="47" fillId="5" borderId="40" xfId="0" applyFont="1" applyFill="1" applyBorder="1" applyAlignment="1" applyProtection="1">
      <alignment horizontal="center" vertical="center"/>
    </xf>
    <xf numFmtId="0" fontId="47" fillId="5" borderId="30" xfId="0" applyFont="1" applyFill="1" applyBorder="1" applyAlignment="1" applyProtection="1">
      <alignment horizontal="center" vertical="center"/>
    </xf>
    <xf numFmtId="0" fontId="99" fillId="5" borderId="56" xfId="0" applyFont="1" applyFill="1" applyBorder="1" applyAlignment="1" applyProtection="1">
      <alignment horizontal="center" vertical="center"/>
    </xf>
    <xf numFmtId="0" fontId="60" fillId="5" borderId="90" xfId="0" applyFont="1" applyFill="1" applyBorder="1" applyAlignment="1" applyProtection="1">
      <alignment horizontal="center" vertical="center"/>
      <protection locked="0"/>
    </xf>
    <xf numFmtId="0" fontId="54" fillId="5" borderId="17"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60" fillId="5" borderId="0" xfId="0" applyFont="1" applyFill="1" applyAlignment="1" applyProtection="1">
      <alignment horizontal="center" vertical="center"/>
      <protection locked="0"/>
    </xf>
    <xf numFmtId="49" fontId="47" fillId="5" borderId="16" xfId="0" applyNumberFormat="1" applyFont="1" applyFill="1" applyBorder="1" applyAlignment="1" applyProtection="1">
      <alignment horizontal="center" vertical="center" wrapText="1"/>
    </xf>
    <xf numFmtId="0" fontId="40" fillId="2" borderId="23"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protection locked="0"/>
    </xf>
    <xf numFmtId="0" fontId="69" fillId="5" borderId="39" xfId="0" applyFont="1" applyFill="1" applyBorder="1" applyAlignment="1" applyProtection="1">
      <alignment horizontal="center" vertical="center"/>
      <protection locked="0"/>
    </xf>
    <xf numFmtId="0" fontId="47" fillId="5" borderId="39" xfId="0" applyFont="1" applyFill="1" applyBorder="1" applyAlignment="1" applyProtection="1">
      <protection locked="0"/>
    </xf>
    <xf numFmtId="9" fontId="40" fillId="5" borderId="0" xfId="0" applyNumberFormat="1" applyFont="1" applyFill="1" applyBorder="1" applyAlignment="1" applyProtection="1">
      <alignment horizontal="center" vertical="center" wrapText="1"/>
      <protection locked="0"/>
    </xf>
    <xf numFmtId="0" fontId="58" fillId="5" borderId="91" xfId="0" applyFont="1" applyFill="1" applyBorder="1" applyAlignment="1" applyProtection="1">
      <alignment horizontal="center" vertical="center"/>
    </xf>
    <xf numFmtId="0" fontId="58" fillId="5" borderId="25" xfId="0" applyFont="1" applyFill="1" applyBorder="1" applyAlignment="1" applyProtection="1">
      <alignment horizontal="center" vertical="center"/>
    </xf>
    <xf numFmtId="0" fontId="58" fillId="5" borderId="27" xfId="0" applyFont="1" applyFill="1" applyBorder="1" applyAlignment="1" applyProtection="1">
      <alignment horizontal="center" vertical="center"/>
    </xf>
    <xf numFmtId="185" fontId="40" fillId="0" borderId="9" xfId="0" applyNumberFormat="1" applyFont="1" applyFill="1" applyBorder="1" applyAlignment="1" applyProtection="1">
      <alignment horizontal="center" vertical="center" wrapText="1"/>
      <protection locked="0"/>
    </xf>
    <xf numFmtId="49" fontId="47" fillId="5" borderId="21" xfId="0" applyNumberFormat="1" applyFont="1" applyFill="1" applyBorder="1" applyAlignment="1" applyProtection="1">
      <alignment horizontal="center" vertical="center" wrapText="1"/>
    </xf>
    <xf numFmtId="0" fontId="47" fillId="5" borderId="27" xfId="0" applyNumberFormat="1" applyFont="1" applyFill="1" applyBorder="1" applyAlignment="1" applyProtection="1">
      <alignment horizontal="center" vertical="center" wrapText="1"/>
    </xf>
    <xf numFmtId="0" fontId="47" fillId="2" borderId="25" xfId="0" applyNumberFormat="1" applyFont="1" applyFill="1" applyBorder="1" applyAlignment="1" applyProtection="1">
      <alignment horizontal="center" vertical="center" wrapText="1"/>
      <protection locked="0"/>
    </xf>
    <xf numFmtId="0" fontId="47" fillId="0" borderId="51" xfId="0" applyNumberFormat="1" applyFont="1" applyFill="1" applyBorder="1" applyAlignment="1" applyProtection="1">
      <alignment horizontal="center" vertical="center" wrapText="1"/>
      <protection locked="0"/>
    </xf>
    <xf numFmtId="0" fontId="40" fillId="2" borderId="24"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47" fillId="0" borderId="33" xfId="0" applyNumberFormat="1"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49" fontId="47" fillId="5" borderId="27" xfId="0" applyNumberFormat="1"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wrapText="1"/>
    </xf>
    <xf numFmtId="0" fontId="40" fillId="2" borderId="65" xfId="0" applyNumberFormat="1" applyFont="1" applyFill="1" applyBorder="1" applyAlignment="1" applyProtection="1">
      <alignment horizontal="center" vertical="center" wrapText="1"/>
      <protection locked="0"/>
    </xf>
    <xf numFmtId="0" fontId="47" fillId="5" borderId="25" xfId="0" applyNumberFormat="1" applyFont="1" applyFill="1" applyBorder="1" applyAlignment="1" applyProtection="1">
      <alignment horizontal="center" vertical="center" wrapText="1"/>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2" fillId="6" borderId="7" xfId="0" applyNumberFormat="1" applyFont="1" applyFill="1" applyBorder="1" applyAlignment="1" applyProtection="1">
      <alignment horizontal="center" vertical="center" wrapText="1"/>
      <protection locked="0"/>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53" fillId="5" borderId="47" xfId="1" applyFont="1" applyFill="1" applyBorder="1" applyAlignment="1" applyProtection="1">
      <alignment vertical="center"/>
    </xf>
    <xf numFmtId="0" fontId="49" fillId="5" borderId="0" xfId="0" applyFont="1" applyFill="1" applyAlignment="1" applyProtection="1">
      <alignment vertical="center" wrapText="1"/>
    </xf>
    <xf numFmtId="0" fontId="99" fillId="5" borderId="4" xfId="0" applyNumberFormat="1" applyFont="1" applyFill="1" applyBorder="1" applyAlignment="1" applyProtection="1">
      <alignment horizontal="center" vertical="center"/>
    </xf>
    <xf numFmtId="0" fontId="49" fillId="0" borderId="0" xfId="0" applyFont="1" applyAlignment="1" applyProtection="1">
      <alignment vertical="center" wrapText="1"/>
    </xf>
    <xf numFmtId="0" fontId="53" fillId="5" borderId="2" xfId="1" applyFont="1" applyFill="1" applyBorder="1" applyAlignment="1" applyProtection="1">
      <alignment vertical="center"/>
    </xf>
    <xf numFmtId="0" fontId="49" fillId="5"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center" vertical="center" wrapText="1"/>
      <protection locked="0"/>
    </xf>
    <xf numFmtId="49" fontId="49" fillId="5" borderId="1"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left" vertical="center" wrapText="1"/>
    </xf>
    <xf numFmtId="0" fontId="49" fillId="5" borderId="0" xfId="0" applyNumberFormat="1" applyFont="1" applyFill="1" applyAlignment="1" applyProtection="1">
      <alignment vertical="center" wrapText="1"/>
    </xf>
    <xf numFmtId="0" fontId="99" fillId="5" borderId="7"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wrapText="1"/>
      <protection locked="0"/>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center" vertical="center" wrapText="1"/>
    </xf>
    <xf numFmtId="0" fontId="46"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7" fillId="5" borderId="36" xfId="0" applyFont="1" applyFill="1" applyBorder="1" applyAlignment="1" applyProtection="1">
      <alignment vertical="center" wrapText="1"/>
    </xf>
    <xf numFmtId="0" fontId="47" fillId="5" borderId="27" xfId="0" applyFont="1" applyFill="1" applyBorder="1" applyAlignment="1" applyProtection="1">
      <alignment vertical="center" wrapText="1"/>
    </xf>
    <xf numFmtId="0" fontId="47" fillId="8" borderId="0" xfId="0" applyFont="1" applyFill="1" applyAlignment="1" applyProtection="1">
      <alignment vertical="center"/>
      <protection locked="0"/>
    </xf>
    <xf numFmtId="0" fontId="47" fillId="5" borderId="0" xfId="6" applyFont="1" applyFill="1" applyAlignment="1" applyProtection="1">
      <alignment horizontal="center" vertical="center" wrapText="1"/>
      <protection locked="0"/>
    </xf>
    <xf numFmtId="0" fontId="47" fillId="8" borderId="0" xfId="6" applyFont="1" applyFill="1" applyAlignment="1" applyProtection="1">
      <alignment horizontal="center" vertical="center" wrapText="1"/>
    </xf>
    <xf numFmtId="0" fontId="47" fillId="0" borderId="0" xfId="6" applyFont="1" applyAlignment="1" applyProtection="1">
      <alignment horizontal="center" vertical="center" wrapText="1"/>
    </xf>
    <xf numFmtId="0" fontId="47" fillId="0" borderId="0" xfId="0" applyFont="1" applyAlignment="1" applyProtection="1">
      <alignment vertical="center" wrapText="1"/>
    </xf>
    <xf numFmtId="0" fontId="50" fillId="5" borderId="9" xfId="0" applyFont="1" applyFill="1" applyBorder="1" applyAlignment="1" applyProtection="1">
      <alignment horizontal="center" vertical="center" wrapText="1"/>
    </xf>
    <xf numFmtId="0" fontId="50" fillId="5" borderId="66" xfId="0" applyFont="1" applyFill="1" applyBorder="1" applyAlignment="1" applyProtection="1">
      <alignment horizontal="left" vertical="center" wrapText="1"/>
    </xf>
    <xf numFmtId="0" fontId="118" fillId="5" borderId="14" xfId="0" applyFont="1" applyFill="1" applyBorder="1" applyAlignment="1" applyProtection="1">
      <alignment vertical="center"/>
    </xf>
    <xf numFmtId="0" fontId="50"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wrapText="1"/>
    </xf>
    <xf numFmtId="0" fontId="49" fillId="5" borderId="81" xfId="0" applyFont="1" applyFill="1" applyBorder="1" applyAlignment="1" applyProtection="1">
      <alignment vertical="center" wrapText="1"/>
    </xf>
    <xf numFmtId="0" fontId="49" fillId="8" borderId="0" xfId="0" applyFont="1" applyFill="1" applyAlignment="1" applyProtection="1">
      <alignment vertical="center"/>
      <protection locked="0"/>
    </xf>
    <xf numFmtId="0" fontId="50" fillId="5" borderId="11" xfId="0"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49" fillId="5" borderId="37" xfId="0" applyFont="1" applyFill="1" applyBorder="1" applyAlignment="1" applyProtection="1">
      <alignment horizontal="center" vertical="center" wrapText="1"/>
    </xf>
    <xf numFmtId="0" fontId="49" fillId="5" borderId="37"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49" fillId="5" borderId="2" xfId="0" applyFont="1" applyFill="1" applyBorder="1" applyAlignment="1" applyProtection="1">
      <alignment vertical="center"/>
    </xf>
    <xf numFmtId="0" fontId="49" fillId="5" borderId="51" xfId="0" applyFont="1" applyFill="1" applyBorder="1" applyAlignment="1" applyProtection="1">
      <alignment vertical="center" wrapText="1"/>
    </xf>
    <xf numFmtId="0" fontId="49" fillId="5" borderId="41" xfId="0" applyFont="1" applyFill="1" applyBorder="1" applyAlignment="1" applyProtection="1">
      <alignment vertical="center" wrapText="1"/>
    </xf>
    <xf numFmtId="0" fontId="49" fillId="5" borderId="18" xfId="0" applyFont="1" applyFill="1" applyBorder="1" applyAlignment="1" applyProtection="1">
      <alignment horizontal="left" vertical="center" wrapText="1"/>
    </xf>
    <xf numFmtId="0" fontId="49" fillId="5" borderId="35" xfId="0" applyFont="1" applyFill="1" applyBorder="1" applyAlignment="1" applyProtection="1">
      <alignment vertical="center"/>
    </xf>
    <xf numFmtId="0" fontId="49" fillId="5" borderId="36"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50" fillId="5" borderId="57" xfId="0" applyFont="1" applyFill="1" applyBorder="1" applyAlignment="1" applyProtection="1">
      <alignment horizontal="left" vertical="center" wrapText="1"/>
    </xf>
    <xf numFmtId="0" fontId="49" fillId="5" borderId="13" xfId="0" applyFont="1" applyFill="1" applyBorder="1" applyAlignment="1" applyProtection="1">
      <alignment vertical="center"/>
    </xf>
    <xf numFmtId="0" fontId="49" fillId="5" borderId="47" xfId="0" applyFont="1" applyFill="1" applyBorder="1" applyAlignment="1" applyProtection="1">
      <alignment horizontal="center" vertical="center" wrapText="1"/>
    </xf>
    <xf numFmtId="0" fontId="49" fillId="5" borderId="47" xfId="0" applyFont="1" applyFill="1" applyBorder="1" applyAlignment="1" applyProtection="1">
      <alignment vertical="center" wrapText="1"/>
    </xf>
    <xf numFmtId="0" fontId="49" fillId="5" borderId="38" xfId="0" applyFont="1" applyFill="1" applyBorder="1" applyAlignment="1" applyProtection="1">
      <alignment vertical="center" wrapText="1"/>
    </xf>
    <xf numFmtId="0" fontId="99" fillId="5" borderId="8" xfId="0" applyNumberFormat="1" applyFont="1" applyFill="1" applyBorder="1" applyAlignment="1" applyProtection="1">
      <alignment horizontal="center" vertical="center"/>
    </xf>
    <xf numFmtId="0" fontId="102" fillId="5" borderId="18" xfId="0" applyFont="1" applyFill="1" applyBorder="1" applyAlignment="1" applyProtection="1">
      <alignment horizontal="left" vertical="center" wrapText="1"/>
    </xf>
    <xf numFmtId="0" fontId="102" fillId="5" borderId="3"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protection locked="0"/>
    </xf>
    <xf numFmtId="0" fontId="49" fillId="0" borderId="6" xfId="0" applyFont="1" applyFill="1" applyBorder="1" applyAlignment="1" applyProtection="1">
      <alignment horizontal="center" vertical="center" wrapText="1"/>
      <protection locked="0"/>
    </xf>
    <xf numFmtId="0" fontId="102" fillId="5" borderId="17" xfId="0" applyFont="1" applyFill="1" applyBorder="1" applyAlignment="1" applyProtection="1">
      <alignment horizontal="left" vertical="center" wrapText="1"/>
    </xf>
    <xf numFmtId="0" fontId="102" fillId="6" borderId="3" xfId="0" applyFont="1" applyFill="1" applyBorder="1" applyAlignment="1" applyProtection="1">
      <alignment horizontal="center" vertical="center" wrapText="1"/>
      <protection locked="0"/>
    </xf>
    <xf numFmtId="0" fontId="102" fillId="6" borderId="1" xfId="0" applyFont="1" applyFill="1" applyBorder="1" applyAlignment="1" applyProtection="1">
      <alignment horizontal="center" vertical="center" wrapText="1"/>
      <protection locked="0"/>
    </xf>
    <xf numFmtId="0" fontId="102" fillId="6" borderId="17" xfId="0" applyFont="1" applyFill="1" applyBorder="1" applyAlignment="1" applyProtection="1">
      <alignment horizontal="center" vertical="center" wrapText="1"/>
      <protection locked="0"/>
    </xf>
    <xf numFmtId="0" fontId="44" fillId="5" borderId="64" xfId="0" applyFont="1" applyFill="1" applyBorder="1" applyAlignment="1" applyProtection="1">
      <alignment vertical="center"/>
    </xf>
    <xf numFmtId="0" fontId="49" fillId="5" borderId="0" xfId="0" applyFont="1" applyFill="1" applyBorder="1" applyAlignment="1" applyProtection="1">
      <alignment vertical="center" wrapText="1"/>
    </xf>
    <xf numFmtId="0" fontId="118" fillId="5" borderId="65" xfId="0" applyFont="1" applyFill="1" applyBorder="1" applyAlignment="1" applyProtection="1">
      <alignment vertical="center"/>
    </xf>
    <xf numFmtId="0" fontId="118" fillId="5" borderId="68" xfId="0" applyFont="1" applyFill="1" applyBorder="1" applyAlignment="1" applyProtection="1">
      <alignment vertical="center"/>
    </xf>
    <xf numFmtId="0" fontId="102" fillId="5" borderId="71" xfId="0" applyFont="1" applyFill="1" applyBorder="1" applyAlignment="1" applyProtection="1">
      <alignment horizontal="left" vertical="center" wrapText="1"/>
    </xf>
    <xf numFmtId="0" fontId="49" fillId="5" borderId="23" xfId="0" applyFont="1" applyFill="1" applyBorder="1" applyAlignment="1" applyProtection="1">
      <alignment horizontal="center" vertical="center" wrapText="1"/>
    </xf>
    <xf numFmtId="0" fontId="49" fillId="5" borderId="34" xfId="0" applyFont="1" applyFill="1" applyBorder="1" applyAlignment="1" applyProtection="1">
      <alignment horizontal="center" vertical="center" wrapText="1"/>
    </xf>
    <xf numFmtId="0" fontId="49" fillId="5" borderId="57" xfId="0" applyFont="1" applyFill="1" applyBorder="1" applyAlignment="1" applyProtection="1">
      <alignment horizontal="left" vertical="center" wrapText="1"/>
    </xf>
    <xf numFmtId="0" fontId="49" fillId="6" borderId="57" xfId="0" applyFont="1" applyFill="1" applyBorder="1" applyAlignment="1" applyProtection="1">
      <alignment horizontal="center" vertical="center" wrapText="1"/>
      <protection locked="0"/>
    </xf>
    <xf numFmtId="0" fontId="49" fillId="6" borderId="11" xfId="0" applyFont="1" applyFill="1" applyBorder="1" applyAlignment="1" applyProtection="1">
      <alignment horizontal="right" vertical="center" wrapText="1"/>
      <protection locked="0"/>
    </xf>
    <xf numFmtId="0" fontId="49" fillId="6" borderId="11" xfId="0" applyFont="1" applyFill="1" applyBorder="1" applyAlignment="1" applyProtection="1">
      <alignment horizontal="center" vertical="center" wrapText="1"/>
      <protection locked="0"/>
    </xf>
    <xf numFmtId="0" fontId="49" fillId="6" borderId="31" xfId="0" applyFont="1" applyFill="1" applyBorder="1" applyAlignment="1" applyProtection="1">
      <alignment horizontal="center" vertical="center" wrapText="1"/>
      <protection locked="0"/>
    </xf>
    <xf numFmtId="0" fontId="49" fillId="5" borderId="18" xfId="0" applyFont="1" applyFill="1" applyBorder="1" applyAlignment="1" applyProtection="1">
      <alignment horizontal="left" vertical="center"/>
    </xf>
    <xf numFmtId="0" fontId="49" fillId="5" borderId="18" xfId="0" applyFont="1" applyFill="1" applyBorder="1" applyAlignment="1" applyProtection="1">
      <alignment vertical="center" wrapText="1"/>
    </xf>
    <xf numFmtId="0" fontId="46" fillId="5" borderId="9" xfId="0" applyFont="1" applyFill="1" applyBorder="1" applyAlignment="1" applyProtection="1">
      <alignment horizontal="center" vertical="center" wrapText="1"/>
    </xf>
    <xf numFmtId="0" fontId="46" fillId="5" borderId="84" xfId="0" applyFont="1" applyFill="1" applyBorder="1" applyAlignment="1" applyProtection="1">
      <alignment horizontal="left" vertical="center" wrapText="1"/>
    </xf>
    <xf numFmtId="0" fontId="49" fillId="5" borderId="14" xfId="0" applyFont="1" applyFill="1" applyBorder="1" applyAlignment="1" applyProtection="1">
      <alignment vertical="center"/>
    </xf>
    <xf numFmtId="0" fontId="46"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xf>
    <xf numFmtId="0" fontId="47" fillId="5" borderId="66" xfId="0" applyFont="1" applyFill="1" applyBorder="1" applyAlignment="1" applyProtection="1">
      <alignment vertical="center" wrapText="1"/>
    </xf>
    <xf numFmtId="0" fontId="47" fillId="5" borderId="81" xfId="0" applyFont="1" applyFill="1" applyBorder="1" applyAlignment="1" applyProtection="1">
      <alignment vertical="center" wrapText="1"/>
    </xf>
    <xf numFmtId="0" fontId="47" fillId="8" borderId="0" xfId="0" applyFont="1" applyFill="1" applyAlignment="1" applyProtection="1">
      <alignment vertical="center" wrapText="1"/>
      <protection locked="0"/>
    </xf>
    <xf numFmtId="0" fontId="49" fillId="0" borderId="0" xfId="0" applyFont="1" applyAlignment="1" applyProtection="1">
      <alignment horizontal="center" vertical="center" wrapText="1"/>
    </xf>
    <xf numFmtId="0" fontId="47" fillId="5" borderId="84" xfId="0" applyFont="1" applyFill="1" applyBorder="1" applyAlignment="1" applyProtection="1">
      <alignment horizontal="center" vertical="center" wrapText="1"/>
    </xf>
    <xf numFmtId="0" fontId="47" fillId="6" borderId="84" xfId="6" applyFont="1" applyFill="1" applyBorder="1" applyAlignment="1" applyProtection="1">
      <alignment horizontal="center" vertical="center" wrapText="1"/>
      <protection locked="0"/>
    </xf>
    <xf numFmtId="0" fontId="47" fillId="5" borderId="4" xfId="0" applyFont="1" applyFill="1" applyBorder="1" applyAlignment="1" applyProtection="1">
      <alignment vertical="center" wrapText="1"/>
    </xf>
    <xf numFmtId="10" fontId="49" fillId="8" borderId="0" xfId="0" applyNumberFormat="1" applyFont="1" applyFill="1" applyAlignment="1" applyProtection="1">
      <alignment horizontal="center" vertical="center" wrapText="1"/>
      <protection locked="0"/>
    </xf>
    <xf numFmtId="10" fontId="49"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6" fillId="5" borderId="22" xfId="0" applyFont="1" applyFill="1" applyBorder="1" applyAlignment="1" applyProtection="1">
      <alignment horizontal="center" vertical="center" wrapText="1"/>
    </xf>
    <xf numFmtId="0" fontId="46" fillId="5" borderId="57" xfId="0" applyFont="1" applyFill="1" applyBorder="1" applyAlignment="1" applyProtection="1">
      <alignment horizontal="left" vertical="center" wrapText="1"/>
    </xf>
    <xf numFmtId="0" fontId="49" fillId="5" borderId="57" xfId="0" applyFont="1" applyFill="1" applyBorder="1" applyAlignment="1" applyProtection="1">
      <alignment horizontal="center" vertical="center" wrapText="1"/>
    </xf>
    <xf numFmtId="0" fontId="47" fillId="5" borderId="8" xfId="0" applyFont="1" applyFill="1" applyBorder="1" applyAlignment="1" applyProtection="1">
      <alignment vertical="center" wrapText="1"/>
    </xf>
    <xf numFmtId="0" fontId="47" fillId="5" borderId="5" xfId="6" applyFont="1" applyFill="1" applyBorder="1" applyAlignment="1" applyProtection="1">
      <alignment horizontal="center" vertical="center" wrapText="1"/>
      <protection locked="0"/>
    </xf>
    <xf numFmtId="0" fontId="47" fillId="5" borderId="11" xfId="6" applyFont="1" applyFill="1" applyBorder="1" applyAlignment="1" applyProtection="1">
      <alignment vertical="center" wrapText="1"/>
      <protection locked="0"/>
    </xf>
    <xf numFmtId="0" fontId="47" fillId="5" borderId="79" xfId="6" applyFont="1" applyFill="1" applyBorder="1" applyAlignment="1" applyProtection="1">
      <alignment vertical="center"/>
      <protection locked="0"/>
    </xf>
    <xf numFmtId="0" fontId="46" fillId="5" borderId="4" xfId="0" applyFont="1" applyFill="1" applyBorder="1" applyAlignment="1" applyProtection="1">
      <alignment horizontal="center" vertical="center" wrapText="1"/>
    </xf>
    <xf numFmtId="0" fontId="46" fillId="6" borderId="11" xfId="0" applyFont="1" applyFill="1" applyBorder="1" applyAlignment="1" applyProtection="1">
      <alignment horizontal="left" vertical="center" wrapText="1"/>
      <protection locked="0"/>
    </xf>
    <xf numFmtId="0" fontId="47" fillId="5" borderId="37" xfId="0" applyFont="1" applyFill="1" applyBorder="1" applyAlignment="1" applyProtection="1">
      <alignment vertical="center" wrapText="1"/>
    </xf>
    <xf numFmtId="0" fontId="47" fillId="5" borderId="31" xfId="0" applyFont="1" applyFill="1" applyBorder="1" applyAlignment="1" applyProtection="1">
      <alignment vertical="center" wrapText="1"/>
    </xf>
    <xf numFmtId="0" fontId="47" fillId="5" borderId="7" xfId="6"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xf>
    <xf numFmtId="188" fontId="49" fillId="5" borderId="49" xfId="0" applyNumberFormat="1" applyFont="1" applyFill="1" applyBorder="1" applyAlignment="1" applyProtection="1">
      <alignment horizontal="center" vertical="center" wrapText="1"/>
    </xf>
    <xf numFmtId="188" fontId="49" fillId="5" borderId="60" xfId="0" applyNumberFormat="1" applyFont="1" applyFill="1" applyBorder="1" applyAlignment="1" applyProtection="1">
      <alignment horizontal="center" vertical="center" wrapText="1"/>
    </xf>
    <xf numFmtId="0" fontId="49" fillId="5" borderId="3" xfId="0" applyFont="1" applyFill="1" applyBorder="1" applyAlignment="1" applyProtection="1">
      <alignment vertical="center" wrapText="1"/>
    </xf>
    <xf numFmtId="0" fontId="47" fillId="5" borderId="1" xfId="0" applyFont="1" applyFill="1" applyBorder="1" applyAlignment="1" applyProtection="1">
      <alignment vertical="center" wrapText="1"/>
    </xf>
    <xf numFmtId="0" fontId="47" fillId="5" borderId="6" xfId="0" applyFont="1" applyFill="1" applyBorder="1" applyAlignment="1" applyProtection="1">
      <alignment vertical="center" wrapText="1"/>
    </xf>
    <xf numFmtId="0" fontId="46" fillId="5" borderId="8" xfId="0" applyFont="1" applyFill="1" applyBorder="1" applyAlignment="1" applyProtection="1">
      <alignment horizontal="center" vertical="center" wrapText="1"/>
    </xf>
    <xf numFmtId="0" fontId="46" fillId="5" borderId="61" xfId="0" applyFont="1" applyFill="1" applyBorder="1" applyAlignment="1" applyProtection="1">
      <alignment horizontal="left" vertical="center" wrapText="1"/>
    </xf>
    <xf numFmtId="0" fontId="49" fillId="5" borderId="48" xfId="0" applyFont="1" applyFill="1" applyBorder="1" applyAlignment="1" applyProtection="1">
      <alignment vertical="center"/>
    </xf>
    <xf numFmtId="0" fontId="47" fillId="5" borderId="61" xfId="0" applyFont="1" applyFill="1" applyBorder="1" applyAlignment="1" applyProtection="1">
      <alignment vertical="center" wrapText="1"/>
    </xf>
    <xf numFmtId="0" fontId="47" fillId="5" borderId="43" xfId="0" applyFont="1" applyFill="1" applyBorder="1" applyAlignment="1" applyProtection="1">
      <alignment vertical="center" wrapText="1"/>
    </xf>
    <xf numFmtId="0" fontId="47" fillId="5" borderId="8" xfId="6" applyFont="1" applyFill="1" applyBorder="1" applyAlignment="1" applyProtection="1">
      <alignment horizontal="center" vertical="center" wrapText="1"/>
    </xf>
    <xf numFmtId="0" fontId="46" fillId="5" borderId="13" xfId="0" applyFont="1" applyFill="1" applyBorder="1" applyAlignment="1" applyProtection="1">
      <alignment horizontal="left" vertical="center" wrapText="1"/>
    </xf>
    <xf numFmtId="0" fontId="50" fillId="5" borderId="37" xfId="0" applyFont="1" applyFill="1" applyBorder="1" applyAlignment="1" applyProtection="1">
      <alignment vertical="center" wrapText="1"/>
    </xf>
    <xf numFmtId="0" fontId="47" fillId="5" borderId="9" xfId="6" applyFont="1" applyFill="1" applyBorder="1" applyAlignment="1" applyProtection="1">
      <alignment horizontal="center" vertical="center" wrapText="1"/>
      <protection locked="0"/>
    </xf>
    <xf numFmtId="0" fontId="46" fillId="5" borderId="26" xfId="0" applyFont="1" applyFill="1" applyBorder="1" applyAlignment="1" applyProtection="1">
      <alignment horizontal="center" vertical="center" wrapText="1"/>
    </xf>
    <xf numFmtId="0" fontId="49" fillId="5" borderId="60" xfId="0" applyFont="1" applyFill="1" applyBorder="1" applyAlignment="1" applyProtection="1">
      <alignment vertical="center" wrapText="1"/>
    </xf>
    <xf numFmtId="0" fontId="50" fillId="5" borderId="0" xfId="0" applyFont="1" applyFill="1" applyBorder="1" applyAlignment="1" applyProtection="1">
      <alignment vertical="center" wrapText="1"/>
    </xf>
    <xf numFmtId="0" fontId="49" fillId="5" borderId="53" xfId="0" applyFont="1" applyFill="1" applyBorder="1" applyAlignment="1" applyProtection="1">
      <alignment vertical="center" wrapText="1"/>
    </xf>
    <xf numFmtId="0" fontId="47" fillId="5" borderId="0" xfId="0" applyFont="1" applyFill="1" applyBorder="1" applyAlignment="1" applyProtection="1">
      <alignment horizontal="left" vertical="center" wrapText="1"/>
    </xf>
    <xf numFmtId="0" fontId="49" fillId="5" borderId="72"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50" fillId="5" borderId="40" xfId="0" applyFont="1" applyFill="1" applyBorder="1" applyAlignment="1" applyProtection="1">
      <alignment vertical="center" wrapText="1"/>
    </xf>
    <xf numFmtId="0" fontId="49" fillId="5" borderId="30" xfId="0" applyFont="1" applyFill="1" applyBorder="1" applyAlignment="1" applyProtection="1">
      <alignment vertical="center" wrapText="1"/>
    </xf>
    <xf numFmtId="0" fontId="50" fillId="5" borderId="28" xfId="0" applyFont="1" applyFill="1" applyBorder="1" applyAlignment="1" applyProtection="1">
      <alignment vertical="center" wrapText="1"/>
    </xf>
    <xf numFmtId="0" fontId="46" fillId="5" borderId="11"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50" fillId="5" borderId="13" xfId="0" applyFont="1" applyFill="1" applyBorder="1" applyAlignment="1" applyProtection="1">
      <alignment vertical="center" wrapText="1"/>
    </xf>
    <xf numFmtId="0" fontId="49" fillId="5" borderId="26" xfId="0" applyFont="1" applyFill="1" applyBorder="1" applyAlignment="1" applyProtection="1">
      <alignment horizontal="center" vertical="center" wrapText="1"/>
    </xf>
    <xf numFmtId="0" fontId="49" fillId="5" borderId="3" xfId="0" applyFont="1" applyFill="1" applyBorder="1" applyAlignment="1" applyProtection="1">
      <alignment horizontal="left" vertical="center" wrapText="1"/>
    </xf>
    <xf numFmtId="0" fontId="49" fillId="0" borderId="1" xfId="0" applyFont="1" applyBorder="1" applyAlignment="1" applyProtection="1">
      <alignment vertical="center" wrapText="1"/>
      <protection locked="0"/>
    </xf>
    <xf numFmtId="0" fontId="102" fillId="5" borderId="2" xfId="0" applyFont="1" applyFill="1" applyBorder="1" applyAlignment="1" applyProtection="1">
      <alignment vertical="center"/>
    </xf>
    <xf numFmtId="0" fontId="102" fillId="5" borderId="51" xfId="0" applyFont="1" applyFill="1" applyBorder="1" applyAlignment="1" applyProtection="1">
      <alignment vertical="center"/>
    </xf>
    <xf numFmtId="0" fontId="102" fillId="5" borderId="41" xfId="0" applyFont="1" applyFill="1" applyBorder="1" applyAlignment="1" applyProtection="1">
      <alignment vertical="center"/>
    </xf>
    <xf numFmtId="0" fontId="50" fillId="5" borderId="42" xfId="0" applyFont="1" applyFill="1" applyBorder="1" applyAlignment="1" applyProtection="1">
      <alignment vertical="center" wrapText="1"/>
    </xf>
    <xf numFmtId="0" fontId="49" fillId="5" borderId="56"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5" borderId="61" xfId="0" applyFont="1" applyFill="1" applyBorder="1" applyAlignment="1" applyProtection="1">
      <alignment vertical="center"/>
    </xf>
    <xf numFmtId="0" fontId="49" fillId="5" borderId="48" xfId="0" applyFont="1" applyFill="1" applyBorder="1" applyAlignment="1" applyProtection="1">
      <alignment vertical="center" wrapText="1"/>
    </xf>
    <xf numFmtId="0" fontId="49" fillId="5" borderId="62" xfId="0" applyFont="1" applyFill="1" applyBorder="1" applyAlignment="1" applyProtection="1">
      <alignment vertical="center" wrapText="1"/>
    </xf>
    <xf numFmtId="0" fontId="50" fillId="5" borderId="22" xfId="0" applyFont="1" applyFill="1" applyBorder="1" applyAlignment="1" applyProtection="1">
      <alignment vertical="center" wrapText="1"/>
    </xf>
    <xf numFmtId="0" fontId="50" fillId="5" borderId="21" xfId="0" applyFont="1" applyFill="1" applyBorder="1" applyAlignment="1" applyProtection="1">
      <alignment horizontal="left" vertical="center" wrapText="1"/>
    </xf>
    <xf numFmtId="0" fontId="49" fillId="5" borderId="47" xfId="0" applyFont="1" applyFill="1" applyBorder="1" applyAlignment="1" applyProtection="1">
      <alignment vertical="center"/>
    </xf>
    <xf numFmtId="0" fontId="49" fillId="5" borderId="28" xfId="0" applyFont="1" applyFill="1" applyBorder="1" applyAlignment="1" applyProtection="1">
      <alignment vertical="center"/>
    </xf>
    <xf numFmtId="0" fontId="50" fillId="5" borderId="24" xfId="0" applyFont="1" applyFill="1" applyBorder="1" applyAlignment="1" applyProtection="1">
      <alignment vertical="center" wrapText="1"/>
    </xf>
    <xf numFmtId="0" fontId="102" fillId="5" borderId="24" xfId="0" applyFont="1" applyFill="1" applyBorder="1" applyAlignment="1" applyProtection="1">
      <alignment horizontal="center" vertical="center" wrapText="1"/>
    </xf>
    <xf numFmtId="0" fontId="49" fillId="5" borderId="53" xfId="0" applyFont="1" applyFill="1" applyBorder="1" applyAlignment="1" applyProtection="1">
      <alignment horizontal="center" vertical="center" wrapText="1"/>
    </xf>
    <xf numFmtId="0" fontId="49" fillId="0" borderId="0" xfId="0" applyFont="1" applyAlignment="1" applyProtection="1">
      <alignment vertical="center" wrapText="1"/>
      <protection locked="0"/>
    </xf>
    <xf numFmtId="0" fontId="50" fillId="5" borderId="26" xfId="0" applyFont="1" applyFill="1" applyBorder="1" applyAlignment="1" applyProtection="1">
      <alignment vertical="center" wrapText="1"/>
    </xf>
    <xf numFmtId="0" fontId="49" fillId="5" borderId="5" xfId="0" applyFont="1" applyFill="1" applyBorder="1" applyAlignment="1" applyProtection="1">
      <alignment vertical="center"/>
    </xf>
    <xf numFmtId="0" fontId="49" fillId="5" borderId="7" xfId="0" applyFont="1" applyFill="1" applyBorder="1" applyAlignment="1" applyProtection="1">
      <alignment vertical="center"/>
    </xf>
    <xf numFmtId="9" fontId="49" fillId="5" borderId="6" xfId="0" applyNumberFormat="1" applyFont="1" applyFill="1" applyBorder="1" applyAlignment="1" applyProtection="1">
      <alignment horizontal="center" vertical="center"/>
    </xf>
    <xf numFmtId="0" fontId="102" fillId="5" borderId="56" xfId="0" applyFont="1" applyFill="1" applyBorder="1" applyAlignment="1" applyProtection="1">
      <alignment horizontal="center" vertical="center" wrapText="1"/>
    </xf>
    <xf numFmtId="0" fontId="49" fillId="5" borderId="30" xfId="0" applyFont="1" applyFill="1" applyBorder="1" applyAlignment="1" applyProtection="1">
      <alignment horizontal="center" vertical="center" wrapText="1"/>
    </xf>
    <xf numFmtId="0" fontId="49" fillId="5" borderId="8" xfId="0" applyFont="1" applyFill="1" applyBorder="1" applyAlignment="1" applyProtection="1">
      <alignment vertical="center" wrapText="1"/>
    </xf>
    <xf numFmtId="9" fontId="49" fillId="5" borderId="43" xfId="0" applyNumberFormat="1" applyFont="1" applyFill="1" applyBorder="1" applyAlignment="1" applyProtection="1">
      <alignment horizontal="center" vertical="center" wrapText="1"/>
    </xf>
    <xf numFmtId="0" fontId="49" fillId="8" borderId="0" xfId="0" applyFont="1" applyFill="1" applyAlignment="1" applyProtection="1">
      <alignment horizontal="center" vertical="center" wrapText="1"/>
    </xf>
    <xf numFmtId="0" fontId="49" fillId="8" borderId="0" xfId="0" applyFont="1" applyFill="1" applyAlignment="1" applyProtection="1">
      <alignment vertical="center" wrapText="1"/>
    </xf>
    <xf numFmtId="0" fontId="49" fillId="8" borderId="0" xfId="0" applyFont="1" applyFill="1" applyAlignment="1" applyProtection="1">
      <alignment horizontal="left" vertical="center" wrapText="1"/>
      <protection locked="0"/>
    </xf>
    <xf numFmtId="0" fontId="111" fillId="5" borderId="0" xfId="0" applyFont="1" applyFill="1" applyProtection="1">
      <alignment vertical="center"/>
    </xf>
    <xf numFmtId="188" fontId="99" fillId="5" borderId="0" xfId="0" applyNumberFormat="1" applyFont="1" applyFill="1" applyAlignment="1" applyProtection="1">
      <alignment horizontal="center" vertical="center" wrapText="1"/>
    </xf>
    <xf numFmtId="0" fontId="111" fillId="5" borderId="46" xfId="0" applyFont="1" applyFill="1" applyBorder="1" applyAlignment="1" applyProtection="1">
      <alignment vertical="center"/>
    </xf>
    <xf numFmtId="188" fontId="190" fillId="5" borderId="37" xfId="0" applyNumberFormat="1" applyFont="1" applyFill="1" applyBorder="1" applyAlignment="1" applyProtection="1">
      <alignment horizontal="center" vertical="center" wrapText="1"/>
    </xf>
    <xf numFmtId="0" fontId="99" fillId="5" borderId="37" xfId="0" applyFont="1" applyFill="1" applyBorder="1" applyProtection="1">
      <alignment vertical="center"/>
    </xf>
    <xf numFmtId="0" fontId="111" fillId="5" borderId="0" xfId="0" applyFont="1" applyFill="1" applyBorder="1" applyAlignment="1" applyProtection="1">
      <alignment vertical="center"/>
    </xf>
    <xf numFmtId="0" fontId="49" fillId="5" borderId="0" xfId="0" applyFont="1" applyFill="1" applyAlignment="1" applyProtection="1">
      <alignment vertical="center" wrapText="1"/>
      <protection locked="0"/>
    </xf>
    <xf numFmtId="0" fontId="102" fillId="5" borderId="7" xfId="0" applyFont="1" applyFill="1" applyBorder="1" applyAlignment="1" applyProtection="1">
      <alignment horizontal="center" vertical="center" wrapText="1"/>
    </xf>
    <xf numFmtId="0" fontId="49" fillId="5" borderId="60" xfId="0" applyFont="1" applyFill="1" applyBorder="1" applyAlignment="1" applyProtection="1">
      <alignment horizontal="center" vertical="center" wrapText="1"/>
    </xf>
    <xf numFmtId="0" fontId="118" fillId="5" borderId="1" xfId="0" applyFont="1" applyFill="1" applyBorder="1" applyAlignment="1" applyProtection="1">
      <alignment horizontal="center" vertical="center" wrapText="1"/>
    </xf>
    <xf numFmtId="49" fontId="102" fillId="5" borderId="1" xfId="0" applyNumberFormat="1" applyFont="1" applyFill="1" applyBorder="1" applyAlignment="1" applyProtection="1">
      <alignment horizontal="center" vertical="center" wrapText="1"/>
    </xf>
    <xf numFmtId="0" fontId="102"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2" fillId="5" borderId="19" xfId="0" applyFont="1" applyFill="1" applyBorder="1" applyAlignment="1" applyProtection="1">
      <alignment horizontal="center" vertical="center" wrapText="1"/>
    </xf>
    <xf numFmtId="0" fontId="102" fillId="5" borderId="18" xfId="0" applyNumberFormat="1" applyFont="1" applyFill="1" applyBorder="1" applyAlignment="1" applyProtection="1">
      <alignment horizontal="center" vertical="center" wrapText="1"/>
    </xf>
    <xf numFmtId="0" fontId="102" fillId="5" borderId="8" xfId="0" applyFont="1" applyFill="1" applyBorder="1" applyAlignment="1" applyProtection="1">
      <alignment horizontal="center" vertical="center" wrapText="1"/>
    </xf>
    <xf numFmtId="49" fontId="102"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2" fillId="5" borderId="61"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vertical="center" wrapText="1"/>
    </xf>
    <xf numFmtId="0" fontId="102" fillId="0" borderId="61" xfId="0" applyNumberFormat="1" applyFont="1" applyFill="1" applyBorder="1" applyAlignment="1" applyProtection="1">
      <alignment horizontal="center" vertical="center" wrapText="1"/>
      <protection locked="0"/>
    </xf>
    <xf numFmtId="0" fontId="102" fillId="5" borderId="61" xfId="0" applyNumberFormat="1" applyFont="1" applyFill="1" applyBorder="1" applyAlignment="1" applyProtection="1">
      <alignment horizontal="center" vertical="center" wrapText="1"/>
    </xf>
    <xf numFmtId="0" fontId="102" fillId="6" borderId="61" xfId="0" applyFont="1" applyFill="1" applyBorder="1" applyAlignment="1" applyProtection="1">
      <alignment horizontal="center" vertical="center" wrapText="1"/>
      <protection locked="0"/>
    </xf>
    <xf numFmtId="0" fontId="103" fillId="5" borderId="0" xfId="0" applyFont="1" applyFill="1" applyAlignment="1" applyProtection="1">
      <alignment horizontal="center" vertical="center"/>
    </xf>
    <xf numFmtId="0" fontId="102" fillId="5" borderId="3" xfId="0" applyFont="1" applyFill="1" applyBorder="1" applyAlignment="1" applyProtection="1">
      <alignment vertical="center"/>
    </xf>
    <xf numFmtId="0" fontId="102" fillId="5" borderId="0" xfId="0" applyFont="1" applyFill="1" applyBorder="1" applyAlignment="1" applyProtection="1">
      <alignment horizontal="center" vertical="center"/>
    </xf>
    <xf numFmtId="187" fontId="102" fillId="5" borderId="1" xfId="0" applyNumberFormat="1" applyFont="1" applyFill="1" applyBorder="1" applyAlignment="1" applyProtection="1">
      <alignment horizontal="center" vertical="center"/>
    </xf>
    <xf numFmtId="188" fontId="102" fillId="5" borderId="1" xfId="0" applyNumberFormat="1" applyFont="1" applyFill="1" applyBorder="1" applyAlignment="1" applyProtection="1">
      <alignment horizontal="center" vertical="center"/>
    </xf>
    <xf numFmtId="178" fontId="118" fillId="5" borderId="1" xfId="0" applyNumberFormat="1" applyFont="1" applyFill="1" applyBorder="1" applyAlignment="1" applyProtection="1">
      <alignment horizontal="center" vertical="center"/>
    </xf>
    <xf numFmtId="188" fontId="118" fillId="5" borderId="1" xfId="0" applyNumberFormat="1" applyFont="1" applyFill="1" applyBorder="1" applyAlignment="1" applyProtection="1">
      <alignment horizontal="center" vertical="center" wrapText="1"/>
    </xf>
    <xf numFmtId="187" fontId="102" fillId="5" borderId="17" xfId="0" applyNumberFormat="1" applyFont="1" applyFill="1" applyBorder="1" applyAlignment="1" applyProtection="1">
      <alignment horizontal="center" vertical="center" wrapText="1"/>
    </xf>
    <xf numFmtId="180" fontId="118" fillId="5" borderId="1" xfId="0" applyNumberFormat="1" applyFont="1" applyFill="1" applyBorder="1" applyAlignment="1" applyProtection="1">
      <alignment horizontal="center" vertical="center"/>
    </xf>
    <xf numFmtId="0" fontId="102" fillId="0" borderId="0" xfId="0" applyFont="1" applyAlignment="1" applyProtection="1">
      <alignment horizontal="left" vertical="center"/>
    </xf>
    <xf numFmtId="0" fontId="49" fillId="0" borderId="0" xfId="0" applyFont="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9" fillId="0" borderId="0" xfId="0" applyNumberFormat="1" applyFont="1" applyProtection="1">
      <alignment vertical="center"/>
    </xf>
    <xf numFmtId="0" fontId="49" fillId="5" borderId="11"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wrapText="1"/>
    </xf>
    <xf numFmtId="0" fontId="49" fillId="5" borderId="57" xfId="3" applyNumberFormat="1" applyFont="1" applyFill="1" applyBorder="1" applyAlignment="1" applyProtection="1">
      <alignment horizontal="center" vertical="center"/>
    </xf>
    <xf numFmtId="0" fontId="49" fillId="5" borderId="59" xfId="3" applyNumberFormat="1" applyFont="1" applyFill="1" applyBorder="1" applyAlignment="1" applyProtection="1">
      <alignment horizontal="center" vertical="center"/>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8" fontId="46" fillId="5" borderId="65" xfId="0" applyNumberFormat="1" applyFont="1" applyFill="1" applyBorder="1" applyAlignment="1" applyProtection="1"/>
    <xf numFmtId="0" fontId="151" fillId="12" borderId="133" xfId="7" applyFont="1" applyFill="1" applyBorder="1" applyAlignment="1" applyProtection="1">
      <alignment horizontal="center" vertical="center" wrapText="1"/>
    </xf>
    <xf numFmtId="0" fontId="151" fillId="12" borderId="167" xfId="7" applyFont="1" applyFill="1" applyBorder="1" applyAlignment="1" applyProtection="1">
      <alignment horizontal="center" vertical="center" wrapText="1"/>
    </xf>
    <xf numFmtId="0" fontId="103" fillId="0" borderId="0" xfId="7" applyFont="1" applyFill="1" applyBorder="1" applyAlignment="1" applyProtection="1">
      <alignment horizontal="center" vertical="center"/>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4" fillId="5" borderId="0" xfId="0" applyFont="1" applyFill="1" applyProtection="1">
      <alignment vertical="center"/>
    </xf>
    <xf numFmtId="0" fontId="100" fillId="0" borderId="18" xfId="0" applyFont="1" applyFill="1" applyBorder="1" applyAlignment="1" applyProtection="1">
      <alignment horizontal="center" vertical="center"/>
    </xf>
    <xf numFmtId="0" fontId="100" fillId="0" borderId="18" xfId="0" applyFont="1" applyFill="1" applyBorder="1" applyAlignment="1" applyProtection="1">
      <alignment horizontal="center" vertical="center"/>
      <protection locked="0"/>
    </xf>
    <xf numFmtId="0" fontId="151" fillId="12" borderId="133" xfId="7" applyFont="1" applyFill="1" applyBorder="1" applyAlignment="1" applyProtection="1">
      <alignment horizontal="center" vertical="center" wrapText="1"/>
    </xf>
    <xf numFmtId="0" fontId="118" fillId="6" borderId="0" xfId="7" applyFont="1" applyFill="1">
      <alignment vertical="center"/>
    </xf>
    <xf numFmtId="0" fontId="103" fillId="17" borderId="0" xfId="7" applyFont="1" applyFill="1">
      <alignment vertical="center"/>
    </xf>
    <xf numFmtId="0" fontId="99" fillId="17" borderId="0" xfId="8" applyFont="1" applyFill="1" applyAlignment="1" applyProtection="1">
      <alignment horizontal="center" vertical="center"/>
    </xf>
    <xf numFmtId="0" fontId="19" fillId="17" borderId="0" xfId="8" applyFont="1" applyFill="1" applyAlignment="1" applyProtection="1">
      <alignment horizontal="center" vertical="center"/>
    </xf>
    <xf numFmtId="0" fontId="103" fillId="17" borderId="129" xfId="7" applyFont="1" applyFill="1" applyBorder="1" applyAlignment="1">
      <alignment horizontal="center" vertical="center"/>
    </xf>
    <xf numFmtId="0" fontId="103" fillId="17" borderId="0" xfId="7" applyFont="1" applyFill="1" applyBorder="1" applyAlignment="1">
      <alignment horizontal="center" vertical="center"/>
    </xf>
    <xf numFmtId="0" fontId="151" fillId="17" borderId="134" xfId="7" applyFont="1" applyFill="1" applyBorder="1" applyAlignment="1" applyProtection="1">
      <alignment horizontal="center" vertical="center" wrapText="1"/>
    </xf>
    <xf numFmtId="0" fontId="151" fillId="17" borderId="138" xfId="7" applyFont="1" applyFill="1" applyBorder="1" applyAlignment="1" applyProtection="1">
      <alignment horizontal="center" vertical="center" wrapText="1"/>
    </xf>
    <xf numFmtId="0" fontId="103" fillId="17" borderId="0" xfId="7" applyFont="1" applyFill="1" applyAlignment="1">
      <alignment horizontal="center" vertical="center"/>
    </xf>
    <xf numFmtId="0" fontId="102" fillId="17" borderId="0" xfId="7" applyFont="1" applyFill="1" applyAlignment="1">
      <alignment horizontal="center" vertical="center"/>
    </xf>
    <xf numFmtId="10" fontId="102" fillId="17" borderId="0" xfId="7" applyNumberFormat="1" applyFont="1" applyFill="1" applyAlignment="1">
      <alignment horizontal="center" vertical="center"/>
    </xf>
    <xf numFmtId="0" fontId="148" fillId="17" borderId="0" xfId="7" applyFont="1" applyFill="1">
      <alignment vertical="center"/>
    </xf>
    <xf numFmtId="0" fontId="169" fillId="17" borderId="0" xfId="7" applyFont="1" applyFill="1">
      <alignment vertical="center"/>
    </xf>
    <xf numFmtId="0" fontId="151" fillId="12" borderId="133" xfId="7" applyFont="1" applyFill="1" applyBorder="1" applyAlignment="1" applyProtection="1">
      <alignment horizontal="center" vertical="center" wrapText="1"/>
    </xf>
    <xf numFmtId="0" fontId="76" fillId="0" borderId="32" xfId="0" applyFont="1" applyBorder="1" applyAlignment="1" applyProtection="1">
      <alignment vertical="center" wrapText="1"/>
      <protection locked="0"/>
    </xf>
    <xf numFmtId="0" fontId="76" fillId="0" borderId="73" xfId="0" applyFont="1" applyFill="1" applyBorder="1" applyAlignment="1" applyProtection="1">
      <alignment horizontal="right" vertical="center" wrapText="1"/>
      <protection locked="0"/>
    </xf>
    <xf numFmtId="0" fontId="102" fillId="6" borderId="1" xfId="8" applyFont="1" applyFill="1" applyBorder="1" applyAlignment="1" applyProtection="1">
      <alignment horizontal="center" vertical="center" wrapText="1"/>
      <protection locked="0"/>
    </xf>
    <xf numFmtId="0" fontId="93" fillId="0" borderId="32"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182" fontId="40" fillId="40" borderId="6" xfId="0" applyNumberFormat="1" applyFont="1" applyFill="1" applyBorder="1" applyAlignment="1" applyProtection="1">
      <alignment horizontal="center" vertical="center"/>
      <protection locked="0"/>
    </xf>
    <xf numFmtId="185" fontId="57" fillId="40" borderId="1" xfId="0" applyNumberFormat="1" applyFont="1" applyFill="1" applyBorder="1" applyAlignment="1" applyProtection="1">
      <alignment horizontal="center" vertical="center" shrinkToFit="1"/>
      <protection locked="0"/>
    </xf>
    <xf numFmtId="0" fontId="93" fillId="0" borderId="11" xfId="0" applyNumberFormat="1" applyFont="1" applyFill="1" applyBorder="1" applyAlignment="1" applyProtection="1">
      <alignment horizontal="center" vertical="center" wrapText="1"/>
      <protection locked="0"/>
    </xf>
    <xf numFmtId="0" fontId="54" fillId="40" borderId="3" xfId="0" applyNumberFormat="1" applyFont="1" applyFill="1" applyBorder="1" applyAlignment="1" applyProtection="1">
      <alignment horizontal="center" vertical="center" wrapText="1"/>
      <protection locked="0"/>
    </xf>
    <xf numFmtId="0" fontId="40" fillId="40" borderId="7" xfId="0" applyNumberFormat="1" applyFont="1" applyFill="1" applyBorder="1" applyAlignment="1" applyProtection="1">
      <alignment horizontal="center" vertical="center" wrapText="1"/>
      <protection locked="0"/>
    </xf>
    <xf numFmtId="0" fontId="40" fillId="40" borderId="6" xfId="0" applyFont="1" applyFill="1" applyBorder="1" applyAlignment="1" applyProtection="1">
      <alignment horizontal="center" vertical="center"/>
      <protection locked="0"/>
    </xf>
    <xf numFmtId="0" fontId="223" fillId="0" borderId="6" xfId="0" applyFont="1" applyBorder="1" applyAlignment="1" applyProtection="1">
      <alignment horizontal="center" vertical="center" wrapText="1"/>
      <protection locked="0"/>
    </xf>
    <xf numFmtId="0" fontId="40" fillId="40" borderId="3" xfId="0" applyNumberFormat="1" applyFont="1" applyFill="1" applyBorder="1" applyAlignment="1" applyProtection="1">
      <alignment horizontal="center" vertical="center" wrapText="1"/>
      <protection locked="0"/>
    </xf>
    <xf numFmtId="0" fontId="136" fillId="0" borderId="46" xfId="0" applyNumberFormat="1" applyFont="1" applyFill="1" applyBorder="1" applyAlignment="1" applyProtection="1">
      <alignment horizontal="center" vertical="center" wrapText="1"/>
      <protection locked="0"/>
    </xf>
    <xf numFmtId="0" fontId="76" fillId="0" borderId="2" xfId="0" applyFont="1" applyBorder="1" applyAlignment="1" applyProtection="1">
      <alignment vertical="center" wrapText="1"/>
      <protection locked="0"/>
    </xf>
    <xf numFmtId="10" fontId="99" fillId="0" borderId="1" xfId="8" applyNumberFormat="1" applyFont="1" applyBorder="1" applyAlignment="1" applyProtection="1">
      <alignment horizontal="center" vertical="center"/>
      <protection locked="0"/>
    </xf>
    <xf numFmtId="0" fontId="133" fillId="41" borderId="82" xfId="0" applyFont="1" applyFill="1" applyBorder="1" applyAlignment="1" applyProtection="1">
      <alignment horizontal="center" vertical="center"/>
    </xf>
    <xf numFmtId="0" fontId="40" fillId="0" borderId="58" xfId="0" applyFont="1" applyFill="1" applyBorder="1" applyAlignment="1" applyProtection="1">
      <alignment horizontal="center" vertical="center"/>
      <protection locked="0"/>
    </xf>
    <xf numFmtId="0" fontId="136" fillId="0" borderId="35" xfId="0" applyFont="1" applyFill="1" applyBorder="1" applyAlignment="1" applyProtection="1">
      <alignment horizontal="center" vertical="center" wrapText="1"/>
      <protection locked="0"/>
    </xf>
    <xf numFmtId="0" fontId="136" fillId="0" borderId="23" xfId="0" applyNumberFormat="1" applyFont="1" applyFill="1" applyBorder="1" applyAlignment="1" applyProtection="1">
      <alignment horizontal="center" vertical="center" wrapText="1"/>
      <protection locked="0"/>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3"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3"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3" fontId="57" fillId="0" borderId="2" xfId="0" applyNumberFormat="1" applyFont="1" applyFill="1" applyBorder="1" applyAlignment="1" applyProtection="1">
      <alignment horizontal="center" vertical="center" wrapText="1"/>
    </xf>
    <xf numFmtId="183" fontId="57" fillId="0" borderId="51" xfId="0" applyNumberFormat="1" applyFont="1" applyFill="1" applyBorder="1" applyAlignment="1" applyProtection="1">
      <alignment horizontal="center" vertical="center" wrapText="1"/>
    </xf>
    <xf numFmtId="183" fontId="57"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center" vertical="center"/>
    </xf>
    <xf numFmtId="0" fontId="124" fillId="0" borderId="1" xfId="5" applyFont="1" applyBorder="1" applyAlignment="1">
      <alignment horizontal="center" vertical="center"/>
    </xf>
    <xf numFmtId="0" fontId="99" fillId="5" borderId="0" xfId="0" applyFont="1" applyFill="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5" borderId="63"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43" fillId="5" borderId="52" xfId="0" applyFont="1" applyFill="1" applyBorder="1" applyAlignment="1" applyProtection="1">
      <alignment horizontal="left" vertical="center" wrapText="1"/>
    </xf>
    <xf numFmtId="0" fontId="43" fillId="5" borderId="27"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52" xfId="0" applyFont="1" applyFill="1" applyBorder="1" applyAlignment="1" applyProtection="1">
      <alignment horizontal="left" vertical="top" wrapText="1"/>
    </xf>
    <xf numFmtId="0" fontId="43" fillId="5" borderId="39" xfId="0" applyFont="1" applyFill="1" applyBorder="1" applyAlignment="1" applyProtection="1">
      <alignment horizontal="left" vertical="top" wrapText="1"/>
    </xf>
    <xf numFmtId="0" fontId="43" fillId="5" borderId="63" xfId="0" applyFont="1" applyFill="1" applyBorder="1" applyAlignment="1" applyProtection="1">
      <alignment horizontal="left" vertical="top" wrapText="1"/>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22" xfId="0" applyFont="1" applyFill="1" applyBorder="1" applyAlignment="1" applyProtection="1">
      <alignment horizontal="left" vertical="center" wrapText="1"/>
    </xf>
    <xf numFmtId="0" fontId="43" fillId="5" borderId="42"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46" xfId="0" applyFont="1" applyFill="1" applyBorder="1" applyAlignment="1" applyProtection="1">
      <alignment horizontal="left" vertical="center" wrapText="1"/>
    </xf>
    <xf numFmtId="0" fontId="43" fillId="5" borderId="28"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43" fillId="0" borderId="64"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41" xfId="0" applyFont="1" applyFill="1" applyBorder="1" applyAlignment="1" applyProtection="1">
      <alignment horizontal="left" vertical="center" wrapText="1"/>
      <protection locked="0"/>
    </xf>
    <xf numFmtId="0" fontId="43" fillId="0" borderId="35" xfId="0" applyFont="1" applyFill="1" applyBorder="1" applyAlignment="1" applyProtection="1">
      <alignment horizontal="left" vertical="center" wrapText="1"/>
      <protection locked="0"/>
    </xf>
    <xf numFmtId="0" fontId="43" fillId="0" borderId="80"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center" vertical="center"/>
    </xf>
    <xf numFmtId="0" fontId="43" fillId="5" borderId="38" xfId="0" applyFont="1" applyFill="1" applyBorder="1" applyAlignment="1" applyProtection="1">
      <alignment horizontal="center" vertical="center"/>
    </xf>
    <xf numFmtId="0" fontId="43" fillId="5" borderId="46" xfId="0" applyFont="1" applyFill="1" applyBorder="1" applyAlignment="1" applyProtection="1">
      <alignment horizontal="center" vertical="center"/>
    </xf>
    <xf numFmtId="0" fontId="43" fillId="5" borderId="47"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80" fontId="42" fillId="5" borderId="22" xfId="0" applyNumberFormat="1" applyFont="1" applyFill="1" applyBorder="1" applyAlignment="1" applyProtection="1">
      <alignment horizontal="left" vertical="center" wrapText="1"/>
    </xf>
    <xf numFmtId="180" fontId="42" fillId="5" borderId="26" xfId="0" applyNumberFormat="1" applyFont="1" applyFill="1" applyBorder="1" applyAlignment="1" applyProtection="1">
      <alignment horizontal="left" vertical="center" wrapText="1"/>
    </xf>
    <xf numFmtId="0" fontId="39" fillId="5" borderId="117" xfId="0" applyFont="1" applyFill="1" applyBorder="1" applyAlignment="1" applyProtection="1">
      <alignment horizontal="center" vertical="center"/>
    </xf>
    <xf numFmtId="0" fontId="39" fillId="5" borderId="112" xfId="0" applyFont="1" applyFill="1" applyBorder="1" applyAlignment="1" applyProtection="1">
      <alignment horizontal="center"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41" fillId="5" borderId="52"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0" fontId="41" fillId="5" borderId="29" xfId="0" applyFont="1" applyFill="1" applyBorder="1" applyAlignment="1" applyProtection="1">
      <alignment horizontal="left" vertical="center" wrapText="1"/>
    </xf>
    <xf numFmtId="0" fontId="41" fillId="5" borderId="70"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41" xfId="0" applyFont="1" applyFill="1" applyBorder="1" applyAlignment="1" applyProtection="1">
      <alignment horizontal="center" vertical="center" wrapText="1"/>
    </xf>
    <xf numFmtId="183" fontId="40" fillId="5" borderId="2" xfId="0" applyNumberFormat="1" applyFont="1" applyFill="1" applyBorder="1" applyAlignment="1" applyProtection="1">
      <alignment horizontal="center" vertical="center" wrapText="1"/>
    </xf>
    <xf numFmtId="183" fontId="40" fillId="5" borderId="51" xfId="0" applyNumberFormat="1" applyFont="1" applyFill="1" applyBorder="1" applyAlignment="1" applyProtection="1">
      <alignment horizontal="center" vertical="center" wrapText="1"/>
    </xf>
    <xf numFmtId="183" fontId="40" fillId="5" borderId="41"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wrapText="1"/>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57" fillId="5" borderId="19" xfId="0" applyFont="1" applyFill="1" applyBorder="1" applyAlignment="1" applyProtection="1">
      <alignment horizontal="left" vertical="center" shrinkToFit="1"/>
    </xf>
    <xf numFmtId="0" fontId="57" fillId="5" borderId="3" xfId="0" applyFont="1" applyFill="1" applyBorder="1" applyAlignment="1" applyProtection="1">
      <alignment horizontal="left" vertical="center" shrinkToFit="1"/>
    </xf>
    <xf numFmtId="0" fontId="42" fillId="5" borderId="118" xfId="0" applyFont="1" applyFill="1" applyBorder="1" applyAlignment="1" applyProtection="1">
      <alignment horizontal="center"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0" borderId="19" xfId="0" applyFont="1" applyFill="1" applyBorder="1" applyAlignment="1" applyProtection="1">
      <alignment horizontal="left" vertical="center" shrinkToFit="1"/>
      <protection locked="0"/>
    </xf>
    <xf numFmtId="0" fontId="42" fillId="0" borderId="3" xfId="0" applyFont="1" applyFill="1" applyBorder="1" applyAlignment="1" applyProtection="1">
      <alignment horizontal="left" vertical="center" shrinkToFit="1"/>
      <protection locked="0"/>
    </xf>
    <xf numFmtId="0" fontId="40" fillId="5" borderId="8" xfId="0" applyFont="1" applyFill="1" applyBorder="1" applyAlignment="1" applyProtection="1">
      <alignment horizontal="center" vertical="center" wrapText="1"/>
    </xf>
    <xf numFmtId="0" fontId="40" fillId="5" borderId="61" xfId="0" applyFont="1" applyFill="1" applyBorder="1" applyAlignment="1" applyProtection="1">
      <alignment horizontal="center" vertical="center" wrapText="1"/>
    </xf>
    <xf numFmtId="0" fontId="40" fillId="5" borderId="18" xfId="0"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183" fontId="40" fillId="5" borderId="2" xfId="0" applyNumberFormat="1" applyFont="1" applyFill="1" applyBorder="1" applyAlignment="1" applyProtection="1">
      <alignment horizontal="center" vertical="center" shrinkToFit="1"/>
    </xf>
    <xf numFmtId="183" fontId="40" fillId="5" borderId="41" xfId="0" applyNumberFormat="1" applyFont="1" applyFill="1" applyBorder="1" applyAlignment="1" applyProtection="1">
      <alignment horizontal="center" vertical="center" shrinkToFit="1"/>
    </xf>
    <xf numFmtId="183" fontId="40" fillId="5" borderId="72" xfId="0" applyNumberFormat="1" applyFont="1" applyFill="1" applyBorder="1" applyAlignment="1" applyProtection="1">
      <alignment horizontal="center" vertical="center" wrapText="1"/>
    </xf>
    <xf numFmtId="183" fontId="40" fillId="5" borderId="40" xfId="0" applyNumberFormat="1" applyFont="1" applyFill="1" applyBorder="1" applyAlignment="1" applyProtection="1">
      <alignment horizontal="center" vertical="center" wrapText="1"/>
    </xf>
    <xf numFmtId="183" fontId="40" fillId="5" borderId="30"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center" vertical="center" wrapText="1"/>
    </xf>
    <xf numFmtId="0" fontId="48" fillId="5" borderId="47" xfId="0" applyFont="1" applyFill="1" applyBorder="1" applyAlignment="1" applyProtection="1">
      <alignment horizontal="center" vertical="center" wrapText="1"/>
    </xf>
    <xf numFmtId="0" fontId="48" fillId="5" borderId="38" xfId="0" applyFont="1" applyFill="1" applyBorder="1" applyAlignment="1" applyProtection="1">
      <alignment horizontal="center" vertical="center" wrapText="1"/>
    </xf>
    <xf numFmtId="0" fontId="43" fillId="5" borderId="2" xfId="0" applyFont="1" applyFill="1" applyBorder="1" applyAlignment="1" applyProtection="1">
      <alignment horizontal="center" vertical="center" wrapText="1"/>
    </xf>
    <xf numFmtId="0" fontId="43" fillId="5" borderId="51" xfId="0" applyFont="1" applyFill="1" applyBorder="1" applyAlignment="1" applyProtection="1">
      <alignment horizontal="center" vertical="center" wrapText="1"/>
    </xf>
    <xf numFmtId="0" fontId="43" fillId="5" borderId="5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0" fillId="0" borderId="18"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2" fillId="5" borderId="22" xfId="0" applyFont="1" applyFill="1" applyBorder="1" applyAlignment="1" applyProtection="1">
      <alignment horizontal="center" vertical="center" wrapText="1"/>
    </xf>
    <xf numFmtId="0" fontId="42" fillId="5" borderId="26" xfId="0" applyFont="1" applyFill="1" applyBorder="1" applyAlignment="1" applyProtection="1">
      <alignment horizontal="center" vertical="center" wrapText="1"/>
    </xf>
    <xf numFmtId="0" fontId="42" fillId="5" borderId="42" xfId="0" applyFont="1" applyFill="1" applyBorder="1" applyAlignment="1" applyProtection="1">
      <alignment horizontal="center"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3" xfId="0" applyFont="1" applyFill="1" applyBorder="1" applyAlignment="1" applyProtection="1">
      <alignment horizontal="center"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center"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center" vertical="center"/>
      <protection locked="0"/>
    </xf>
    <xf numFmtId="0" fontId="50" fillId="5" borderId="4" xfId="0"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3" fontId="40" fillId="5" borderId="118" xfId="0" applyNumberFormat="1" applyFont="1" applyFill="1" applyBorder="1" applyAlignment="1" applyProtection="1">
      <alignment horizontal="center"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2" fillId="8" borderId="18" xfId="0" applyFont="1" applyFill="1" applyBorder="1" applyAlignment="1" applyProtection="1">
      <alignment horizontal="center" vertical="center" wrapText="1"/>
    </xf>
    <xf numFmtId="0" fontId="102" fillId="8" borderId="17"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183" fontId="40" fillId="5" borderId="3" xfId="0" applyNumberFormat="1" applyFont="1" applyFill="1" applyBorder="1" applyAlignment="1" applyProtection="1">
      <alignment horizontal="center" vertical="center" shrinkToFit="1"/>
    </xf>
    <xf numFmtId="0" fontId="42" fillId="5" borderId="19"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30" fillId="5" borderId="7" xfId="0" applyFont="1" applyFill="1" applyBorder="1" applyAlignment="1" applyProtection="1">
      <alignment vertical="center" wrapText="1"/>
    </xf>
    <xf numFmtId="0" fontId="130" fillId="5" borderId="8" xfId="0" applyFont="1" applyFill="1" applyBorder="1" applyAlignment="1" applyProtection="1">
      <alignment vertical="center" wrapText="1"/>
    </xf>
    <xf numFmtId="0" fontId="130" fillId="5" borderId="1" xfId="0" applyFont="1" applyFill="1" applyBorder="1" applyAlignment="1" applyProtection="1">
      <alignment horizontal="center" vertical="center" shrinkToFit="1"/>
    </xf>
    <xf numFmtId="0" fontId="130" fillId="5" borderId="6" xfId="0" applyFont="1" applyFill="1" applyBorder="1" applyAlignment="1" applyProtection="1">
      <alignment horizontal="center" vertical="center" shrinkToFit="1"/>
    </xf>
    <xf numFmtId="0" fontId="130" fillId="5" borderId="1" xfId="0" applyFont="1" applyFill="1" applyBorder="1" applyAlignment="1" applyProtection="1">
      <alignment horizontal="center" vertical="center" wrapText="1"/>
    </xf>
    <xf numFmtId="0" fontId="130" fillId="5" borderId="6" xfId="0" applyFont="1" applyFill="1" applyBorder="1" applyAlignment="1" applyProtection="1">
      <alignment horizontal="center" vertical="center" wrapText="1"/>
    </xf>
    <xf numFmtId="0" fontId="41" fillId="0" borderId="7" xfId="0" applyFont="1" applyFill="1" applyBorder="1" applyAlignment="1" applyProtection="1">
      <alignment horizontal="left" vertical="center" shrinkToFit="1"/>
      <protection locked="0"/>
    </xf>
    <xf numFmtId="0" fontId="41"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43" fillId="8" borderId="2" xfId="0" applyFont="1" applyFill="1" applyBorder="1" applyAlignment="1" applyProtection="1">
      <alignment horizontal="center" vertical="center"/>
    </xf>
    <xf numFmtId="0" fontId="43"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40" fillId="5" borderId="6" xfId="0" applyFont="1" applyFill="1" applyBorder="1" applyAlignment="1" applyProtection="1">
      <alignment horizontal="center" vertical="center" wrapText="1"/>
    </xf>
    <xf numFmtId="0" fontId="40" fillId="6" borderId="2" xfId="0" applyFont="1" applyFill="1" applyBorder="1" applyAlignment="1" applyProtection="1">
      <alignment horizontal="center" vertical="center" wrapText="1"/>
      <protection locked="0"/>
    </xf>
    <xf numFmtId="0" fontId="40" fillId="6" borderId="3" xfId="0" applyFont="1"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43" fillId="5" borderId="58" xfId="0" applyFont="1" applyFill="1" applyBorder="1" applyAlignment="1" applyProtection="1">
      <alignment horizontal="center" vertical="center"/>
    </xf>
    <xf numFmtId="0" fontId="43" fillId="5" borderId="50" xfId="0" applyFont="1" applyFill="1" applyBorder="1" applyAlignment="1" applyProtection="1">
      <alignment horizontal="center" vertical="center"/>
    </xf>
    <xf numFmtId="0" fontId="43" fillId="5" borderId="34" xfId="0" applyFont="1" applyFill="1" applyBorder="1" applyAlignment="1" applyProtection="1">
      <alignment horizontal="center" vertical="center"/>
    </xf>
    <xf numFmtId="0" fontId="42" fillId="5" borderId="35" xfId="0" applyFont="1" applyFill="1" applyBorder="1" applyAlignment="1" applyProtection="1">
      <alignment horizontal="center" vertical="center" wrapText="1"/>
    </xf>
    <xf numFmtId="0" fontId="42" fillId="5" borderId="36" xfId="0" applyFont="1" applyFill="1" applyBorder="1" applyAlignment="1" applyProtection="1">
      <alignment horizontal="center" vertical="center" wrapText="1"/>
    </xf>
    <xf numFmtId="0" fontId="42" fillId="5" borderId="80" xfId="0" applyFont="1" applyFill="1" applyBorder="1" applyAlignment="1" applyProtection="1">
      <alignment horizontal="center" vertical="center" wrapText="1"/>
    </xf>
    <xf numFmtId="0" fontId="41" fillId="5" borderId="0" xfId="0" applyFont="1" applyFill="1" applyBorder="1" applyAlignment="1" applyProtection="1">
      <alignment horizontal="center" vertical="center" wrapText="1"/>
    </xf>
    <xf numFmtId="0" fontId="103" fillId="8" borderId="1" xfId="0" applyFont="1" applyFill="1" applyBorder="1" applyAlignment="1" applyProtection="1">
      <alignment horizontal="center" vertical="center" wrapText="1"/>
    </xf>
    <xf numFmtId="0" fontId="135" fillId="8" borderId="1" xfId="0" applyFont="1" applyFill="1" applyBorder="1" applyAlignment="1" applyProtection="1">
      <alignment horizontal="center" vertical="center" wrapText="1"/>
    </xf>
    <xf numFmtId="193" fontId="135" fillId="8" borderId="1" xfId="0" applyNumberFormat="1" applyFont="1" applyFill="1" applyBorder="1" applyAlignment="1" applyProtection="1">
      <alignment horizontal="center" vertical="center" wrapText="1"/>
    </xf>
    <xf numFmtId="0" fontId="41" fillId="5" borderId="63"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0" fontId="130"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130" fillId="0" borderId="7" xfId="0" applyFont="1" applyFill="1" applyBorder="1" applyAlignment="1" applyProtection="1">
      <alignment vertical="center" wrapText="1"/>
      <protection locked="0"/>
    </xf>
    <xf numFmtId="0" fontId="41" fillId="0" borderId="19"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5" fillId="0" borderId="1" xfId="0" applyFont="1" applyFill="1" applyBorder="1" applyAlignment="1" applyProtection="1">
      <alignment horizontal="center" vertical="center"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xf>
    <xf numFmtId="0" fontId="47" fillId="5" borderId="5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7" fillId="5" borderId="27" xfId="0" applyFont="1" applyFill="1" applyBorder="1" applyAlignment="1" applyProtection="1">
      <alignment horizontal="center" vertical="center" textRotation="255" wrapText="1"/>
    </xf>
    <xf numFmtId="0" fontId="47" fillId="5" borderId="25" xfId="0" applyFont="1" applyFill="1" applyBorder="1" applyAlignment="1" applyProtection="1">
      <alignment horizontal="center" vertical="center" textRotation="255" wrapText="1"/>
    </xf>
    <xf numFmtId="0" fontId="47" fillId="5" borderId="24"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27"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6" xfId="0"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wrapText="1"/>
    </xf>
    <xf numFmtId="0" fontId="47" fillId="5" borderId="65"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7" fillId="0" borderId="1" xfId="0" applyFont="1" applyBorder="1" applyAlignment="1"/>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center" vertical="center"/>
    </xf>
    <xf numFmtId="0" fontId="47" fillId="5" borderId="3"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textRotation="255" wrapText="1"/>
    </xf>
    <xf numFmtId="0" fontId="47" fillId="5" borderId="26" xfId="0" applyFont="1" applyFill="1" applyBorder="1" applyAlignment="1" applyProtection="1">
      <alignment horizontal="center" vertical="center" textRotation="255" wrapText="1"/>
    </xf>
    <xf numFmtId="0" fontId="47" fillId="5" borderId="23" xfId="0" applyFont="1" applyFill="1" applyBorder="1" applyAlignment="1" applyProtection="1">
      <alignment horizontal="center" vertical="center" textRotation="255" wrapText="1"/>
    </xf>
    <xf numFmtId="0" fontId="47" fillId="5" borderId="7"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187" fontId="47" fillId="5" borderId="1" xfId="0" applyNumberFormat="1" applyFont="1" applyFill="1" applyBorder="1" applyAlignment="1" applyProtection="1">
      <alignment horizontal="center" vertical="center"/>
    </xf>
    <xf numFmtId="187" fontId="46" fillId="5" borderId="1" xfId="0" applyNumberFormat="1" applyFont="1" applyFill="1" applyBorder="1" applyAlignment="1" applyProtection="1">
      <alignment horizontal="center" vertical="center"/>
    </xf>
    <xf numFmtId="0" fontId="49" fillId="5" borderId="51"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center" vertical="center" wrapText="1"/>
      <protection locked="0"/>
    </xf>
    <xf numFmtId="0" fontId="53" fillId="5" borderId="2" xfId="0" applyFont="1" applyFill="1" applyBorder="1" applyAlignment="1" applyProtection="1">
      <alignment horizontal="center" vertical="center" wrapText="1"/>
    </xf>
    <xf numFmtId="0" fontId="53" fillId="5" borderId="51"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27" xfId="0" applyFont="1" applyFill="1" applyBorder="1" applyAlignment="1" applyProtection="1">
      <alignment horizontal="center" vertical="center" wrapText="1"/>
    </xf>
    <xf numFmtId="0" fontId="49" fillId="5" borderId="22"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99" fillId="5" borderId="39" xfId="0" applyFont="1" applyFill="1" applyBorder="1" applyAlignment="1" applyProtection="1">
      <alignment horizontal="center" vertical="center" wrapText="1"/>
    </xf>
    <xf numFmtId="0" fontId="99" fillId="5" borderId="42" xfId="0" applyFont="1" applyFill="1" applyBorder="1" applyAlignment="1" applyProtection="1">
      <alignment horizontal="center" vertical="center" wrapText="1"/>
    </xf>
    <xf numFmtId="0" fontId="103" fillId="5"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center" vertical="center"/>
    </xf>
    <xf numFmtId="0" fontId="102" fillId="5" borderId="18" xfId="0" applyFont="1" applyFill="1" applyBorder="1" applyAlignment="1" applyProtection="1">
      <alignment horizontal="center" vertical="center"/>
    </xf>
    <xf numFmtId="0" fontId="102" fillId="5" borderId="49" xfId="0" applyFont="1" applyFill="1" applyBorder="1" applyAlignment="1" applyProtection="1">
      <alignment horizontal="center" vertical="center"/>
    </xf>
    <xf numFmtId="0" fontId="102" fillId="5" borderId="17" xfId="0" applyFont="1" applyFill="1" applyBorder="1" applyAlignment="1" applyProtection="1">
      <alignment horizontal="center" vertical="center"/>
    </xf>
    <xf numFmtId="0" fontId="102" fillId="5" borderId="18"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48" fillId="0" borderId="0" xfId="7" applyFont="1" applyAlignment="1">
      <alignment horizontal="center" vertical="center"/>
    </xf>
    <xf numFmtId="0" fontId="103"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2" fillId="12" borderId="139" xfId="7" applyFont="1" applyFill="1" applyBorder="1" applyAlignment="1" applyProtection="1">
      <alignment horizontal="center" vertical="center" wrapText="1"/>
    </xf>
    <xf numFmtId="0" fontId="102" fillId="12" borderId="133" xfId="7" applyFont="1" applyFill="1" applyBorder="1" applyAlignment="1" applyProtection="1">
      <alignment horizontal="center" vertical="center" wrapText="1"/>
    </xf>
    <xf numFmtId="0" fontId="102" fillId="12" borderId="135" xfId="7" applyFont="1" applyFill="1" applyBorder="1" applyAlignment="1" applyProtection="1">
      <alignment horizontal="center" vertical="center" wrapText="1"/>
    </xf>
  </cellXfs>
  <cellStyles count="190">
    <cellStyle name="20% - Accent1" xfId="141"/>
    <cellStyle name="20% - Accent2" xfId="142"/>
    <cellStyle name="20% - Accent3" xfId="143"/>
    <cellStyle name="20% - Accent4" xfId="144"/>
    <cellStyle name="20% - Accent5" xfId="145"/>
    <cellStyle name="20% - Accent6" xfId="146"/>
    <cellStyle name="40% - Accent1" xfId="147"/>
    <cellStyle name="40% - Accent2" xfId="148"/>
    <cellStyle name="40% - Accent3" xfId="149"/>
    <cellStyle name="40% - Accent4" xfId="150"/>
    <cellStyle name="40% - Accent5" xfId="151"/>
    <cellStyle name="40% - Accent6" xfId="152"/>
    <cellStyle name="60% - Accent1" xfId="153"/>
    <cellStyle name="60% - Accent2" xfId="154"/>
    <cellStyle name="60% - Accent3" xfId="155"/>
    <cellStyle name="60% - Accent4" xfId="156"/>
    <cellStyle name="60% - Accent5" xfId="157"/>
    <cellStyle name="60% - Accent6" xfId="158"/>
    <cellStyle name="Accent1" xfId="159"/>
    <cellStyle name="Accent2" xfId="160"/>
    <cellStyle name="Accent3" xfId="161"/>
    <cellStyle name="Accent4" xfId="162"/>
    <cellStyle name="Accent5" xfId="163"/>
    <cellStyle name="Accent6" xfId="164"/>
    <cellStyle name="Bad" xfId="165"/>
    <cellStyle name="Calculation" xfId="166"/>
    <cellStyle name="Check Cell" xfId="167"/>
    <cellStyle name="Explanatory Text" xfId="168"/>
    <cellStyle name="Good" xfId="169"/>
    <cellStyle name="Heading 1" xfId="170"/>
    <cellStyle name="Heading 2" xfId="171"/>
    <cellStyle name="Heading 3" xfId="172"/>
    <cellStyle name="Heading 4" xfId="173"/>
    <cellStyle name="Input" xfId="174"/>
    <cellStyle name="Linked Cell" xfId="175"/>
    <cellStyle name="Neutral" xfId="176"/>
    <cellStyle name="Normal_RCS IT Budget (Pre-opening)" xfId="177"/>
    <cellStyle name="Note" xfId="178"/>
    <cellStyle name="Output" xfId="179"/>
    <cellStyle name="Title" xfId="180"/>
    <cellStyle name="Total" xfId="181"/>
    <cellStyle name="Warning Text" xfId="182"/>
    <cellStyle name="百分比 2" xfId="20"/>
    <cellStyle name="百分比 2 10" xfId="36"/>
    <cellStyle name="百分比 2 11" xfId="37"/>
    <cellStyle name="百分比 2 12" xfId="38"/>
    <cellStyle name="百分比 2 13" xfId="39"/>
    <cellStyle name="百分比 2 14" xfId="40"/>
    <cellStyle name="百分比 2 15" xfId="41"/>
    <cellStyle name="百分比 2 16" xfId="42"/>
    <cellStyle name="百分比 2 17" xfId="43"/>
    <cellStyle name="百分比 2 18" xfId="44"/>
    <cellStyle name="百分比 2 19" xfId="45"/>
    <cellStyle name="百分比 2 2" xfId="34"/>
    <cellStyle name="百分比 2 20" xfId="46"/>
    <cellStyle name="百分比 2 21" xfId="47"/>
    <cellStyle name="百分比 2 22" xfId="48"/>
    <cellStyle name="百分比 2 23" xfId="49"/>
    <cellStyle name="百分比 2 24" xfId="50"/>
    <cellStyle name="百分比 2 25" xfId="51"/>
    <cellStyle name="百分比 2 26" xfId="52"/>
    <cellStyle name="百分比 2 27" xfId="53"/>
    <cellStyle name="百分比 2 28" xfId="54"/>
    <cellStyle name="百分比 2 29" xfId="55"/>
    <cellStyle name="百分比 2 3" xfId="56"/>
    <cellStyle name="百分比 2 30" xfId="57"/>
    <cellStyle name="百分比 2 31" xfId="58"/>
    <cellStyle name="百分比 2 32" xfId="59"/>
    <cellStyle name="百分比 2 4" xfId="60"/>
    <cellStyle name="百分比 2 5" xfId="61"/>
    <cellStyle name="百分比 2 6" xfId="62"/>
    <cellStyle name="百分比 2 7" xfId="63"/>
    <cellStyle name="百分比 2 8" xfId="64"/>
    <cellStyle name="百分比 2 9" xfId="65"/>
    <cellStyle name="百分比 3" xfId="66"/>
    <cellStyle name="百分比 4" xfId="67"/>
    <cellStyle name="百分比 5" xfId="139"/>
    <cellStyle name="百分比 6" xfId="24"/>
    <cellStyle name="常规" xfId="0" builtinId="0"/>
    <cellStyle name="常规 10" xfId="16"/>
    <cellStyle name="常规 10 2" xfId="32"/>
    <cellStyle name="常规 10 3" xfId="68"/>
    <cellStyle name="常规 11" xfId="69"/>
    <cellStyle name="常规 11 2" xfId="70"/>
    <cellStyle name="常规 12" xfId="71"/>
    <cellStyle name="常规 12 2" xfId="72"/>
    <cellStyle name="常规 13" xfId="73"/>
    <cellStyle name="常规 13 2" xfId="74"/>
    <cellStyle name="常规 14" xfId="75"/>
    <cellStyle name="常规 14 2" xfId="76"/>
    <cellStyle name="常规 15" xfId="77"/>
    <cellStyle name="常规 15 2" xfId="78"/>
    <cellStyle name="常规 16" xfId="8"/>
    <cellStyle name="常规 16 2" xfId="80"/>
    <cellStyle name="常规 16 3" xfId="79"/>
    <cellStyle name="常规 17" xfId="81"/>
    <cellStyle name="常规 17 2" xfId="82"/>
    <cellStyle name="常规 18" xfId="83"/>
    <cellStyle name="常规 18 2" xfId="84"/>
    <cellStyle name="常规 19" xfId="85"/>
    <cellStyle name="常规 2" xfId="1"/>
    <cellStyle name="常规 2 10" xfId="18"/>
    <cellStyle name="常规 2 2" xfId="6"/>
    <cellStyle name="常规 2 2 2" xfId="87"/>
    <cellStyle name="常规 2 2 3" xfId="88"/>
    <cellStyle name="常规 2 2 4" xfId="89"/>
    <cellStyle name="常规 2 2 5" xfId="90"/>
    <cellStyle name="常规 2 2 6" xfId="86"/>
    <cellStyle name="常规 2 3" xfId="91"/>
    <cellStyle name="常规 2 3 2" xfId="92"/>
    <cellStyle name="常规 2 3 3" xfId="93"/>
    <cellStyle name="常规 2 4" xfId="94"/>
    <cellStyle name="常规 2 4 2" xfId="95"/>
    <cellStyle name="常规 2 5" xfId="96"/>
    <cellStyle name="常规 2 5 2" xfId="97"/>
    <cellStyle name="常规 2 6" xfId="98"/>
    <cellStyle name="常规 2 7" xfId="99"/>
    <cellStyle name="常规 2 8" xfId="140"/>
    <cellStyle name="常规 2 9" xfId="189"/>
    <cellStyle name="常规 20" xfId="100"/>
    <cellStyle name="常规 21" xfId="101"/>
    <cellStyle name="常规 22" xfId="102"/>
    <cellStyle name="常规 23" xfId="103"/>
    <cellStyle name="常规 24" xfId="104"/>
    <cellStyle name="常规 25" xfId="105"/>
    <cellStyle name="常规 26" xfId="106"/>
    <cellStyle name="常规 27" xfId="107"/>
    <cellStyle name="常规 28" xfId="108"/>
    <cellStyle name="常规 29" xfId="109"/>
    <cellStyle name="常规 3" xfId="2"/>
    <cellStyle name="常规 3 2" xfId="3"/>
    <cellStyle name="常规 3 2 2" xfId="29"/>
    <cellStyle name="常规 3 2 3" xfId="110"/>
    <cellStyle name="常规 3 2 4" xfId="25"/>
    <cellStyle name="常规 3 3" xfId="28"/>
    <cellStyle name="常规 3 4" xfId="21"/>
    <cellStyle name="常规 30" xfId="111"/>
    <cellStyle name="常规 31" xfId="112"/>
    <cellStyle name="常规 32" xfId="113"/>
    <cellStyle name="常规 33" xfId="114"/>
    <cellStyle name="常规 34" xfId="115"/>
    <cellStyle name="常规 35" xfId="116"/>
    <cellStyle name="常规 36" xfId="117"/>
    <cellStyle name="常规 37" xfId="118"/>
    <cellStyle name="常规 38" xfId="119"/>
    <cellStyle name="常规 39" xfId="120"/>
    <cellStyle name="常规 4" xfId="4"/>
    <cellStyle name="常规 4 2" xfId="121"/>
    <cellStyle name="常规 4 3" xfId="122"/>
    <cellStyle name="常规 4 4" xfId="22"/>
    <cellStyle name="常规 40" xfId="123"/>
    <cellStyle name="常规 41" xfId="31"/>
    <cellStyle name="常规 42" xfId="27"/>
    <cellStyle name="常规 43" xfId="188"/>
    <cellStyle name="常规 44" xfId="15"/>
    <cellStyle name="常规 5" xfId="5"/>
    <cellStyle name="常规 5 2" xfId="124"/>
    <cellStyle name="常规 5 3" xfId="125"/>
    <cellStyle name="常规 5 4" xfId="35"/>
    <cellStyle name="常规 6" xfId="9"/>
    <cellStyle name="常规 6 2" xfId="7"/>
    <cellStyle name="常规 6 2 2" xfId="11"/>
    <cellStyle name="常规 6 2 2 2" xfId="126"/>
    <cellStyle name="常规 6 2 3" xfId="14"/>
    <cellStyle name="常规 6 3" xfId="127"/>
    <cellStyle name="常规 6 4" xfId="136"/>
    <cellStyle name="常规 6 5" xfId="26"/>
    <cellStyle name="常规 7" xfId="10"/>
    <cellStyle name="常规 7 2" xfId="128"/>
    <cellStyle name="常规 7 3" xfId="129"/>
    <cellStyle name="常规 7 4" xfId="19"/>
    <cellStyle name="常规 8" xfId="12"/>
    <cellStyle name="常规 8 2" xfId="33"/>
    <cellStyle name="常规 8 3" xfId="130"/>
    <cellStyle name="常规 8 4" xfId="17"/>
    <cellStyle name="常规 9" xfId="13"/>
    <cellStyle name="常规 9 2" xfId="131"/>
    <cellStyle name="超链接 3" xfId="23"/>
    <cellStyle name="千分位_EMC 08-2009" xfId="183"/>
    <cellStyle name="千位分隔 2" xfId="30"/>
    <cellStyle name="千位分隔 2 2" xfId="132"/>
    <cellStyle name="千位分隔 2 3" xfId="184"/>
    <cellStyle name="千位分隔 3" xfId="133"/>
    <cellStyle name="千位分隔 3 2" xfId="185"/>
    <cellStyle name="千位分隔 4" xfId="134"/>
    <cellStyle name="千位分隔 5" xfId="135"/>
    <cellStyle name="千位分隔 5 2" xfId="138"/>
    <cellStyle name="千位分隔 6" xfId="137"/>
    <cellStyle name="千位分隔 7" xfId="186"/>
    <cellStyle name="一般_11月份新昌瑞安表(with Kelly's remarks)" xfId="187"/>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399314</xdr:colOff>
      <xdr:row>5</xdr:row>
      <xdr:rowOff>114179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885714" cy="971429"/>
        </a:xfrm>
        <a:prstGeom prst="rect">
          <a:avLst/>
        </a:prstGeom>
      </xdr:spPr>
    </xdr:pic>
    <xdr:clientData/>
  </xdr:twoCellAnchor>
  <xdr:twoCellAnchor editAs="oneCell">
    <xdr:from>
      <xdr:col>0</xdr:col>
      <xdr:colOff>0</xdr:colOff>
      <xdr:row>6</xdr:row>
      <xdr:rowOff>0</xdr:rowOff>
    </xdr:from>
    <xdr:to>
      <xdr:col>8</xdr:col>
      <xdr:colOff>265981</xdr:colOff>
      <xdr:row>48</xdr:row>
      <xdr:rowOff>37195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028700"/>
          <a:ext cx="5752381" cy="7238095"/>
        </a:xfrm>
        <a:prstGeom prst="rect">
          <a:avLst/>
        </a:prstGeom>
      </xdr:spPr>
    </xdr:pic>
    <xdr:clientData/>
  </xdr:twoCellAnchor>
  <xdr:twoCellAnchor editAs="oneCell">
    <xdr:from>
      <xdr:col>0</xdr:col>
      <xdr:colOff>0</xdr:colOff>
      <xdr:row>49</xdr:row>
      <xdr:rowOff>0</xdr:rowOff>
    </xdr:from>
    <xdr:to>
      <xdr:col>8</xdr:col>
      <xdr:colOff>627886</xdr:colOff>
      <xdr:row>97</xdr:row>
      <xdr:rowOff>46590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401050"/>
          <a:ext cx="6114286" cy="8276190"/>
        </a:xfrm>
        <a:prstGeom prst="rect">
          <a:avLst/>
        </a:prstGeom>
      </xdr:spPr>
    </xdr:pic>
    <xdr:clientData/>
  </xdr:twoCellAnchor>
  <xdr:twoCellAnchor editAs="oneCell">
    <xdr:from>
      <xdr:col>0</xdr:col>
      <xdr:colOff>0</xdr:colOff>
      <xdr:row>98</xdr:row>
      <xdr:rowOff>0</xdr:rowOff>
    </xdr:from>
    <xdr:to>
      <xdr:col>12</xdr:col>
      <xdr:colOff>65638</xdr:colOff>
      <xdr:row>147</xdr:row>
      <xdr:rowOff>56093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802100"/>
          <a:ext cx="8295238" cy="8457143"/>
        </a:xfrm>
        <a:prstGeom prst="rect">
          <a:avLst/>
        </a:prstGeom>
      </xdr:spPr>
    </xdr:pic>
    <xdr:clientData/>
  </xdr:twoCellAnchor>
  <xdr:twoCellAnchor editAs="oneCell">
    <xdr:from>
      <xdr:col>10</xdr:col>
      <xdr:colOff>0</xdr:colOff>
      <xdr:row>19</xdr:row>
      <xdr:rowOff>0</xdr:rowOff>
    </xdr:from>
    <xdr:to>
      <xdr:col>23</xdr:col>
      <xdr:colOff>36981</xdr:colOff>
      <xdr:row>48</xdr:row>
      <xdr:rowOff>123188</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0" y="3257550"/>
          <a:ext cx="8952381" cy="5095238"/>
        </a:xfrm>
        <a:prstGeom prst="rect">
          <a:avLst/>
        </a:prstGeom>
      </xdr:spPr>
    </xdr:pic>
    <xdr:clientData/>
  </xdr:twoCellAnchor>
  <xdr:twoCellAnchor editAs="oneCell">
    <xdr:from>
      <xdr:col>23</xdr:col>
      <xdr:colOff>0</xdr:colOff>
      <xdr:row>0</xdr:row>
      <xdr:rowOff>0</xdr:rowOff>
    </xdr:from>
    <xdr:to>
      <xdr:col>35</xdr:col>
      <xdr:colOff>113257</xdr:colOff>
      <xdr:row>40</xdr:row>
      <xdr:rowOff>46762</xdr:rowOff>
    </xdr:to>
    <xdr:pic>
      <xdr:nvPicPr>
        <xdr:cNvPr id="7" name="图片 6"/>
        <xdr:cNvPicPr>
          <a:picLocks noChangeAspect="1"/>
        </xdr:cNvPicPr>
      </xdr:nvPicPr>
      <xdr:blipFill>
        <a:blip xmlns:r="http://schemas.openxmlformats.org/officeDocument/2006/relationships" r:embed="rId6"/>
        <a:stretch>
          <a:fillRect/>
        </a:stretch>
      </xdr:blipFill>
      <xdr:spPr>
        <a:xfrm>
          <a:off x="15773400" y="0"/>
          <a:ext cx="8342857" cy="6904762"/>
        </a:xfrm>
        <a:prstGeom prst="rect">
          <a:avLst/>
        </a:prstGeom>
      </xdr:spPr>
    </xdr:pic>
    <xdr:clientData/>
  </xdr:twoCellAnchor>
  <xdr:twoCellAnchor editAs="oneCell">
    <xdr:from>
      <xdr:col>23</xdr:col>
      <xdr:colOff>0</xdr:colOff>
      <xdr:row>42</xdr:row>
      <xdr:rowOff>0</xdr:rowOff>
    </xdr:from>
    <xdr:to>
      <xdr:col>36</xdr:col>
      <xdr:colOff>94124</xdr:colOff>
      <xdr:row>89</xdr:row>
      <xdr:rowOff>94231</xdr:rowOff>
    </xdr:to>
    <xdr:pic>
      <xdr:nvPicPr>
        <xdr:cNvPr id="8" name="图片 7"/>
        <xdr:cNvPicPr>
          <a:picLocks noChangeAspect="1"/>
        </xdr:cNvPicPr>
      </xdr:nvPicPr>
      <xdr:blipFill>
        <a:blip xmlns:r="http://schemas.openxmlformats.org/officeDocument/2006/relationships" r:embed="rId7"/>
        <a:stretch>
          <a:fillRect/>
        </a:stretch>
      </xdr:blipFill>
      <xdr:spPr>
        <a:xfrm>
          <a:off x="15773400" y="7200900"/>
          <a:ext cx="9009524" cy="81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43" sqref="B43"/>
    </sheetView>
  </sheetViews>
  <sheetFormatPr defaultRowHeight="15"/>
  <cols>
    <col min="1" max="1" width="32.5" style="1706" customWidth="1"/>
    <col min="2" max="2" width="94.875" style="1692" customWidth="1"/>
    <col min="3" max="16384" width="9" style="1702"/>
  </cols>
  <sheetData>
    <row r="1" spans="1:2" s="1697" customFormat="1" ht="16.5" thickBot="1">
      <c r="A1" s="1695" t="s">
        <v>1107</v>
      </c>
      <c r="B1" s="1696" t="s">
        <v>1169</v>
      </c>
    </row>
    <row r="2" spans="1:2" s="1699" customFormat="1" ht="15.75" thickTop="1">
      <c r="A2" s="1698" t="s">
        <v>1108</v>
      </c>
      <c r="B2" s="1684" t="str">
        <f>'预评函-封皮'!B9</f>
        <v>北京市房地产市场价值预评估</v>
      </c>
    </row>
    <row r="3" spans="1:2" s="1699" customFormat="1">
      <c r="A3" s="1700" t="s">
        <v>1109</v>
      </c>
      <c r="B3" s="1685" t="str">
        <f>'预评函-封皮'!B12</f>
        <v>农商行</v>
      </c>
    </row>
    <row r="4" spans="1:2" s="1699" customFormat="1">
      <c r="A4" s="1700" t="s">
        <v>1110</v>
      </c>
      <c r="B4" s="1685" t="str">
        <f ca="1">'预评函-封皮'!B18</f>
        <v>欧红伟（注册号:1120000080）、崔锴（注册号:1120100036)</v>
      </c>
    </row>
    <row r="5" spans="1:2" s="1697" customFormat="1" ht="15.75" thickBot="1">
      <c r="A5" s="1701" t="s">
        <v>1111</v>
      </c>
      <c r="B5" s="1686" t="str">
        <f>'预评函-封皮'!B21</f>
        <v>康正预评字2018-1-0418-P01HDZC1号</v>
      </c>
    </row>
    <row r="6" spans="1:2" s="1699" customFormat="1" ht="15.75" thickTop="1">
      <c r="A6" s="1700" t="s">
        <v>1112</v>
      </c>
      <c r="B6" s="1684" t="str">
        <f>'预评函-1'!A4</f>
        <v>受您的委托，我公司对北京市房地产进行了预评估。</v>
      </c>
    </row>
    <row r="7" spans="1:2">
      <c r="A7" s="1700" t="s">
        <v>1113</v>
      </c>
      <c r="B7" s="1687" t="str">
        <f>'预评函-1'!A6</f>
        <v>估价对象为北京市房地产，为农商行所有。根据《不动产权证书》[]，估价对象建筑面积为218.48平方米，（分摊）出让国有建设用地使用权面积为0平方米。估价对象用途为办公。</v>
      </c>
    </row>
    <row r="8" spans="1:2">
      <c r="A8" s="1700" t="s">
        <v>1114</v>
      </c>
      <c r="B8" s="1687" t="str">
        <f>'预评函-1'!A8</f>
        <v>为估价委托人了解估价对象房地产市场价值提供参考依据。</v>
      </c>
    </row>
    <row r="9" spans="1:2">
      <c r="A9" s="1700" t="s">
        <v>1115</v>
      </c>
      <c r="B9" s="1687" t="str">
        <f>'预评函-1'!A10</f>
        <v>2018年6月6日（评估专业人员实地查勘之日）</v>
      </c>
    </row>
    <row r="10" spans="1:2">
      <c r="A10" s="1700" t="s">
        <v>1116</v>
      </c>
      <c r="B10" s="1687" t="str">
        <f>'预评函-1'!A13</f>
        <v>本次估价的“房地产价值”是指在正常市场情况下，在价值时点2018年6月6日，估价对象规划用途为办公，假定未设立法定优先受偿款下的房地产市场价值。</v>
      </c>
    </row>
    <row r="11" spans="1:2">
      <c r="A11" s="1700" t="s">
        <v>1117</v>
      </c>
      <c r="B11" s="1687"/>
    </row>
    <row r="12" spans="1:2">
      <c r="A12" s="1700" t="s">
        <v>1118</v>
      </c>
      <c r="B12" s="1687" t="str">
        <f>'预评函-1'!A14</f>
        <v>——</v>
      </c>
    </row>
    <row r="13" spans="1:2">
      <c r="A13" s="1700" t="s">
        <v>1119</v>
      </c>
      <c r="B13" s="168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0" t="s">
        <v>1120</v>
      </c>
      <c r="B14" s="1687" t="str">
        <f>'预评函-1'!A16</f>
        <v>——</v>
      </c>
    </row>
    <row r="15" spans="1:2" s="1697" customFormat="1" ht="15.75" thickBot="1">
      <c r="A15" s="1701" t="s">
        <v>1121</v>
      </c>
      <c r="B15" s="1688" t="str">
        <f>'预评函-1'!A18</f>
        <v>本次评估采用的主估价方法为比较法和收益法。</v>
      </c>
    </row>
    <row r="16" spans="1:2" ht="15.75" thickTop="1">
      <c r="A16" s="1698" t="s">
        <v>1122</v>
      </c>
      <c r="B16" s="168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0" t="s">
        <v>1123</v>
      </c>
      <c r="B17" s="1687" t="str">
        <f>'预评函-2（1）'!B6</f>
        <v>北京市房地产</v>
      </c>
    </row>
    <row r="18" spans="1:2">
      <c r="A18" s="1700" t="s">
        <v>1124</v>
      </c>
      <c r="B18" s="1687">
        <f>'预评函-2（1）'!C6</f>
        <v>218.48</v>
      </c>
    </row>
    <row r="19" spans="1:2">
      <c r="A19" s="1700" t="s">
        <v>1125</v>
      </c>
      <c r="B19" s="1687">
        <f ca="1">'预评函-2（1）'!D7</f>
        <v>6098306</v>
      </c>
    </row>
    <row r="20" spans="1:2">
      <c r="A20" s="1700" t="s">
        <v>1163</v>
      </c>
      <c r="B20" s="1687" t="str">
        <f>'预评函-2（1）'!C7</f>
        <v>总价（元）</v>
      </c>
    </row>
    <row r="21" spans="1:2">
      <c r="A21" s="1700" t="s">
        <v>1126</v>
      </c>
      <c r="B21" s="1687">
        <f ca="1">'预评函-2（1）'!D9</f>
        <v>27912</v>
      </c>
    </row>
    <row r="22" spans="1:2">
      <c r="A22" s="1700" t="s">
        <v>1127</v>
      </c>
      <c r="B22" s="1687" t="str">
        <f ca="1">'预评函-2（1）'!D8</f>
        <v>陆佰零玖万捌仟叁佰零陆元整</v>
      </c>
    </row>
    <row r="23" spans="1:2">
      <c r="A23" s="1700" t="s">
        <v>1164</v>
      </c>
      <c r="B23" s="1687">
        <f>'预评函-2（1）'!D10</f>
        <v>0</v>
      </c>
    </row>
    <row r="24" spans="1:2">
      <c r="A24" s="1700" t="s">
        <v>1165</v>
      </c>
      <c r="B24" s="1687" t="str">
        <f>'预评函-2（1）'!C10</f>
        <v>总额（元）</v>
      </c>
    </row>
    <row r="25" spans="1:2">
      <c r="A25" s="1700" t="s">
        <v>1128</v>
      </c>
      <c r="B25" s="1687" t="str">
        <f>'预评函-2（1）'!D11</f>
        <v>零元整</v>
      </c>
    </row>
    <row r="26" spans="1:2">
      <c r="A26" s="1700" t="s">
        <v>1129</v>
      </c>
      <c r="B26" s="1687">
        <f>'预评函-2（1）'!D12</f>
        <v>0</v>
      </c>
    </row>
    <row r="27" spans="1:2">
      <c r="A27" s="1700" t="s">
        <v>1130</v>
      </c>
      <c r="B27" s="1687">
        <f>'预评函-2（1）'!D13</f>
        <v>0</v>
      </c>
    </row>
    <row r="28" spans="1:2">
      <c r="A28" s="1700" t="s">
        <v>1131</v>
      </c>
      <c r="B28" s="1687">
        <f>'预评函-2（1）'!D14</f>
        <v>0</v>
      </c>
    </row>
    <row r="29" spans="1:2">
      <c r="A29" s="1700" t="s">
        <v>1132</v>
      </c>
      <c r="B29" s="1687">
        <f ca="1">'预评函-2（1）'!D15</f>
        <v>6098306</v>
      </c>
    </row>
    <row r="30" spans="1:2">
      <c r="A30" s="1700" t="s">
        <v>1133</v>
      </c>
      <c r="B30" s="1687" t="str">
        <f ca="1">'预评函-2（1）'!D16</f>
        <v>陆佰零玖万捌仟叁佰零陆元整</v>
      </c>
    </row>
    <row r="31" spans="1:2">
      <c r="A31" s="1700" t="s">
        <v>1134</v>
      </c>
      <c r="B31" s="1687" t="str">
        <f>'预评函-2（1）'!D18</f>
        <v>——</v>
      </c>
    </row>
    <row r="32" spans="1:2">
      <c r="A32" s="1700" t="s">
        <v>1135</v>
      </c>
      <c r="B32" s="1687" t="e">
        <f>'预评函-2（1）'!D19</f>
        <v>#VALUE!</v>
      </c>
    </row>
    <row r="33" spans="1:2">
      <c r="A33" s="1700" t="s">
        <v>1136</v>
      </c>
      <c r="B33" s="1687" t="str">
        <f>'预评函-2（1）'!D21</f>
        <v>——</v>
      </c>
    </row>
    <row r="34" spans="1:2">
      <c r="A34" s="1700" t="s">
        <v>1137</v>
      </c>
      <c r="B34" s="1687" t="str">
        <f ca="1">'预评函-2（1）'!D23</f>
        <v>——</v>
      </c>
    </row>
    <row r="35" spans="1:2">
      <c r="A35" s="1700" t="s">
        <v>1138</v>
      </c>
      <c r="B35" s="1687" t="e">
        <f>'预评函-2（1）'!D22</f>
        <v>#VALUE!</v>
      </c>
    </row>
    <row r="36" spans="1:2">
      <c r="A36" s="1700" t="s">
        <v>1139</v>
      </c>
      <c r="B36" s="1687">
        <f>'预评函-2（2）'!C4</f>
        <v>0</v>
      </c>
    </row>
    <row r="37" spans="1:2">
      <c r="A37" s="1700" t="s">
        <v>1140</v>
      </c>
      <c r="B37" s="1687">
        <f ca="1">'预评函-2（2）'!D4</f>
        <v>5348214</v>
      </c>
    </row>
    <row r="38" spans="1:2">
      <c r="A38" s="1700" t="s">
        <v>1141</v>
      </c>
      <c r="B38" s="1687">
        <f ca="1">'预评函-2（2）'!E4</f>
        <v>24479</v>
      </c>
    </row>
    <row r="39" spans="1:2">
      <c r="A39" s="1700" t="s">
        <v>1142</v>
      </c>
      <c r="B39" s="1687" t="str">
        <f ca="1">'预评函-2（2）'!D5</f>
        <v>伍佰叁拾肆万捌仟贰佰壹拾肆元整</v>
      </c>
    </row>
    <row r="40" spans="1:2">
      <c r="A40" s="1700" t="s">
        <v>1143</v>
      </c>
      <c r="B40" s="1687">
        <f ca="1">'预评函-2（2）'!F4</f>
        <v>750092</v>
      </c>
    </row>
    <row r="41" spans="1:2">
      <c r="A41" s="1700" t="s">
        <v>1144</v>
      </c>
      <c r="B41" s="1687">
        <f ca="1">'预评函-2（2）'!G4</f>
        <v>3433</v>
      </c>
    </row>
    <row r="42" spans="1:2" s="1697" customFormat="1" ht="15.75" thickBot="1">
      <c r="A42" s="1701" t="s">
        <v>1145</v>
      </c>
      <c r="B42" s="1689" t="str">
        <f ca="1">'预评函-2（2）'!F5</f>
        <v>柒拾伍万零玖拾贰元整</v>
      </c>
    </row>
    <row r="43" spans="1:2" ht="15.75" thickTop="1">
      <c r="A43" s="1698" t="s">
        <v>1146</v>
      </c>
      <c r="B43" s="1690" t="str">
        <f>'预评函-3'!A13</f>
        <v>2.本次评估设定估价对象房地产权属无争议，未被查封或者以其他形式限制其房地产权利，未设定抵押权等他项权利，不涉及第三方权利义务。</v>
      </c>
    </row>
    <row r="44" spans="1:2">
      <c r="A44" s="1700" t="s">
        <v>1147</v>
      </c>
      <c r="B44" s="1687" t="str">
        <f>'预评函-3'!A14</f>
        <v>——</v>
      </c>
    </row>
    <row r="45" spans="1:2">
      <c r="A45" s="1700" t="s">
        <v>1148</v>
      </c>
      <c r="B45" s="1687" t="str">
        <f>'预评函-3'!A15</f>
        <v>——</v>
      </c>
    </row>
    <row r="46" spans="1:2">
      <c r="A46" s="1700" t="s">
        <v>1149</v>
      </c>
      <c r="B46" s="1687" t="str">
        <f>'预评函-3'!A16</f>
        <v>——</v>
      </c>
    </row>
    <row r="47" spans="1:2">
      <c r="A47" s="1700" t="s">
        <v>1150</v>
      </c>
      <c r="B47" s="168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0" t="s">
        <v>1161</v>
      </c>
      <c r="B48" s="1687" t="str">
        <f>'预评函-3'!A18</f>
        <v>——</v>
      </c>
    </row>
    <row r="49" spans="1:2">
      <c r="A49" s="1700" t="s">
        <v>1151</v>
      </c>
      <c r="B49" s="168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0" t="s">
        <v>1152</v>
      </c>
      <c r="B50" s="1687" t="str">
        <f>'预评函-3'!A20</f>
        <v>6.其他需特殊说明事项：无（注意修改序号）</v>
      </c>
    </row>
    <row r="51" spans="1:2" s="1697" customFormat="1" thickBot="1">
      <c r="A51" s="1701" t="s">
        <v>1153</v>
      </c>
      <c r="B51" s="1694">
        <f>'预评函-3'!D29</f>
        <v>42551</v>
      </c>
    </row>
    <row r="52" spans="1:2" ht="15.75" thickTop="1">
      <c r="A52" s="1698" t="s">
        <v>1154</v>
      </c>
      <c r="B52" s="1693" t="str">
        <f>'预评函-3'!A4</f>
        <v>欧红伟</v>
      </c>
    </row>
    <row r="53" spans="1:2">
      <c r="A53" s="1700" t="s">
        <v>1155</v>
      </c>
      <c r="B53" s="1687">
        <f ca="1">'预评函-3'!B4</f>
        <v>1120000080</v>
      </c>
    </row>
    <row r="54" spans="1:2">
      <c r="A54" s="1700" t="s">
        <v>1156</v>
      </c>
      <c r="B54" s="1691" t="str">
        <f>'预评函-3'!A5</f>
        <v>崔锴</v>
      </c>
    </row>
    <row r="55" spans="1:2" s="1697" customFormat="1" ht="15.75" thickBot="1">
      <c r="A55" s="1701" t="s">
        <v>1157</v>
      </c>
      <c r="B55" s="1689">
        <f ca="1">'预评函-3'!B5</f>
        <v>1120100036</v>
      </c>
    </row>
    <row r="56" spans="1:2" ht="15.75" thickTop="1">
      <c r="A56" s="1703" t="s">
        <v>1166</v>
      </c>
      <c r="B56" s="1687" t="str">
        <f>'预评函-2（1）'!B15</f>
        <v>3.房地产抵押价值</v>
      </c>
    </row>
    <row r="57" spans="1:2">
      <c r="A57" s="1703" t="s">
        <v>1167</v>
      </c>
      <c r="B57" s="1687" t="str">
        <f>'预评函-2（1）'!B18</f>
        <v>——</v>
      </c>
    </row>
    <row r="58" spans="1:2" s="1697" customFormat="1" ht="15.75" thickBot="1">
      <c r="A58" s="1704" t="s">
        <v>1168</v>
      </c>
      <c r="B58" s="1688" t="str">
        <f>'预评函-2（1）'!B21</f>
        <v>——</v>
      </c>
    </row>
    <row r="59" spans="1:2" ht="15.75" thickTop="1">
      <c r="A59" s="1705" t="s">
        <v>1170</v>
      </c>
      <c r="B59" s="1685" t="str">
        <f>'预评函-2（1）'!B45</f>
        <v>单位：元、元/平方米（单位：人民币）</v>
      </c>
    </row>
    <row r="60" spans="1:2">
      <c r="A60" s="1703" t="s">
        <v>1171</v>
      </c>
      <c r="B60" s="1687" t="str">
        <f>'预评函-2（2）'!D2</f>
        <v>出让国有建设用地使用权价值</v>
      </c>
    </row>
    <row r="61" spans="1:2" s="1699" customFormat="1">
      <c r="A61" s="1703" t="s">
        <v>1172</v>
      </c>
      <c r="B61" s="1687" t="str">
        <f>'预评函-2（2）'!A14</f>
        <v>单位：平方米、元、元/平方米（币种：人民币）</v>
      </c>
    </row>
    <row r="62" spans="1:2" ht="28.5">
      <c r="A62" s="1703" t="s">
        <v>1256</v>
      </c>
      <c r="B62" s="1687">
        <f ca="1">'预评函-2（1）'!D38</f>
        <v>27912</v>
      </c>
    </row>
    <row r="63" spans="1:2" s="1699" customFormat="1" ht="28.5">
      <c r="A63" s="1703" t="s">
        <v>1257</v>
      </c>
      <c r="B63" s="1687" t="str">
        <f>'预评函-2（1）'!D41</f>
        <v>——</v>
      </c>
    </row>
    <row r="64" spans="1:2">
      <c r="A64" s="1703" t="s">
        <v>1180</v>
      </c>
      <c r="B64" s="1687" t="str">
        <f>'预评函-2（2）'!A6</f>
        <v>——</v>
      </c>
    </row>
    <row r="65" spans="1:2">
      <c r="A65" s="1703" t="s">
        <v>1181</v>
      </c>
      <c r="B65" s="1687" t="str">
        <f>'预评函-2（2）'!A8</f>
        <v>——</v>
      </c>
    </row>
    <row r="66" spans="1:2">
      <c r="A66" s="1703" t="s">
        <v>1182</v>
      </c>
      <c r="B66" s="1687" t="str">
        <f>'预评函-2（2）'!A10</f>
        <v>——</v>
      </c>
    </row>
    <row r="67" spans="1:2" s="1697" customFormat="1" ht="15.75" thickBot="1">
      <c r="A67" s="1704" t="s">
        <v>1183</v>
      </c>
      <c r="B67" s="1688" t="str">
        <f>'预评函-2（2）'!A12</f>
        <v>——</v>
      </c>
    </row>
    <row r="68" spans="1:2" ht="15.75" thickTop="1">
      <c r="A68" s="1706" t="s">
        <v>1184</v>
      </c>
      <c r="B68" s="1692" t="str">
        <f>'预评函-3'!A9</f>
        <v>XX</v>
      </c>
    </row>
    <row r="69" spans="1:2">
      <c r="A69" s="1700" t="s">
        <v>1255</v>
      </c>
    </row>
    <row r="70" spans="1:2">
      <c r="A70" s="1700" t="s">
        <v>1254</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948</v>
      </c>
      <c r="B8" s="1185" t="s">
        <v>947</v>
      </c>
      <c r="C8" s="1042"/>
    </row>
    <row r="9" spans="1:7">
      <c r="A9" s="1183"/>
      <c r="B9" s="1905" t="str">
        <f>项目基本情况!B1</f>
        <v>北京市房地产市场价值预评估</v>
      </c>
      <c r="C9" s="1043"/>
      <c r="D9" s="1044"/>
      <c r="E9" s="1044"/>
      <c r="F9" s="1044"/>
      <c r="G9" s="1044"/>
    </row>
    <row r="10" spans="1:7">
      <c r="A10" s="1183"/>
      <c r="B10" s="1077"/>
      <c r="C10" s="1043"/>
      <c r="D10" s="1044"/>
      <c r="E10" s="1044"/>
      <c r="F10" s="1044"/>
      <c r="G10" s="1044"/>
    </row>
    <row r="11" spans="1:7">
      <c r="A11" s="1186" t="s">
        <v>948</v>
      </c>
      <c r="B11" s="1185" t="s">
        <v>949</v>
      </c>
      <c r="C11" s="1042"/>
    </row>
    <row r="12" spans="1:7">
      <c r="A12" s="1183"/>
      <c r="B12" s="1906" t="str">
        <f>项目基本情况!B4</f>
        <v>农商行</v>
      </c>
      <c r="C12" s="1042"/>
    </row>
    <row r="13" spans="1:7">
      <c r="A13" s="1183"/>
      <c r="B13" s="1076"/>
      <c r="C13" s="1042"/>
    </row>
    <row r="14" spans="1:7">
      <c r="A14" s="1186" t="s">
        <v>948</v>
      </c>
      <c r="B14" s="1185" t="s">
        <v>950</v>
      </c>
      <c r="C14" s="1042"/>
    </row>
    <row r="15" spans="1:7">
      <c r="A15" s="1183"/>
      <c r="B15" s="1906" t="s">
        <v>779</v>
      </c>
      <c r="C15" s="1042"/>
    </row>
    <row r="16" spans="1:7">
      <c r="A16" s="1183"/>
      <c r="B16" s="1076"/>
      <c r="C16" s="1042"/>
    </row>
    <row r="17" spans="1:5">
      <c r="A17" s="1186" t="s">
        <v>948</v>
      </c>
      <c r="B17" s="1185" t="s">
        <v>951</v>
      </c>
      <c r="C17" s="1042"/>
    </row>
    <row r="18" spans="1:5" s="1046" customFormat="1">
      <c r="A18" s="1184"/>
      <c r="B18" s="1906" t="str">
        <f ca="1">CONCATENATE(项目基本情况!B3,"（注册号:",项目基本情况!C3,"）、",项目基本情况!D3,"（注册号:",项目基本情况!E3,")")</f>
        <v>欧红伟（注册号:1120000080）、崔锴（注册号:1120100036)</v>
      </c>
      <c r="C18" s="1045"/>
      <c r="E18" s="1045"/>
    </row>
    <row r="19" spans="1:5">
      <c r="A19" s="1183"/>
      <c r="B19" s="1076"/>
      <c r="C19" s="1042"/>
    </row>
    <row r="20" spans="1:5">
      <c r="A20" s="1186" t="s">
        <v>948</v>
      </c>
      <c r="B20" s="1185" t="s">
        <v>952</v>
      </c>
      <c r="C20" s="1042"/>
    </row>
    <row r="21" spans="1:5">
      <c r="A21" s="1183"/>
      <c r="B21" s="1906" t="str">
        <f>"康正预评字"&amp;项目基本情况!G1&amp;"号"</f>
        <v>康正预评字2018-1-0418-P01HDZC1号</v>
      </c>
    </row>
    <row r="22" spans="1:5">
      <c r="A22" s="1183"/>
      <c r="B22" s="843"/>
    </row>
    <row r="23" spans="1:5">
      <c r="B23" s="1075"/>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1267</v>
      </c>
      <c r="B1" s="1909"/>
      <c r="C1" s="1909"/>
      <c r="D1" s="1909"/>
      <c r="E1" s="1909"/>
      <c r="F1" s="1909"/>
      <c r="G1" s="1909"/>
    </row>
    <row r="2" spans="1:7">
      <c r="A2" s="1911"/>
    </row>
    <row r="3" spans="1:7" s="1914" customFormat="1" ht="18">
      <c r="A3" s="1912" t="str">
        <f>IF(ISNUMBER(FIND("公司",项目基本情况!B4)),项目基本情况!B4&amp;"：",项目基本情况!B4&amp;"  先生/女士：")</f>
        <v>农商行  先生/女士：</v>
      </c>
      <c r="B3" s="1913"/>
      <c r="C3" s="1913"/>
      <c r="D3" s="1913"/>
      <c r="E3" s="1913"/>
      <c r="F3" s="1913"/>
      <c r="G3" s="1913"/>
    </row>
    <row r="4" spans="1:7" ht="18">
      <c r="A4" s="1915" t="str">
        <f>IF(ISNUMBER(FIND("公司",A3)),"受贵公司委托，我公司对"&amp;项目基本情况!I1&amp;"进行了预评估。","受您的委托，我公司对"&amp;项目基本情况!I1&amp;"进行了预评估。")</f>
        <v>受您的委托，我公司对北京市房地产进行了预评估。</v>
      </c>
      <c r="B4" s="1915"/>
      <c r="C4" s="1915"/>
      <c r="D4" s="1915"/>
      <c r="E4" s="1915"/>
      <c r="F4" s="1915"/>
      <c r="G4" s="1915"/>
    </row>
    <row r="5" spans="1:7" ht="18.75">
      <c r="A5" s="1916" t="s">
        <v>1268</v>
      </c>
    </row>
    <row r="6" spans="1:7" s="1917" customFormat="1" ht="54">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估价对象为北京市房地产，为农商行所有。根据《不动产权证书》[]，估价对象建筑面积为218.48平方米，（分摊）出让国有建设用地使用权面积为0平方米。估价对象用途为办公。</v>
      </c>
      <c r="B6" s="1915"/>
      <c r="C6" s="1915"/>
      <c r="D6" s="1915"/>
      <c r="E6" s="1915"/>
      <c r="F6" s="1915"/>
      <c r="G6" s="1915"/>
    </row>
    <row r="7" spans="1:7" ht="18.75">
      <c r="A7" s="1916" t="s">
        <v>1269</v>
      </c>
    </row>
    <row r="8" spans="1:7" ht="18">
      <c r="A8" s="1918" t="str">
        <f>IF(项目基本情况!D4="抵押",IF(项目基本情况!B4=项目基本情况!B5,定义!C51,定义!B51),定义!D51)</f>
        <v>为估价委托人了解估价对象房地产市场价值提供参考依据。</v>
      </c>
      <c r="B8" s="1919"/>
      <c r="C8" s="1915"/>
      <c r="D8" s="1915"/>
      <c r="E8" s="1915"/>
      <c r="F8" s="1915"/>
      <c r="G8" s="1915"/>
    </row>
    <row r="9" spans="1:7" ht="18.75">
      <c r="A9" s="1913" t="s">
        <v>1270</v>
      </c>
      <c r="B9" s="1920"/>
    </row>
    <row r="10" spans="1:7" ht="18">
      <c r="A10" s="1921" t="str">
        <f>TEXT(项目基本情况!D2,"yyyy年m月d日;;")&amp;IF(项目基本情况!B2=项目基本情况!D2,"（评估专业人员实地查勘之日）","")</f>
        <v>2018年6月6日（评估专业人员实地查勘之日）</v>
      </c>
      <c r="B10" s="1922"/>
      <c r="C10" s="1922"/>
      <c r="D10" s="1922"/>
      <c r="E10" s="1922"/>
      <c r="F10" s="1922"/>
      <c r="G10" s="1922"/>
    </row>
    <row r="11" spans="1:7" ht="18.75">
      <c r="A11" s="1913" t="s">
        <v>1271</v>
      </c>
    </row>
    <row r="12" spans="1:7" ht="75">
      <c r="A12" s="1915" t="s">
        <v>1272</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本次估价的“房地产价值”是指在正常市场情况下，在价值时点2018年6月6日，估价对象规划用途为办公，假定未设立法定优先受偿款下的房地产市场价值。</v>
      </c>
      <c r="B13" s="1915"/>
      <c r="C13" s="1915"/>
      <c r="D13" s="1915"/>
      <c r="E13" s="1915"/>
      <c r="F13" s="1915"/>
      <c r="G13" s="1915"/>
    </row>
    <row r="14" spans="1:7" ht="18">
      <c r="A14" s="1918" t="str">
        <f>IF(项目基本情况!D5="房地产市场价值","——",IF(项目基本情况!F5="房地产抵押价值",定义!C54,IF(项目基本情况!F5="已注销",定义!C55,定义!C56)))</f>
        <v>——</v>
      </c>
      <c r="B14" s="1923"/>
      <c r="C14" s="1923"/>
      <c r="D14" s="1923"/>
      <c r="E14" s="1923"/>
      <c r="F14" s="1923"/>
      <c r="G14" s="1923"/>
    </row>
    <row r="15" spans="1:7" ht="56.25">
      <c r="A15" s="1915" t="s">
        <v>1266</v>
      </c>
      <c r="B15" s="1915"/>
      <c r="C15" s="1915"/>
      <c r="D15" s="1915"/>
      <c r="E15" s="1915"/>
      <c r="F15" s="1915"/>
      <c r="G15" s="1915"/>
    </row>
    <row r="16" spans="1:7" ht="18">
      <c r="A16" s="1919" t="str">
        <f>IF(项目基本情况!D5="房地产市场价值","——",IF(项目基本情况!G5="——","",定义!C57))</f>
        <v>——</v>
      </c>
      <c r="B16" s="1923"/>
      <c r="C16" s="1923"/>
      <c r="D16" s="1923"/>
      <c r="E16" s="1923"/>
      <c r="F16" s="1923"/>
      <c r="G16" s="1923"/>
    </row>
    <row r="17" spans="1:1" ht="18.75">
      <c r="A17" s="1913" t="s">
        <v>1265</v>
      </c>
    </row>
    <row r="18" spans="1:1" ht="18">
      <c r="A18" s="1924"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782</v>
      </c>
      <c r="B1" s="1925"/>
      <c r="C1" s="1925"/>
      <c r="D1" s="1925"/>
      <c r="E1" s="1925"/>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9"/>
      <c r="C2" s="2769"/>
      <c r="D2" s="2769"/>
      <c r="E2" s="2769"/>
    </row>
    <row r="3" spans="1:5" ht="13.5" customHeight="1">
      <c r="A3" s="1928"/>
      <c r="B3" s="1928"/>
      <c r="C3" s="1928"/>
      <c r="D3" s="1928"/>
      <c r="E3" s="1928"/>
    </row>
    <row r="4" spans="1:5" ht="19.5" thickBot="1">
      <c r="A4" s="2770" t="str">
        <f>IF(项目基本情况!D5="房地产市场价值","估价结果一览表（市场价值不需本页表格)","估价结果一览表")</f>
        <v>估价结果一览表（市场价值不需本页表格)</v>
      </c>
      <c r="B4" s="2770"/>
      <c r="C4" s="2770"/>
      <c r="D4" s="2770"/>
      <c r="E4" s="2770"/>
    </row>
    <row r="5" spans="1:5" ht="14.25" customHeight="1" thickTop="1">
      <c r="A5" s="1925"/>
      <c r="B5" s="1929" t="s">
        <v>742</v>
      </c>
      <c r="C5" s="2771" t="s">
        <v>783</v>
      </c>
      <c r="D5" s="2772"/>
      <c r="E5" s="1925"/>
    </row>
    <row r="6" spans="1:5" ht="14.25">
      <c r="A6" s="1925"/>
      <c r="B6" s="1930" t="str">
        <f>项目基本情况!I1</f>
        <v>北京市房地产</v>
      </c>
      <c r="C6" s="2773">
        <f>项目基本情况!C12</f>
        <v>218.48</v>
      </c>
      <c r="D6" s="2773"/>
      <c r="E6" s="1925"/>
    </row>
    <row r="7" spans="1:5" ht="14.25">
      <c r="A7" s="1925"/>
      <c r="B7" s="2767" t="s">
        <v>784</v>
      </c>
      <c r="C7" s="1931" t="str">
        <f>IF('数据-取费表'!B3="万元","总价（万元）","总价（元）")</f>
        <v>总价（元）</v>
      </c>
      <c r="D7" s="1932">
        <f ca="1">IF('数据-取费表'!E3="否",结果表!I102,'结果表 (1修多)'!I103)</f>
        <v>6098306</v>
      </c>
      <c r="E7" s="1925"/>
    </row>
    <row r="8" spans="1:5" ht="28.5">
      <c r="A8" s="1925"/>
      <c r="B8" s="2767"/>
      <c r="C8" s="1933" t="s">
        <v>1175</v>
      </c>
      <c r="D8" s="1934" t="str">
        <f ca="1">IF('数据-取费表'!B3="万元",NUMBERSTRING(INT(D7*10000),2)&amp;"元整",NUMBERSTRING(INT(D7),2)&amp;"元整")</f>
        <v>陆佰零玖万捌仟叁佰零陆元整</v>
      </c>
      <c r="E8" s="1925"/>
    </row>
    <row r="9" spans="1:5" ht="14.25">
      <c r="A9" s="1925"/>
      <c r="B9" s="2767"/>
      <c r="C9" s="1935" t="s">
        <v>1273</v>
      </c>
      <c r="D9" s="1932">
        <f ca="1">IF('数据-取费表'!E3="否",结果表!I103,'结果表 (1修多)'!I104)</f>
        <v>27912</v>
      </c>
      <c r="E9" s="1925"/>
    </row>
    <row r="10" spans="1:5" ht="14.25">
      <c r="A10" s="1925"/>
      <c r="B10" s="2774" t="str">
        <f>IF('数据-取费表'!E3="否",结果表!F105,'结果表 (1修多)'!F106)</f>
        <v>2.估价师所知悉的法定优先受偿款</v>
      </c>
      <c r="C10" s="1936" t="str">
        <f>IF('数据-取费表'!B3="万元","总额（万元）","总额（元）")</f>
        <v>总额（元）</v>
      </c>
      <c r="D10" s="1932">
        <f>IF('数据-取费表'!E3="否",结果表!I105,'结果表 (1修多)'!I106)</f>
        <v>0</v>
      </c>
      <c r="E10" s="1925"/>
    </row>
    <row r="11" spans="1:5" ht="14.25">
      <c r="A11" s="1925"/>
      <c r="B11" s="2774"/>
      <c r="C11" s="1933" t="s">
        <v>1175</v>
      </c>
      <c r="D11" s="1934" t="str">
        <f>IF('数据-取费表'!B3="万元",NUMBERSTRING(INT(D10*10000),2)&amp;"元整",NUMBERSTRING(INT(D10),2)&amp;"元整")</f>
        <v>零元整</v>
      </c>
      <c r="E11" s="1925"/>
    </row>
    <row r="12" spans="1:5" ht="14.25">
      <c r="A12" s="1925"/>
      <c r="B12" s="1937" t="s">
        <v>743</v>
      </c>
      <c r="C12" s="1938" t="str">
        <f>C10</f>
        <v>总额（元）</v>
      </c>
      <c r="D12" s="1939">
        <f>IF('数据-取费表'!E3="否",结果表!I106,'结果表 (1修多)'!I107)</f>
        <v>0</v>
      </c>
      <c r="E12" s="1925"/>
    </row>
    <row r="13" spans="1:5" ht="14.25">
      <c r="A13" s="1925"/>
      <c r="B13" s="1937" t="s">
        <v>744</v>
      </c>
      <c r="C13" s="1938" t="str">
        <f>C10</f>
        <v>总额（元）</v>
      </c>
      <c r="D13" s="1939">
        <f>IF('数据-取费表'!E3="否",结果表!I107,'结果表 (1修多)'!I108)</f>
        <v>0</v>
      </c>
      <c r="E13" s="1925"/>
    </row>
    <row r="14" spans="1:5" ht="14.25">
      <c r="A14" s="1925"/>
      <c r="B14" s="1937" t="s">
        <v>745</v>
      </c>
      <c r="C14" s="1938" t="str">
        <f>C10</f>
        <v>总额（元）</v>
      </c>
      <c r="D14" s="1939">
        <f>IF('数据-取费表'!E3="否",结果表!I108,'结果表 (1修多)'!I109)</f>
        <v>0</v>
      </c>
      <c r="E14" s="1925"/>
    </row>
    <row r="15" spans="1:5" ht="14.25">
      <c r="A15" s="1925"/>
      <c r="B15" s="2774" t="str">
        <f>IF('数据-取费表'!E3="否",结果表!F110,'结果表 (1修多)'!F111)</f>
        <v>3.房地产抵押价值</v>
      </c>
      <c r="C15" s="1926" t="str">
        <f>C7</f>
        <v>总价（元）</v>
      </c>
      <c r="D15" s="1932">
        <f ca="1">IF('数据-取费表'!E3="否",结果表!I110,'结果表 (1修多)'!I111)</f>
        <v>6098306</v>
      </c>
      <c r="E15" s="1925"/>
    </row>
    <row r="16" spans="1:5" ht="28.5">
      <c r="A16" s="1925"/>
      <c r="B16" s="2774"/>
      <c r="C16" s="1933" t="s">
        <v>1175</v>
      </c>
      <c r="D16" s="1932" t="str">
        <f ca="1">IF('数据-取费表'!B3="万元",NUMBERSTRING(INT(D15*10000),2)&amp;"元整",NUMBERSTRING(INT(D15),2)&amp;"元整")</f>
        <v>陆佰零玖万捌仟叁佰零陆元整</v>
      </c>
      <c r="E16" s="1925"/>
    </row>
    <row r="17" spans="1:5" ht="14.25">
      <c r="A17" s="1925"/>
      <c r="B17" s="2774"/>
      <c r="C17" s="1935" t="s">
        <v>1273</v>
      </c>
      <c r="D17" s="1932">
        <f ca="1">IF('数据-取费表'!E3="否",结果表!I111,'结果表 (1修多)'!I112)</f>
        <v>27912</v>
      </c>
      <c r="E17" s="1925"/>
    </row>
    <row r="18" spans="1:5" ht="14.25">
      <c r="A18" s="1925"/>
      <c r="B18" s="2774" t="str">
        <f>IF('数据-取费表'!E3="否",结果表!F112,'结果表 (1修多)'!F113)</f>
        <v>——</v>
      </c>
      <c r="C18" s="1926" t="str">
        <f>C7</f>
        <v>总价（元）</v>
      </c>
      <c r="D18" s="1932" t="str">
        <f>IF('数据-取费表'!E3="否",结果表!I112,'结果表 (1修多)'!I113)</f>
        <v>——</v>
      </c>
      <c r="E18" s="1925"/>
    </row>
    <row r="19" spans="1:5" ht="14.25">
      <c r="A19" s="1925"/>
      <c r="B19" s="2774"/>
      <c r="C19" s="1933" t="s">
        <v>1175</v>
      </c>
      <c r="D19" s="1932" t="e">
        <f>IF('数据-取费表'!B3="万元",NUMBERSTRING(INT(D18*10000),2)&amp;"元整",NUMBERSTRING(INT(D18),2)&amp;"元整")</f>
        <v>#VALUE!</v>
      </c>
      <c r="E19" s="1925"/>
    </row>
    <row r="20" spans="1:5" ht="14.25">
      <c r="A20" s="1925"/>
      <c r="B20" s="2774"/>
      <c r="C20" s="1935" t="s">
        <v>1273</v>
      </c>
      <c r="D20" s="1932" t="str">
        <f>IF('数据-取费表'!E3="否",结果表!I113,'结果表 (1修多)'!I114)</f>
        <v>——</v>
      </c>
      <c r="E20" s="1925"/>
    </row>
    <row r="21" spans="1:5" ht="14.25">
      <c r="A21" s="1925"/>
      <c r="B21" s="2767" t="str">
        <f>IF('数据-取费表'!E3="否",结果表!F114,'结果表 (1修多)'!F115)</f>
        <v>——</v>
      </c>
      <c r="C21" s="1931" t="str">
        <f>C7</f>
        <v>总价（元）</v>
      </c>
      <c r="D21" s="1932" t="str">
        <f>IF('数据-取费表'!E3="否",结果表!I114,'结果表 (1修多)'!I115)</f>
        <v>——</v>
      </c>
      <c r="E21" s="1925"/>
    </row>
    <row r="22" spans="1:5" ht="14.25">
      <c r="A22" s="1925"/>
      <c r="B22" s="2767"/>
      <c r="C22" s="1933" t="s">
        <v>1175</v>
      </c>
      <c r="D22" s="1934" t="e">
        <f>IF('数据-取费表'!B3="万元",NUMBERSTRING(INT(D21*10000),2)&amp;"元整",NUMBERSTRING(INT(D21),2)&amp;"元整")</f>
        <v>#VALUE!</v>
      </c>
      <c r="E22" s="1925"/>
    </row>
    <row r="23" spans="1:5" ht="15" thickBot="1">
      <c r="A23" s="1925"/>
      <c r="B23" s="2768"/>
      <c r="C23" s="1940" t="s">
        <v>1273</v>
      </c>
      <c r="D23" s="1941" t="str">
        <f ca="1">IF('数据-取费表'!E3="否",结果表!I115,'结果表 (1修多)'!I116)</f>
        <v>——</v>
      </c>
      <c r="E23" s="1925"/>
    </row>
    <row r="24" spans="1:5" ht="14.25" thickTop="1">
      <c r="A24" s="1925"/>
      <c r="B24" s="1925"/>
      <c r="C24" s="1925"/>
      <c r="D24" s="1925"/>
      <c r="E24" s="1925"/>
    </row>
    <row r="25" spans="1:5" ht="18.75" customHeight="1" thickBot="1">
      <c r="A25" s="1925"/>
      <c r="B25" s="2759" t="s">
        <v>1274</v>
      </c>
      <c r="C25" s="2759"/>
      <c r="D25" s="2759"/>
      <c r="E25" s="1925"/>
    </row>
    <row r="26" spans="1:5" ht="18.75" customHeight="1" thickTop="1">
      <c r="A26" s="1925"/>
      <c r="B26" s="2762" t="s">
        <v>1174</v>
      </c>
      <c r="C26" s="2763"/>
      <c r="D26" s="2760" t="s">
        <v>1173</v>
      </c>
      <c r="E26" s="1925"/>
    </row>
    <row r="27" spans="1:5" ht="18.75" customHeight="1">
      <c r="A27" s="1925"/>
      <c r="B27" s="2764"/>
      <c r="C27" s="2765"/>
      <c r="D27" s="2761"/>
      <c r="E27" s="1925"/>
    </row>
    <row r="28" spans="1:5" ht="14.25">
      <c r="A28" s="1925"/>
      <c r="B28" s="2752" t="s">
        <v>784</v>
      </c>
      <c r="C28" s="1942" t="s">
        <v>1176</v>
      </c>
      <c r="D28" s="1943">
        <f ca="1">IF('数据-取费表'!E3="否",结果表!I102,'结果表 (1修多)'!I103)</f>
        <v>6098306</v>
      </c>
      <c r="E28" s="1925"/>
    </row>
    <row r="29" spans="1:5" ht="28.5">
      <c r="A29" s="1925"/>
      <c r="B29" s="2753"/>
      <c r="C29" s="1944" t="s">
        <v>1175</v>
      </c>
      <c r="D29" s="1945" t="str">
        <f ca="1">IF('数据-取费表'!B3="万元",NUMBERSTRING(INT(D28*10000),2)&amp;"元整",NUMBERSTRING(INT(D28),2)&amp;"元整")</f>
        <v>陆佰零玖万捌仟叁佰零陆元整</v>
      </c>
      <c r="E29" s="1925"/>
    </row>
    <row r="30" spans="1:5" ht="14.25">
      <c r="A30" s="1925"/>
      <c r="B30" s="2754"/>
      <c r="C30" s="1935" t="s">
        <v>1178</v>
      </c>
      <c r="D30" s="1946">
        <f ca="1">IF('数据-取费表'!E3="否",结果表!I103,'结果表 (1修多)'!I104)</f>
        <v>27912</v>
      </c>
      <c r="E30" s="1925"/>
    </row>
    <row r="31" spans="1:5" ht="14.25">
      <c r="A31" s="1925"/>
      <c r="B31" s="2757" t="str">
        <f>B10</f>
        <v>2.估价师所知悉的法定优先受偿款</v>
      </c>
      <c r="C31" s="1947" t="s">
        <v>1177</v>
      </c>
      <c r="D31" s="1948">
        <f>IF('数据-取费表'!E3="否",结果表!I105,'结果表 (1修多)'!I106)</f>
        <v>0</v>
      </c>
      <c r="E31" s="1925"/>
    </row>
    <row r="32" spans="1:5" ht="14.25">
      <c r="A32" s="1925"/>
      <c r="B32" s="2766"/>
      <c r="C32" s="1944" t="s">
        <v>1175</v>
      </c>
      <c r="D32" s="1949" t="str">
        <f>IF('数据-取费表'!B3="万元",NUMBERSTRING(INT(D31*10000),2)&amp;"元整",NUMBERSTRING(INT(D31),2)&amp;"元整")</f>
        <v>零元整</v>
      </c>
      <c r="E32" s="1925"/>
    </row>
    <row r="33" spans="1:5" ht="14.25">
      <c r="A33" s="1925"/>
      <c r="B33" s="1933" t="s">
        <v>1158</v>
      </c>
      <c r="C33" s="1933" t="str">
        <f>C31</f>
        <v>总额</v>
      </c>
      <c r="D33" s="1946">
        <f>IF('数据-取费表'!E3="否",结果表!I106,'结果表 (1修多)'!I107)</f>
        <v>0</v>
      </c>
      <c r="E33" s="1925"/>
    </row>
    <row r="34" spans="1:5" ht="14.25">
      <c r="A34" s="1925"/>
      <c r="B34" s="1933" t="s">
        <v>1159</v>
      </c>
      <c r="C34" s="1933" t="str">
        <f>C31</f>
        <v>总额</v>
      </c>
      <c r="D34" s="1946">
        <f>IF('数据-取费表'!E3="否",结果表!I107,'结果表 (1修多)'!I108)</f>
        <v>0</v>
      </c>
      <c r="E34" s="1925"/>
    </row>
    <row r="35" spans="1:5" ht="14.25">
      <c r="A35" s="1925"/>
      <c r="B35" s="1933" t="s">
        <v>1160</v>
      </c>
      <c r="C35" s="1933" t="str">
        <f>C31</f>
        <v>总额</v>
      </c>
      <c r="D35" s="1946">
        <f>IF('数据-取费表'!E3="否",结果表!I108,'结果表 (1修多)'!I109)</f>
        <v>0</v>
      </c>
      <c r="E35" s="1925"/>
    </row>
    <row r="36" spans="1:5" ht="14.25">
      <c r="A36" s="1925"/>
      <c r="B36" s="2755" t="str">
        <f>B15</f>
        <v>3.房地产抵押价值</v>
      </c>
      <c r="C36" s="1947" t="str">
        <f>C28</f>
        <v>总价</v>
      </c>
      <c r="D36" s="1948">
        <f ca="1">IF('数据-取费表'!E3="否",结果表!I110,'结果表 (1修多)'!I111)</f>
        <v>6098306</v>
      </c>
      <c r="E36" s="1925"/>
    </row>
    <row r="37" spans="1:5" ht="28.5">
      <c r="A37" s="1925"/>
      <c r="B37" s="2755"/>
      <c r="C37" s="1944" t="s">
        <v>1175</v>
      </c>
      <c r="D37" s="1949" t="str">
        <f ca="1">IF('数据-取费表'!B3="万元",NUMBERSTRING(INT(D36*10000),2)&amp;"元整",NUMBERSTRING(INT(D36),2)&amp;"元整")</f>
        <v>陆佰零玖万捌仟叁佰零陆元整</v>
      </c>
      <c r="E37" s="1925"/>
    </row>
    <row r="38" spans="1:5" ht="14.25">
      <c r="A38" s="1925"/>
      <c r="B38" s="2755"/>
      <c r="C38" s="1935" t="s">
        <v>1179</v>
      </c>
      <c r="D38" s="1946">
        <f ca="1">IF('数据-取费表'!E3="否",结果表!D113,'结果表 (1修多)'!D116)</f>
        <v>27912</v>
      </c>
      <c r="E38" s="1925"/>
    </row>
    <row r="39" spans="1:5" ht="14.25">
      <c r="A39" s="1925"/>
      <c r="B39" s="2756" t="str">
        <f>B18</f>
        <v>——</v>
      </c>
      <c r="C39" s="1947" t="str">
        <f>C28</f>
        <v>总价</v>
      </c>
      <c r="D39" s="1948" t="str">
        <f>IF('数据-取费表'!E3="否",结果表!I112,'结果表 (1修多)'!I113)</f>
        <v>——</v>
      </c>
      <c r="E39" s="1925"/>
    </row>
    <row r="40" spans="1:5" ht="14.25">
      <c r="A40" s="1925"/>
      <c r="B40" s="2756"/>
      <c r="C40" s="1944" t="s">
        <v>1175</v>
      </c>
      <c r="D40" s="1949" t="e">
        <f>IF('数据-取费表'!B3="万元",NUMBERSTRING(INT(D39*10000),2)&amp;"元整",NUMBERSTRING(INT(D39),2)&amp;"元整")</f>
        <v>#VALUE!</v>
      </c>
      <c r="E40" s="1925"/>
    </row>
    <row r="41" spans="1:5" ht="14.25">
      <c r="A41" s="1925"/>
      <c r="B41" s="2756"/>
      <c r="C41" s="1935" t="s">
        <v>1179</v>
      </c>
      <c r="D41" s="1946" t="str">
        <f>IF('数据-取费表'!E3="否",结果表!D115,'结果表 (1修多)'!D118)</f>
        <v>——</v>
      </c>
      <c r="E41" s="1925"/>
    </row>
    <row r="42" spans="1:5" ht="14.25">
      <c r="A42" s="1925"/>
      <c r="B42" s="2755" t="str">
        <f>B21</f>
        <v>——</v>
      </c>
      <c r="C42" s="1947" t="str">
        <f>C28</f>
        <v>总价</v>
      </c>
      <c r="D42" s="1948" t="str">
        <f>IF('数据-取费表'!E3="否",结果表!I114,'结果表 (1修多)'!I115)</f>
        <v>——</v>
      </c>
      <c r="E42" s="1925"/>
    </row>
    <row r="43" spans="1:5" ht="14.25">
      <c r="A43" s="1925"/>
      <c r="B43" s="2757"/>
      <c r="C43" s="1944" t="s">
        <v>1175</v>
      </c>
      <c r="D43" s="1950" t="e">
        <f>IF('数据-取费表'!B3="万元",NUMBERSTRING(INT(D42*10000),2)&amp;"元整",NUMBERSTRING(INT(D42),2)&amp;"元整")</f>
        <v>#VALUE!</v>
      </c>
      <c r="E43" s="1925"/>
    </row>
    <row r="44" spans="1:5" ht="15" thickBot="1">
      <c r="A44" s="1925"/>
      <c r="B44" s="2758"/>
      <c r="C44" s="1940" t="s">
        <v>1179</v>
      </c>
      <c r="D44" s="1951" t="str">
        <f ca="1">IF('数据-取费表'!E3="否",结果表!D117,'结果表 (1修多)'!D120)</f>
        <v>——</v>
      </c>
      <c r="E44" s="1925"/>
    </row>
    <row r="45" spans="1:5" ht="14.25" thickTop="1">
      <c r="A45" s="1925"/>
      <c r="B45" s="1925" t="str">
        <f>IF('数据-取费表'!B3="元","单位：元、元/平方米（单位：人民币）","单位：万元、元/平方米（单位：人民币）")</f>
        <v>单位：元、元/平方米（单位：人民币）</v>
      </c>
      <c r="C45" s="1925"/>
      <c r="D45" s="1925"/>
      <c r="E45" s="1925"/>
    </row>
    <row r="46" spans="1:5" ht="18.75">
      <c r="B46" s="1952"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0" customWidth="1"/>
    <col min="2" max="9" width="12.25" style="1910" customWidth="1"/>
    <col min="10" max="16384" width="9" style="1910"/>
  </cols>
  <sheetData>
    <row r="1" spans="1:9" ht="16.5" thickBot="1">
      <c r="A1" s="2781" t="str">
        <f>IF(项目基本情况!D5="房地产市场价值","估价结果一览表","结果表-2")</f>
        <v>估价结果一览表</v>
      </c>
      <c r="B1" s="2781"/>
      <c r="C1" s="2781"/>
      <c r="D1" s="2781"/>
      <c r="E1" s="2781"/>
      <c r="F1" s="2781"/>
      <c r="G1" s="2781"/>
      <c r="H1" s="2781"/>
      <c r="I1" s="2781"/>
    </row>
    <row r="2" spans="1:9" ht="30" customHeight="1" thickTop="1">
      <c r="A2" s="2782" t="s">
        <v>1275</v>
      </c>
      <c r="B2" s="2782" t="s">
        <v>1276</v>
      </c>
      <c r="C2" s="2782" t="s">
        <v>1277</v>
      </c>
      <c r="D2" s="2782" t="str">
        <f>IF('数据-取费表'!E3="否",结果表!D119,'结果表 (1修多)'!D122)</f>
        <v>出让国有建设用地使用权价值</v>
      </c>
      <c r="E2" s="2782"/>
      <c r="F2" s="2782" t="s">
        <v>1278</v>
      </c>
      <c r="G2" s="2782"/>
      <c r="H2" s="2782" t="s">
        <v>1279</v>
      </c>
      <c r="I2" s="2782"/>
    </row>
    <row r="3" spans="1:9" ht="15">
      <c r="A3" s="2775"/>
      <c r="B3" s="2775"/>
      <c r="C3" s="2775"/>
      <c r="D3" s="1048" t="s">
        <v>1280</v>
      </c>
      <c r="E3" s="1048" t="s">
        <v>1281</v>
      </c>
      <c r="F3" s="1048" t="s">
        <v>1280</v>
      </c>
      <c r="G3" s="1048" t="s">
        <v>1282</v>
      </c>
      <c r="H3" s="1048" t="s">
        <v>1280</v>
      </c>
      <c r="I3" s="1048" t="s">
        <v>1282</v>
      </c>
    </row>
    <row r="4" spans="1:9" ht="46.5" customHeight="1">
      <c r="A4" s="1048" t="str">
        <f>项目基本情况!I1</f>
        <v>北京市房地产</v>
      </c>
      <c r="B4" s="1048">
        <f>结果表!B121</f>
        <v>218.48</v>
      </c>
      <c r="C4" s="1048">
        <f>结果表!C121</f>
        <v>0</v>
      </c>
      <c r="D4" s="1048">
        <f ca="1">IF('数据-取费表'!E3="否",结果表!D121,'结果表 (1修多)'!D124)</f>
        <v>5348214</v>
      </c>
      <c r="E4" s="1048">
        <f ca="1">IF('数据-取费表'!E3="否",结果表!E121,'结果表 (1修多)'!E124)</f>
        <v>24479</v>
      </c>
      <c r="F4" s="1048">
        <f ca="1">IF('数据-取费表'!E3="否",结果表!F121,'结果表 (1修多)'!F124)</f>
        <v>750092</v>
      </c>
      <c r="G4" s="1048">
        <f ca="1">IF('数据-取费表'!E3="否",结果表!G121,'结果表 (1修多)'!G124)</f>
        <v>3433</v>
      </c>
      <c r="H4" s="1048">
        <f ca="1">IF('数据-取费表'!E3="否",结果表!H121,'结果表 (1修多)'!H124)</f>
        <v>6098306</v>
      </c>
      <c r="I4" s="1048">
        <f ca="1">IF('数据-取费表'!E3="否",结果表!I121,'结果表 (1修多)'!I124)</f>
        <v>27912</v>
      </c>
    </row>
    <row r="5" spans="1:9" ht="15">
      <c r="A5" s="2775" t="s">
        <v>1283</v>
      </c>
      <c r="B5" s="2775"/>
      <c r="C5" s="2775"/>
      <c r="D5" s="2776" t="str">
        <f ca="1">IF('数据-取费表'!E3="否",结果表!D122,'结果表 (1修多)'!D125)</f>
        <v>伍佰叁拾肆万捌仟贰佰壹拾肆元整</v>
      </c>
      <c r="E5" s="2776"/>
      <c r="F5" s="2776" t="str">
        <f ca="1">IF('数据-取费表'!E3="否",结果表!F122,'结果表 (1修多)'!F125)</f>
        <v>柒拾伍万零玖拾贰元整</v>
      </c>
      <c r="G5" s="2776"/>
      <c r="H5" s="2776" t="str">
        <f ca="1">IF('数据-取费表'!E3="否",结果表!H122,'结果表 (1修多)'!H125)</f>
        <v>陆佰零玖万捌仟叁佰零陆元整</v>
      </c>
      <c r="I5" s="2776"/>
    </row>
    <row r="6" spans="1:9" ht="15.75">
      <c r="A6" s="2777" t="str">
        <f>IF('数据-取费表'!E3="否",结果表!A123,'结果表 (1修多)'!A126)</f>
        <v>——</v>
      </c>
      <c r="B6" s="2777"/>
      <c r="C6" s="2777"/>
      <c r="D6" s="2777">
        <f>IF('数据-取费表'!E3="否",结果表!D123,'结果表 (1修多)'!D126)</f>
        <v>0</v>
      </c>
      <c r="E6" s="2777"/>
      <c r="F6" s="2777"/>
      <c r="G6" s="2777"/>
      <c r="H6" s="2777"/>
      <c r="I6" s="2777"/>
    </row>
    <row r="7" spans="1:9" ht="15">
      <c r="A7" s="2775" t="s">
        <v>1283</v>
      </c>
      <c r="B7" s="2775"/>
      <c r="C7" s="2775"/>
      <c r="D7" s="2783">
        <f>IF('数据-取费表'!E3="否",结果表!D124,'结果表 (1修多)'!D127)</f>
        <v>0</v>
      </c>
      <c r="E7" s="2784"/>
      <c r="F7" s="2784"/>
      <c r="G7" s="2784"/>
      <c r="H7" s="2784"/>
      <c r="I7" s="2785"/>
    </row>
    <row r="8" spans="1:9" ht="15.75">
      <c r="A8" s="2777" t="str">
        <f>IF('数据-取费表'!E3="否",结果表!A125,'结果表 (1修多)'!A128)</f>
        <v>——</v>
      </c>
      <c r="B8" s="2777"/>
      <c r="C8" s="2777"/>
      <c r="D8" s="2777">
        <f ca="1">IF('数据-取费表'!E3="否",结果表!D125,'结果表 (1修多)'!D128)</f>
        <v>6098306</v>
      </c>
      <c r="E8" s="2777"/>
      <c r="F8" s="2777"/>
      <c r="G8" s="2777"/>
      <c r="H8" s="2777"/>
      <c r="I8" s="2777"/>
    </row>
    <row r="9" spans="1:9" ht="15">
      <c r="A9" s="2775" t="s">
        <v>1283</v>
      </c>
      <c r="B9" s="2775"/>
      <c r="C9" s="2775"/>
      <c r="D9" s="2776">
        <f ca="1">IF('数据-取费表'!E3="否",结果表!D126,'结果表 (1修多)'!D129)</f>
        <v>27912</v>
      </c>
      <c r="E9" s="2776"/>
      <c r="F9" s="2776"/>
      <c r="G9" s="2776"/>
      <c r="H9" s="2776"/>
      <c r="I9" s="2776"/>
    </row>
    <row r="10" spans="1:9" ht="15.75">
      <c r="A10" s="2777" t="str">
        <f>IF('数据-取费表'!E3="否",结果表!A127,'结果表 (1修多)'!A130)</f>
        <v>——</v>
      </c>
      <c r="B10" s="2777"/>
      <c r="C10" s="2777"/>
      <c r="D10" s="2777" t="str">
        <f>IF('数据-取费表'!E3="否",结果表!D127,'结果表 (1修多)'!D129)</f>
        <v>——</v>
      </c>
      <c r="E10" s="2777"/>
      <c r="F10" s="2777"/>
      <c r="G10" s="2777"/>
      <c r="H10" s="2777"/>
      <c r="I10" s="2777"/>
    </row>
    <row r="11" spans="1:9" ht="15">
      <c r="A11" s="2775" t="s">
        <v>1283</v>
      </c>
      <c r="B11" s="2775"/>
      <c r="C11" s="2775"/>
      <c r="D11" s="2776" t="str">
        <f>IF('数据-取费表'!E3="否",结果表!D128,'结果表 (1修多)'!D131)</f>
        <v>——</v>
      </c>
      <c r="E11" s="2776"/>
      <c r="F11" s="2776"/>
      <c r="G11" s="2776"/>
      <c r="H11" s="2776"/>
      <c r="I11" s="2776"/>
    </row>
    <row r="12" spans="1:9" ht="15.75">
      <c r="A12" s="2777" t="str">
        <f>IF('数据-取费表'!E3="否",结果表!A129,'结果表 (1修多)'!A132)</f>
        <v>——</v>
      </c>
      <c r="B12" s="2777"/>
      <c r="C12" s="2777"/>
      <c r="D12" s="2777" t="str">
        <f>IF('数据-取费表'!E3="否",结果表!D129,'结果表 (1修多)'!D132)</f>
        <v>——</v>
      </c>
      <c r="E12" s="2777"/>
      <c r="F12" s="2777"/>
      <c r="G12" s="2777"/>
      <c r="H12" s="2777"/>
      <c r="I12" s="2777"/>
    </row>
    <row r="13" spans="1:9" ht="15.75" thickBot="1">
      <c r="A13" s="2778" t="s">
        <v>1283</v>
      </c>
      <c r="B13" s="2778"/>
      <c r="C13" s="2778"/>
      <c r="D13" s="2779">
        <f>IF('数据-取费表'!E3="否",结果表!D130,'结果表 (1修多)'!D133)</f>
        <v>0</v>
      </c>
      <c r="E13" s="2779"/>
      <c r="F13" s="2779"/>
      <c r="G13" s="2779"/>
      <c r="H13" s="2779"/>
      <c r="I13" s="2779"/>
    </row>
    <row r="14" spans="1:9" ht="15" thickTop="1">
      <c r="A14" s="2780" t="str">
        <f>IF('数据-取费表'!E3="否",结果表!A131,'结果表 (1修多)'!A134)</f>
        <v>单位：平方米、元、元/平方米（币种：人民币）</v>
      </c>
      <c r="B14" s="2780"/>
      <c r="C14" s="2780"/>
      <c r="D14" s="2780"/>
      <c r="E14" s="2780"/>
      <c r="F14" s="2780"/>
      <c r="G14" s="2780"/>
      <c r="H14" s="2780"/>
      <c r="I14" s="2780"/>
    </row>
    <row r="15" spans="1:9">
      <c r="A15" s="715"/>
      <c r="B15" s="715"/>
      <c r="C15" s="715"/>
      <c r="D15" s="715"/>
      <c r="E15" s="715"/>
      <c r="F15" s="715"/>
      <c r="G15" s="715"/>
      <c r="H15" s="715"/>
      <c r="I15" s="715"/>
    </row>
    <row r="16" spans="1:9" ht="18.75">
      <c r="A16" s="1953"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787" t="s">
        <v>1297</v>
      </c>
      <c r="B1" s="2787"/>
      <c r="C1" s="2787"/>
      <c r="D1" s="2787"/>
    </row>
    <row r="2" spans="1:4" ht="18">
      <c r="A2" s="2786" t="s">
        <v>1285</v>
      </c>
      <c r="B2" s="2786"/>
      <c r="C2" s="2786"/>
      <c r="D2" s="2786"/>
    </row>
    <row r="3" spans="1:4" ht="18.75">
      <c r="A3" s="1954" t="s">
        <v>1286</v>
      </c>
      <c r="B3" s="1954" t="s">
        <v>1287</v>
      </c>
      <c r="C3" s="1954" t="s">
        <v>1288</v>
      </c>
      <c r="D3" s="1954" t="s">
        <v>1289</v>
      </c>
    </row>
    <row r="4" spans="1:4" ht="56.25" customHeight="1">
      <c r="A4" s="1955" t="str">
        <f>项目基本情况!B3</f>
        <v>欧红伟</v>
      </c>
      <c r="B4" s="1956">
        <f ca="1">项目基本情况!C3</f>
        <v>1120000080</v>
      </c>
      <c r="C4" s="1957"/>
      <c r="D4" s="1958" t="s">
        <v>1298</v>
      </c>
    </row>
    <row r="5" spans="1:4" ht="56.25" customHeight="1">
      <c r="A5" s="1955" t="str">
        <f>项目基本情况!D3</f>
        <v>崔锴</v>
      </c>
      <c r="B5" s="1956">
        <f ca="1">项目基本情况!E3</f>
        <v>1120100036</v>
      </c>
      <c r="C5" s="1959"/>
      <c r="D5" s="1958" t="s">
        <v>1298</v>
      </c>
    </row>
    <row r="6" spans="1:4" ht="12" customHeight="1">
      <c r="A6" s="1955"/>
      <c r="B6" s="1956"/>
      <c r="C6" s="1960"/>
      <c r="D6" s="1958"/>
    </row>
    <row r="7" spans="1:4" ht="18">
      <c r="A7" s="2786" t="s">
        <v>1290</v>
      </c>
      <c r="B7" s="2786"/>
      <c r="C7" s="2786"/>
      <c r="D7" s="2786"/>
    </row>
    <row r="8" spans="1:4" ht="18.75">
      <c r="A8" s="1954" t="s">
        <v>1286</v>
      </c>
      <c r="B8" s="1956" t="s">
        <v>1291</v>
      </c>
      <c r="C8" s="1954" t="s">
        <v>1288</v>
      </c>
      <c r="D8" s="1954" t="s">
        <v>1289</v>
      </c>
    </row>
    <row r="9" spans="1:4" ht="56.25" customHeight="1">
      <c r="A9" s="1961" t="s">
        <v>785</v>
      </c>
      <c r="B9" s="1961" t="s">
        <v>786</v>
      </c>
      <c r="C9" s="1957"/>
      <c r="D9" s="1958" t="s">
        <v>1298</v>
      </c>
    </row>
    <row r="11" spans="1:4" ht="18.75">
      <c r="A11" s="1962" t="s">
        <v>1292</v>
      </c>
    </row>
    <row r="12" spans="1:4" ht="30" customHeight="1">
      <c r="A12" s="2788" t="s">
        <v>1299</v>
      </c>
      <c r="B12" s="2789"/>
      <c r="C12" s="2789"/>
      <c r="D12" s="2789"/>
    </row>
    <row r="13" spans="1:4" ht="15.75">
      <c r="A13" s="278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9"/>
      <c r="C13" s="2789"/>
      <c r="D13" s="2789"/>
    </row>
    <row r="14" spans="1:4" ht="30" customHeight="1">
      <c r="A14" s="2788" t="str">
        <f>IF(项目基本情况!D4="抵押","3.抵押双方在办理抵押登记手续时，应使用本公司出具的正式《房地产评估报告》，特提醒报告使用者注意。","——")</f>
        <v>——</v>
      </c>
      <c r="B14" s="2789"/>
      <c r="C14" s="2789"/>
      <c r="D14" s="2789"/>
    </row>
    <row r="15" spans="1:4" ht="15.75" customHeight="1">
      <c r="A15" s="2788" t="str">
        <f>IF(项目基本情况!D4="抵押","4.本次评估估价师所知悉的法定优先受偿款情况说明如下：","——")</f>
        <v>——</v>
      </c>
      <c r="B15" s="2789"/>
      <c r="C15" s="2789"/>
      <c r="D15" s="2789"/>
    </row>
    <row r="16" spans="1:4" ht="75" customHeight="1">
      <c r="A16" s="2788" t="str">
        <f>IF(项目基本情况!D4="抵押",CONCATENATE(项目基本情况!J13,项目基本情况!J14,项目基本情况!J15),"——")</f>
        <v>——</v>
      </c>
      <c r="B16" s="2788"/>
      <c r="C16" s="2788"/>
      <c r="D16" s="2788"/>
    </row>
    <row r="17" spans="1:4" ht="63.75" customHeight="1">
      <c r="A17" s="2790" t="s">
        <v>1300</v>
      </c>
      <c r="B17" s="2790"/>
      <c r="C17" s="2790"/>
      <c r="D17" s="2790"/>
    </row>
    <row r="18" spans="1:4" ht="15.75" customHeight="1">
      <c r="A18" s="2788" t="str">
        <f>IF(项目基本情况!D4="抵押",结果表!K106,"——")</f>
        <v>——</v>
      </c>
      <c r="B18" s="2788"/>
      <c r="C18" s="2788"/>
      <c r="D18" s="2788"/>
    </row>
    <row r="19" spans="1:4" ht="46.5" customHeight="1">
      <c r="A19" s="278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8"/>
      <c r="C19" s="2788"/>
      <c r="D19" s="2788"/>
    </row>
    <row r="20" spans="1:4" ht="15">
      <c r="A20" s="2790" t="s">
        <v>1293</v>
      </c>
      <c r="B20" s="2790"/>
      <c r="C20" s="2790"/>
      <c r="D20" s="2790"/>
    </row>
    <row r="21" spans="1:4">
      <c r="A21" s="1963"/>
      <c r="B21" s="1289"/>
      <c r="C21" s="1289"/>
      <c r="D21" s="1289"/>
    </row>
    <row r="22" spans="1:4">
      <c r="A22" s="1963"/>
      <c r="B22" s="1289"/>
      <c r="C22" s="1289"/>
      <c r="D22" s="1289"/>
    </row>
    <row r="23" spans="1:4" ht="18.75">
      <c r="A23" s="1924" t="s">
        <v>1294</v>
      </c>
    </row>
    <row r="24" spans="1:4" ht="18">
      <c r="A24" s="1924"/>
    </row>
    <row r="25" spans="1:4" ht="18.75">
      <c r="A25" s="1924" t="s">
        <v>1295</v>
      </c>
    </row>
    <row r="28" spans="1:4" ht="21" customHeight="1">
      <c r="D28" s="1964" t="s">
        <v>1296</v>
      </c>
    </row>
    <row r="29" spans="1:4" ht="21" customHeight="1">
      <c r="C29" s="1965"/>
      <c r="D29" s="1966">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2" customWidth="1"/>
    <col min="2" max="16384" width="14.5" style="715"/>
  </cols>
  <sheetData>
    <row r="1" spans="1:7" s="1953" customFormat="1" ht="18.75">
      <c r="A1" s="713" t="s">
        <v>1367</v>
      </c>
    </row>
    <row r="3" spans="1:7" ht="14.25">
      <c r="A3" s="1970" t="s">
        <v>1368</v>
      </c>
      <c r="B3" s="715" t="s">
        <v>1369</v>
      </c>
      <c r="G3" s="1971"/>
    </row>
    <row r="4" spans="1:7">
      <c r="G4" s="1971"/>
    </row>
    <row r="5" spans="1:7" ht="14.25">
      <c r="A5" s="1973" t="s">
        <v>1370</v>
      </c>
      <c r="B5" s="715" t="s">
        <v>1371</v>
      </c>
      <c r="G5" s="1971"/>
    </row>
    <row r="6" spans="1:7">
      <c r="G6" s="1971"/>
    </row>
    <row r="7" spans="1:7" ht="14.25">
      <c r="A7" s="1974" t="s">
        <v>1372</v>
      </c>
      <c r="B7" s="715" t="s">
        <v>1373</v>
      </c>
      <c r="G7" s="1971"/>
    </row>
    <row r="8" spans="1:7">
      <c r="G8" s="1971"/>
    </row>
    <row r="9" spans="1:7">
      <c r="A9" s="1975" t="s">
        <v>1374</v>
      </c>
      <c r="B9" s="715" t="s">
        <v>1375</v>
      </c>
    </row>
    <row r="11" spans="1:7">
      <c r="A11" s="1976" t="s">
        <v>1376</v>
      </c>
      <c r="B11" s="1977" t="s">
        <v>1377</v>
      </c>
    </row>
    <row r="13" spans="1:7">
      <c r="A13" s="1679" t="s">
        <v>1378</v>
      </c>
    </row>
    <row r="15" spans="1:7" ht="14.25">
      <c r="A15" s="2796" t="s">
        <v>1379</v>
      </c>
      <c r="B15" s="2791" t="s">
        <v>1380</v>
      </c>
      <c r="C15" s="2792"/>
    </row>
    <row r="16" spans="1:7" ht="14.25">
      <c r="A16" s="2797"/>
      <c r="B16" s="2791" t="s">
        <v>1381</v>
      </c>
      <c r="C16" s="2792"/>
    </row>
    <row r="17" spans="1:3" ht="14.25">
      <c r="A17" s="2797"/>
      <c r="B17" s="2791" t="s">
        <v>1382</v>
      </c>
      <c r="C17" s="2792"/>
    </row>
    <row r="18" spans="1:3" ht="14.25">
      <c r="A18" s="2798"/>
      <c r="B18" s="2793" t="s">
        <v>1383</v>
      </c>
      <c r="C18" s="2792"/>
    </row>
    <row r="19" spans="1:3" ht="14.25">
      <c r="A19" s="1978" t="s">
        <v>1384</v>
      </c>
      <c r="B19" s="1979"/>
      <c r="C19" s="1980"/>
    </row>
    <row r="20" spans="1:3" ht="14.25">
      <c r="A20" s="2794" t="s">
        <v>1385</v>
      </c>
      <c r="B20" s="2793" t="s">
        <v>1386</v>
      </c>
      <c r="C20" s="2792"/>
    </row>
    <row r="21" spans="1:3" ht="14.25">
      <c r="A21" s="2794"/>
      <c r="B21" s="2793" t="s">
        <v>1387</v>
      </c>
      <c r="C21" s="2792"/>
    </row>
    <row r="22" spans="1:3" ht="14.25">
      <c r="A22" s="2794"/>
      <c r="B22" s="2793" t="s">
        <v>1388</v>
      </c>
      <c r="C22" s="2792"/>
    </row>
    <row r="23" spans="1:3" ht="14.25">
      <c r="A23" s="2794"/>
      <c r="B23" s="2795" t="s">
        <v>1389</v>
      </c>
      <c r="C23" s="1981" t="s">
        <v>1390</v>
      </c>
    </row>
    <row r="24" spans="1:3" ht="14.25">
      <c r="A24" s="2794"/>
      <c r="B24" s="2795"/>
      <c r="C24" s="1981" t="s">
        <v>1391</v>
      </c>
    </row>
    <row r="25" spans="1:3" ht="14.25">
      <c r="A25" s="2794"/>
      <c r="B25" s="2795"/>
      <c r="C25" s="1981" t="s">
        <v>1392</v>
      </c>
    </row>
    <row r="26" spans="1:3" ht="14.25">
      <c r="A26" s="2794"/>
      <c r="B26" s="2795"/>
      <c r="C26" s="1981" t="s">
        <v>1393</v>
      </c>
    </row>
    <row r="27" spans="1:3" ht="14.25">
      <c r="A27" s="2794"/>
      <c r="B27" s="2795"/>
      <c r="C27" s="1981" t="s">
        <v>1394</v>
      </c>
    </row>
    <row r="28" spans="1:3" ht="14.25">
      <c r="A28" s="2794"/>
      <c r="B28" s="2795"/>
      <c r="C28" s="1981" t="s">
        <v>1395</v>
      </c>
    </row>
    <row r="29" spans="1:3" ht="14.25">
      <c r="A29" s="2794"/>
      <c r="B29" s="2795"/>
      <c r="C29" s="1981" t="s">
        <v>1396</v>
      </c>
    </row>
    <row r="30" spans="1:3" ht="14.25">
      <c r="A30" s="2794"/>
      <c r="B30" s="2795"/>
      <c r="C30" s="1981" t="s">
        <v>1397</v>
      </c>
    </row>
    <row r="31" spans="1:3" ht="14.25">
      <c r="A31" s="2794"/>
      <c r="B31" s="2795"/>
      <c r="C31" s="1981" t="s">
        <v>1398</v>
      </c>
    </row>
    <row r="32" spans="1:3">
      <c r="A32" s="1982"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43266</v>
      </c>
      <c r="C2" s="1025" t="s">
        <v>747</v>
      </c>
      <c r="D2" s="1025"/>
      <c r="E2" s="1025"/>
    </row>
    <row r="3" spans="1:8" ht="24" customHeight="1">
      <c r="A3" s="1027" t="s">
        <v>748</v>
      </c>
      <c r="B3" s="1028" t="s">
        <v>749</v>
      </c>
      <c r="C3" s="1028" t="s">
        <v>750</v>
      </c>
      <c r="D3" s="1047" t="s">
        <v>780</v>
      </c>
      <c r="E3" s="1029" t="s">
        <v>751</v>
      </c>
      <c r="F3" s="1030" t="s">
        <v>752</v>
      </c>
      <c r="G3" s="1028" t="s">
        <v>750</v>
      </c>
      <c r="H3" s="1047" t="s">
        <v>781</v>
      </c>
    </row>
    <row r="4" spans="1:8" ht="24" customHeight="1">
      <c r="A4" s="1808" t="s">
        <v>753</v>
      </c>
      <c r="B4" s="1030">
        <f ca="1">IF(C4&lt;B2,"已过期",1119970066)</f>
        <v>1119970066</v>
      </c>
      <c r="C4" s="1809">
        <v>43849</v>
      </c>
      <c r="D4" s="1810" t="str">
        <f ca="1">A4&amp;"（注册号："&amp;B4&amp;"）"</f>
        <v>梁津（注册号：1119970066）</v>
      </c>
      <c r="E4" s="1808" t="s">
        <v>753</v>
      </c>
      <c r="F4" s="1030">
        <f ca="1">IF(G4&lt;B2,"已过期",96010014)</f>
        <v>96010014</v>
      </c>
      <c r="G4" s="1038">
        <v>47118</v>
      </c>
      <c r="H4" s="1811" t="str">
        <f ca="1">E4&amp;"（注册号："&amp;F4&amp;"）"</f>
        <v>梁津（注册号：96010014）</v>
      </c>
    </row>
    <row r="5" spans="1:8" ht="24" customHeight="1">
      <c r="A5" s="1808" t="s">
        <v>754</v>
      </c>
      <c r="B5" s="1030">
        <f ca="1">IF(C5&lt;B2,"已过期",1119970074)</f>
        <v>1119970074</v>
      </c>
      <c r="C5" s="1809">
        <v>43849</v>
      </c>
      <c r="D5" s="1810" t="str">
        <f t="shared" ref="D5:D23" ca="1" si="0">A5&amp;"（注册号："&amp;B5&amp;"）"</f>
        <v>李立（注册号：1119970074）</v>
      </c>
      <c r="E5" s="1808" t="s">
        <v>754</v>
      </c>
      <c r="F5" s="1030">
        <f ca="1">IF(G5&lt;B2,"已过期",2002110027)</f>
        <v>2002110027</v>
      </c>
      <c r="G5" s="1038">
        <v>46752</v>
      </c>
      <c r="H5" s="1811" t="str">
        <f t="shared" ref="H5:H24" ca="1" si="1">E5&amp;"（注册号："&amp;F5&amp;"）"</f>
        <v>李立（注册号：2002110027）</v>
      </c>
    </row>
    <row r="6" spans="1:8" ht="24" customHeight="1">
      <c r="A6" s="1808" t="s">
        <v>755</v>
      </c>
      <c r="B6" s="1030">
        <f ca="1">IF(C6&lt;B2,"已过期",1119970111)</f>
        <v>1119970111</v>
      </c>
      <c r="C6" s="1809">
        <v>43849</v>
      </c>
      <c r="D6" s="1810" t="str">
        <f t="shared" ca="1" si="0"/>
        <v>叶凌（注册号：1119970111）</v>
      </c>
      <c r="E6" s="1808" t="s">
        <v>755</v>
      </c>
      <c r="F6" s="1030">
        <f ca="1">IF(G6&lt;B2,"已过期",94010078)</f>
        <v>94010078</v>
      </c>
      <c r="G6" s="1038">
        <v>46387</v>
      </c>
      <c r="H6" s="1811" t="str">
        <f t="shared" ca="1" si="1"/>
        <v>叶凌（注册号：94010078）</v>
      </c>
    </row>
    <row r="7" spans="1:8" ht="24" customHeight="1">
      <c r="A7" s="1808" t="s">
        <v>756</v>
      </c>
      <c r="B7" s="1030">
        <f ca="1">IF(C7&lt;B2,"已过期",1120050019)</f>
        <v>1120050019</v>
      </c>
      <c r="C7" s="1809">
        <v>43359</v>
      </c>
      <c r="D7" s="1810" t="str">
        <f t="shared" ca="1" si="0"/>
        <v>王鹏（注册号：1120050019）</v>
      </c>
      <c r="E7" s="1808" t="s">
        <v>756</v>
      </c>
      <c r="F7" s="1030">
        <f ca="1">IF(G7&lt;B2,"已过期",2002110030)</f>
        <v>2002110030</v>
      </c>
      <c r="G7" s="1038">
        <v>46387</v>
      </c>
      <c r="H7" s="1811" t="str">
        <f t="shared" ca="1" si="1"/>
        <v>王鹏（注册号：2002110030）</v>
      </c>
    </row>
    <row r="8" spans="1:8" ht="24" customHeight="1">
      <c r="A8" s="1808" t="s">
        <v>757</v>
      </c>
      <c r="B8" s="1030">
        <f ca="1">IF(C8&lt;B2,"已过期",1120000080)</f>
        <v>1120000080</v>
      </c>
      <c r="C8" s="1809">
        <v>43849</v>
      </c>
      <c r="D8" s="1810" t="str">
        <f t="shared" ca="1" si="0"/>
        <v>欧红伟（注册号：1120000080）</v>
      </c>
      <c r="E8" s="1808" t="s">
        <v>757</v>
      </c>
      <c r="F8" s="1030">
        <f ca="1">IF(G8&lt;B2,"已过期",2000110082)</f>
        <v>2000110082</v>
      </c>
      <c r="G8" s="1038">
        <v>46387</v>
      </c>
      <c r="H8" s="1811" t="str">
        <f t="shared" ca="1" si="1"/>
        <v>欧红伟（注册号：2000110082）</v>
      </c>
    </row>
    <row r="9" spans="1:8" ht="24" customHeight="1">
      <c r="A9" s="1808" t="s">
        <v>758</v>
      </c>
      <c r="B9" s="1030">
        <f ca="1">IF(C9&lt;B2,"已过期",1419970001)</f>
        <v>1419970001</v>
      </c>
      <c r="C9" s="1809">
        <v>43867</v>
      </c>
      <c r="D9" s="1810" t="str">
        <f t="shared" ca="1" si="0"/>
        <v>吴薇（注册号：1419970001）</v>
      </c>
      <c r="E9" s="1808" t="s">
        <v>758</v>
      </c>
      <c r="F9" s="1030">
        <f ca="1">IF(G9&lt;B2,"已过期",2002110125)</f>
        <v>2002110125</v>
      </c>
      <c r="G9" s="1038">
        <v>47118</v>
      </c>
      <c r="H9" s="1811" t="str">
        <f t="shared" ca="1" si="1"/>
        <v>吴薇（注册号：2002110125）</v>
      </c>
    </row>
    <row r="10" spans="1:8" ht="24" customHeight="1">
      <c r="A10" s="1808" t="s">
        <v>759</v>
      </c>
      <c r="B10" s="1030">
        <f ca="1">IF(C10&lt;B2,"已过期",1120060040)</f>
        <v>1120060040</v>
      </c>
      <c r="C10" s="1809">
        <v>43483</v>
      </c>
      <c r="D10" s="1810" t="str">
        <f t="shared" ca="1" si="0"/>
        <v>陈颖（注册号：1120060040）</v>
      </c>
      <c r="E10" s="1808" t="s">
        <v>759</v>
      </c>
      <c r="F10" s="1030">
        <f ca="1">IF(G10&lt;B2,"已过期",2004110096)</f>
        <v>2004110096</v>
      </c>
      <c r="G10" s="1038">
        <v>47118</v>
      </c>
      <c r="H10" s="1811" t="str">
        <f t="shared" ca="1" si="1"/>
        <v>陈颖（注册号：2004110096）</v>
      </c>
    </row>
    <row r="11" spans="1:8" ht="24" customHeight="1">
      <c r="A11" s="1808" t="s">
        <v>760</v>
      </c>
      <c r="B11" s="1030">
        <f ca="1">IF(C11&lt;B2,"已过期",1120100036)</f>
        <v>1120100036</v>
      </c>
      <c r="C11" s="1809">
        <v>43622</v>
      </c>
      <c r="D11" s="1810" t="str">
        <f t="shared" ca="1" si="0"/>
        <v>崔锴（注册号：1120100036）</v>
      </c>
      <c r="E11" s="1808" t="s">
        <v>760</v>
      </c>
      <c r="F11" s="1030">
        <f ca="1">IF(G11&lt;B2,"已过期",2010110070)</f>
        <v>2010110070</v>
      </c>
      <c r="G11" s="1038">
        <v>47907</v>
      </c>
      <c r="H11" s="1811" t="str">
        <f t="shared" ca="1" si="1"/>
        <v>崔锴（注册号：2010110070）</v>
      </c>
    </row>
    <row r="12" spans="1:8" ht="24" customHeight="1">
      <c r="A12" s="1808" t="s">
        <v>2809</v>
      </c>
      <c r="B12" s="1030">
        <v>1120110054</v>
      </c>
      <c r="C12" s="1809">
        <v>43937</v>
      </c>
      <c r="D12" s="1810" t="str">
        <f t="shared" si="0"/>
        <v>白景生（注册号：1120110054）</v>
      </c>
      <c r="E12" s="1808" t="s">
        <v>2809</v>
      </c>
      <c r="F12" s="1030">
        <v>2008110060</v>
      </c>
      <c r="G12" s="1038">
        <v>47177</v>
      </c>
      <c r="H12" s="1811" t="str">
        <f t="shared" si="1"/>
        <v>白景生（注册号：2008110060）</v>
      </c>
    </row>
    <row r="13" spans="1:8" ht="24" customHeight="1">
      <c r="A13" s="1808" t="s">
        <v>761</v>
      </c>
      <c r="B13" s="1030">
        <f ca="1">IF(C13&lt;B2,"已过期",1120070131)</f>
        <v>1120070131</v>
      </c>
      <c r="C13" s="1809">
        <v>43814</v>
      </c>
      <c r="D13" s="1810" t="str">
        <f t="shared" ca="1" si="0"/>
        <v>郑燚（注册号：1120070131）</v>
      </c>
      <c r="E13" s="1808" t="s">
        <v>761</v>
      </c>
      <c r="F13" s="1030">
        <v>2014110011</v>
      </c>
      <c r="G13" s="1038">
        <v>49302</v>
      </c>
      <c r="H13" s="1811" t="str">
        <f t="shared" si="1"/>
        <v>郑燚（注册号：2014110011）</v>
      </c>
    </row>
    <row r="14" spans="1:8" ht="24" customHeight="1">
      <c r="A14" s="1808" t="s">
        <v>763</v>
      </c>
      <c r="B14" s="1030">
        <f ca="1">IF(C14&lt;B2,"已过期",1120130020)</f>
        <v>1120130020</v>
      </c>
      <c r="C14" s="1809">
        <v>43622</v>
      </c>
      <c r="D14" s="1810" t="str">
        <f t="shared" ca="1" si="0"/>
        <v>马琳琳（注册号：1120130020）</v>
      </c>
      <c r="E14" s="1808"/>
      <c r="F14" s="1030" t="s">
        <v>762</v>
      </c>
      <c r="G14" s="1030" t="s">
        <v>762</v>
      </c>
      <c r="H14" s="1811" t="str">
        <f t="shared" si="1"/>
        <v>（注册号：——）</v>
      </c>
    </row>
    <row r="15" spans="1:8" ht="24" customHeight="1">
      <c r="A15" s="1812" t="s">
        <v>1031</v>
      </c>
      <c r="B15" s="1030">
        <v>1120070085</v>
      </c>
      <c r="C15" s="1809">
        <v>43814</v>
      </c>
      <c r="D15" s="1810" t="str">
        <f t="shared" si="0"/>
        <v>杨红英（注册号：1120070085）</v>
      </c>
      <c r="E15" s="1812" t="s">
        <v>1032</v>
      </c>
      <c r="F15" s="1030">
        <v>2004110128</v>
      </c>
      <c r="G15" s="1031">
        <v>47118</v>
      </c>
      <c r="H15" s="1811" t="str">
        <f t="shared" si="1"/>
        <v>杨红英（注册号：2004110128）</v>
      </c>
    </row>
    <row r="16" spans="1:8" ht="24" customHeight="1">
      <c r="A16" s="1808" t="s">
        <v>764</v>
      </c>
      <c r="B16" s="1030">
        <f ca="1">IF(C16&lt;B2,"已过期",1120140022)</f>
        <v>1120140022</v>
      </c>
      <c r="C16" s="1809">
        <v>44029</v>
      </c>
      <c r="D16" s="1810" t="str">
        <f t="shared" ca="1" si="0"/>
        <v>刘梅（注册号：1120140022）</v>
      </c>
      <c r="E16" s="1808" t="s">
        <v>764</v>
      </c>
      <c r="F16" s="1030">
        <f ca="1">IF(G16&lt;B2,"已过期",2008110059)</f>
        <v>2008110059</v>
      </c>
      <c r="G16" s="1038">
        <v>47177</v>
      </c>
      <c r="H16" s="1811" t="str">
        <f t="shared" ca="1" si="1"/>
        <v>刘梅（注册号：2008110059）</v>
      </c>
    </row>
    <row r="17" spans="1:8" ht="24" customHeight="1">
      <c r="A17" s="1808"/>
      <c r="B17" s="1030"/>
      <c r="C17" s="1809"/>
      <c r="D17" s="1810"/>
      <c r="E17" s="1808"/>
      <c r="F17" s="1030"/>
      <c r="G17" s="1038"/>
      <c r="H17" s="1811"/>
    </row>
    <row r="18" spans="1:8" ht="24" customHeight="1">
      <c r="A18" s="1808"/>
      <c r="B18" s="1030"/>
      <c r="C18" s="1809"/>
      <c r="D18" s="1810"/>
      <c r="E18" s="1808"/>
      <c r="F18" s="1030"/>
      <c r="G18" s="1038"/>
      <c r="H18" s="1811"/>
    </row>
    <row r="19" spans="1:8" ht="24" customHeight="1">
      <c r="A19" s="1808"/>
      <c r="B19" s="1030"/>
      <c r="C19" s="1809"/>
      <c r="D19" s="1810"/>
      <c r="E19" s="1808"/>
      <c r="F19" s="1030"/>
      <c r="G19" s="1030"/>
      <c r="H19" s="1811"/>
    </row>
    <row r="20" spans="1:8" ht="24" customHeight="1">
      <c r="A20" s="1808"/>
      <c r="B20" s="1030"/>
      <c r="C20" s="1809"/>
      <c r="D20" s="1810"/>
      <c r="E20" s="1808"/>
      <c r="F20" s="1030"/>
      <c r="G20" s="1030"/>
      <c r="H20" s="1811"/>
    </row>
    <row r="21" spans="1:8" ht="24" customHeight="1">
      <c r="A21" s="1808"/>
      <c r="B21" s="1030"/>
      <c r="C21" s="1809"/>
      <c r="D21" s="1810" t="str">
        <f t="shared" si="0"/>
        <v>（注册号：）</v>
      </c>
      <c r="E21" s="1808" t="s">
        <v>765</v>
      </c>
      <c r="F21" s="1030">
        <f ca="1">IF(G21&lt;B2,"已过期",2011110090)</f>
        <v>2011110090</v>
      </c>
      <c r="G21" s="1038">
        <v>48302</v>
      </c>
      <c r="H21" s="1811" t="str">
        <f t="shared" ca="1" si="1"/>
        <v>赵雯（注册号：2011110090）</v>
      </c>
    </row>
    <row r="22" spans="1:8" ht="24" customHeight="1">
      <c r="A22" s="1808" t="s">
        <v>766</v>
      </c>
      <c r="B22" s="1030">
        <f ca="1">IF(C22&lt;B2,"已过期",1120020033)</f>
        <v>1120020033</v>
      </c>
      <c r="C22" s="1809">
        <v>43304</v>
      </c>
      <c r="D22" s="1810" t="str">
        <f t="shared" ca="1" si="0"/>
        <v>刘敬东（注册号：1120020033）</v>
      </c>
      <c r="E22" s="1808" t="s">
        <v>766</v>
      </c>
      <c r="F22" s="1030">
        <f ca="1">IF(G22&lt;B2,"已过期",2000110137)</f>
        <v>2000110137</v>
      </c>
      <c r="G22" s="1038">
        <v>46387</v>
      </c>
      <c r="H22" s="1811" t="str">
        <f t="shared" ca="1" si="1"/>
        <v>刘敬东（注册号：2000110137）</v>
      </c>
    </row>
    <row r="23" spans="1:8" ht="24" customHeight="1">
      <c r="A23" s="1808" t="s">
        <v>767</v>
      </c>
      <c r="B23" s="1030">
        <f ca="1">IF(C23&lt;B2,"已过期",1120130048)</f>
        <v>1120130048</v>
      </c>
      <c r="C23" s="1809">
        <v>43686</v>
      </c>
      <c r="D23" s="1810" t="str">
        <f t="shared" ca="1" si="0"/>
        <v>王萌（注册号：1120130048）</v>
      </c>
      <c r="E23" s="1808"/>
      <c r="F23" s="1030"/>
      <c r="G23" s="1030"/>
      <c r="H23" s="1811" t="str">
        <f t="shared" si="1"/>
        <v>（注册号：）</v>
      </c>
    </row>
    <row r="24" spans="1:8" s="1032" customFormat="1" ht="24" customHeight="1">
      <c r="A24" s="1030" t="s">
        <v>762</v>
      </c>
      <c r="B24" s="1030" t="s">
        <v>762</v>
      </c>
      <c r="C24" s="1030" t="s">
        <v>762</v>
      </c>
      <c r="D24" s="1810" t="str">
        <f>A24&amp;"（注册号："&amp;B24&amp;"）"</f>
        <v>——（注册号：——）</v>
      </c>
      <c r="E24" s="1030" t="s">
        <v>762</v>
      </c>
      <c r="F24" s="1030" t="s">
        <v>762</v>
      </c>
      <c r="G24" s="1030" t="s">
        <v>762</v>
      </c>
      <c r="H24" s="1811" t="str">
        <f t="shared" si="1"/>
        <v>——（注册号：——）</v>
      </c>
    </row>
    <row r="25" spans="1:8" ht="24" customHeight="1">
      <c r="A25" s="2799" t="s">
        <v>768</v>
      </c>
      <c r="B25" s="2799"/>
      <c r="C25" s="2799"/>
      <c r="D25" s="2799"/>
      <c r="E25" s="2799"/>
      <c r="F25" s="2799"/>
      <c r="G25" s="2799"/>
      <c r="H25" s="2799"/>
    </row>
    <row r="26" spans="1:8" s="1033" customFormat="1" ht="24" customHeight="1">
      <c r="A26" s="2800" t="s">
        <v>769</v>
      </c>
      <c r="B26" s="2800"/>
      <c r="C26" s="2800"/>
      <c r="D26" s="1061"/>
      <c r="E26" s="1061"/>
      <c r="F26" s="2800" t="s">
        <v>770</v>
      </c>
      <c r="G26" s="2800"/>
      <c r="H26" s="2800"/>
    </row>
    <row r="27" spans="1:8" s="1035" customFormat="1" ht="24" customHeight="1">
      <c r="A27" s="1034" t="s">
        <v>771</v>
      </c>
      <c r="B27" s="1028" t="s">
        <v>772</v>
      </c>
      <c r="C27" s="1028" t="s">
        <v>773</v>
      </c>
      <c r="D27" s="1028"/>
      <c r="E27" s="1028"/>
      <c r="F27" s="1030" t="s">
        <v>771</v>
      </c>
      <c r="G27" s="1028" t="s">
        <v>772</v>
      </c>
      <c r="H27" s="1028" t="s">
        <v>773</v>
      </c>
    </row>
    <row r="28" spans="1:8" s="1035" customFormat="1" ht="24" customHeight="1">
      <c r="A28" s="1036" t="s">
        <v>774</v>
      </c>
      <c r="B28" s="1037" t="s">
        <v>775</v>
      </c>
      <c r="C28" s="1038">
        <v>43725</v>
      </c>
      <c r="D28" s="1038"/>
      <c r="E28" s="1038"/>
      <c r="F28" s="1036" t="s">
        <v>776</v>
      </c>
      <c r="G28" s="1036" t="s">
        <v>777</v>
      </c>
      <c r="H28" s="1095">
        <v>44377</v>
      </c>
    </row>
    <row r="29" spans="1:8" s="1035" customFormat="1" ht="24" customHeight="1">
      <c r="A29" s="1036"/>
      <c r="B29" s="1036"/>
      <c r="C29" s="1039"/>
      <c r="D29" s="1039"/>
      <c r="E29" s="1039"/>
      <c r="F29" s="1036" t="s">
        <v>778</v>
      </c>
      <c r="G29" s="1040" t="s">
        <v>1258</v>
      </c>
      <c r="H29" s="1096">
        <v>43281</v>
      </c>
    </row>
    <row r="30" spans="1:8" ht="24" customHeight="1">
      <c r="C30" s="1041"/>
      <c r="D30" s="1041"/>
      <c r="E30" s="1041"/>
    </row>
  </sheetData>
  <sheetProtection sheet="1" objects="1" scenarios="1"/>
  <mergeCells count="3">
    <mergeCell ref="A25:H25"/>
    <mergeCell ref="A26:C26"/>
    <mergeCell ref="F26:H26"/>
  </mergeCells>
  <phoneticPr fontId="82"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3" t="s">
        <v>1400</v>
      </c>
      <c r="B1" s="4" t="s">
        <v>1401</v>
      </c>
      <c r="C1" s="1984" t="s">
        <v>1402</v>
      </c>
      <c r="D1" s="5" t="s">
        <v>1403</v>
      </c>
      <c r="E1" s="5" t="s">
        <v>1404</v>
      </c>
      <c r="F1" s="5" t="s">
        <v>1405</v>
      </c>
      <c r="G1" s="5" t="s">
        <v>1406</v>
      </c>
      <c r="H1" s="5" t="s">
        <v>1407</v>
      </c>
      <c r="I1" s="5" t="s">
        <v>1408</v>
      </c>
      <c r="J1" s="5" t="s">
        <v>1409</v>
      </c>
      <c r="K1" s="5" t="s">
        <v>1410</v>
      </c>
      <c r="L1" s="5" t="s">
        <v>1411</v>
      </c>
      <c r="M1" s="5" t="s">
        <v>1412</v>
      </c>
      <c r="N1" s="5" t="s">
        <v>1413</v>
      </c>
      <c r="O1" s="5" t="s">
        <v>1414</v>
      </c>
      <c r="P1" s="1985" t="s">
        <v>1415</v>
      </c>
      <c r="Q1" s="1985" t="s">
        <v>1416</v>
      </c>
      <c r="R1" s="1985" t="s">
        <v>1417</v>
      </c>
      <c r="S1" s="5" t="s">
        <v>1418</v>
      </c>
      <c r="T1" s="6" t="s">
        <v>1419</v>
      </c>
      <c r="U1" s="5" t="s">
        <v>1420</v>
      </c>
      <c r="V1" s="5" t="s">
        <v>1421</v>
      </c>
      <c r="W1" s="5" t="s">
        <v>1422</v>
      </c>
      <c r="X1" s="5" t="s">
        <v>1423</v>
      </c>
      <c r="Y1" s="5" t="s">
        <v>1424</v>
      </c>
    </row>
    <row r="2" spans="1:25">
      <c r="A2" s="1986" t="s">
        <v>33</v>
      </c>
      <c r="B2" s="1986" t="s">
        <v>1425</v>
      </c>
      <c r="C2" s="1987"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6" t="s">
        <v>1438</v>
      </c>
      <c r="B3" s="1988" t="s">
        <v>1439</v>
      </c>
      <c r="C3" s="1276"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6" t="s">
        <v>1451</v>
      </c>
      <c r="B4" s="1988" t="s">
        <v>1452</v>
      </c>
      <c r="C4" s="1987"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6" t="s">
        <v>1462</v>
      </c>
      <c r="B5" s="1986" t="s">
        <v>1463</v>
      </c>
      <c r="C5" s="1987"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89"/>
    </row>
    <row r="6" spans="1:25">
      <c r="A6" s="1986" t="s">
        <v>1471</v>
      </c>
      <c r="B6" s="1986" t="s">
        <v>1472</v>
      </c>
      <c r="C6" s="1245"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89"/>
    </row>
    <row r="7" spans="1:25">
      <c r="A7" s="1986" t="s">
        <v>1479</v>
      </c>
      <c r="B7" s="1988" t="s">
        <v>1480</v>
      </c>
      <c r="C7" s="1987" t="s">
        <v>1481</v>
      </c>
      <c r="F7" s="7" t="s">
        <v>1482</v>
      </c>
      <c r="H7" s="7" t="s">
        <v>1483</v>
      </c>
      <c r="I7" s="7" t="s">
        <v>1484</v>
      </c>
      <c r="X7" s="1989"/>
    </row>
    <row r="8" spans="1:25">
      <c r="A8" s="1986" t="s">
        <v>1485</v>
      </c>
      <c r="B8" s="1988" t="s">
        <v>1486</v>
      </c>
      <c r="C8" s="1987" t="s">
        <v>1487</v>
      </c>
      <c r="F8" s="7" t="s">
        <v>1488</v>
      </c>
      <c r="H8" s="7" t="s">
        <v>1489</v>
      </c>
      <c r="I8" s="7" t="s">
        <v>1490</v>
      </c>
      <c r="X8" s="1989"/>
    </row>
    <row r="9" spans="1:25">
      <c r="A9" s="1986" t="s">
        <v>1491</v>
      </c>
      <c r="B9" s="1986" t="s">
        <v>1492</v>
      </c>
      <c r="C9" s="1987" t="s">
        <v>1493</v>
      </c>
      <c r="F9" s="7" t="s">
        <v>1494</v>
      </c>
      <c r="H9" s="7" t="s">
        <v>1495</v>
      </c>
    </row>
    <row r="10" spans="1:25">
      <c r="A10" s="1986" t="s">
        <v>1496</v>
      </c>
      <c r="B10" s="1986" t="s">
        <v>1497</v>
      </c>
      <c r="C10" s="1987" t="s">
        <v>1498</v>
      </c>
      <c r="F10" s="7" t="s">
        <v>13</v>
      </c>
    </row>
    <row r="11" spans="1:25">
      <c r="A11" s="1986" t="s">
        <v>1499</v>
      </c>
      <c r="B11" s="1986" t="s">
        <v>1500</v>
      </c>
      <c r="C11" s="1987" t="s">
        <v>1501</v>
      </c>
    </row>
    <row r="12" spans="1:25">
      <c r="A12" s="1986" t="s">
        <v>1502</v>
      </c>
      <c r="B12" s="1986" t="s">
        <v>1503</v>
      </c>
      <c r="C12" s="1987" t="s">
        <v>1504</v>
      </c>
    </row>
    <row r="13" spans="1:25">
      <c r="A13" s="1986" t="s">
        <v>1505</v>
      </c>
      <c r="B13" s="1986" t="s">
        <v>1506</v>
      </c>
      <c r="C13" s="1987" t="s">
        <v>1507</v>
      </c>
    </row>
    <row r="14" spans="1:25">
      <c r="A14" s="1986" t="s">
        <v>1508</v>
      </c>
      <c r="B14" s="1986" t="s">
        <v>1509</v>
      </c>
      <c r="C14" s="1987"/>
    </row>
    <row r="15" spans="1:25">
      <c r="A15" s="1986" t="s">
        <v>1510</v>
      </c>
      <c r="B15" s="1986" t="s">
        <v>1511</v>
      </c>
      <c r="C15" s="1987"/>
    </row>
    <row r="16" spans="1:25">
      <c r="A16" s="1986" t="s">
        <v>1512</v>
      </c>
      <c r="B16" s="1986" t="s">
        <v>1513</v>
      </c>
      <c r="C16" s="1987"/>
    </row>
    <row r="17" spans="1:3">
      <c r="A17" s="1986" t="s">
        <v>1514</v>
      </c>
      <c r="B17" s="1986" t="s">
        <v>1515</v>
      </c>
      <c r="C17" s="1987"/>
    </row>
    <row r="18" spans="1:3">
      <c r="A18" s="1986" t="s">
        <v>1516</v>
      </c>
      <c r="B18" s="1986" t="s">
        <v>1517</v>
      </c>
      <c r="C18" s="1987"/>
    </row>
    <row r="19" spans="1:3">
      <c r="A19" s="1986" t="s">
        <v>1518</v>
      </c>
      <c r="B19" s="1986" t="s">
        <v>1519</v>
      </c>
      <c r="C19" s="1987"/>
    </row>
    <row r="20" spans="1:3">
      <c r="A20" s="1986" t="s">
        <v>1520</v>
      </c>
      <c r="B20" s="1986" t="s">
        <v>740</v>
      </c>
      <c r="C20" s="1987"/>
    </row>
    <row r="21" spans="1:3">
      <c r="A21" s="1986" t="s">
        <v>1521</v>
      </c>
      <c r="B21" s="1986" t="s">
        <v>740</v>
      </c>
      <c r="C21" s="1987"/>
    </row>
    <row r="22" spans="1:3">
      <c r="A22" s="1986" t="s">
        <v>1522</v>
      </c>
      <c r="B22" s="1986" t="s">
        <v>740</v>
      </c>
      <c r="C22" s="1987"/>
    </row>
    <row r="23" spans="1:3">
      <c r="A23" s="1986" t="s">
        <v>1523</v>
      </c>
      <c r="B23" s="1986" t="s">
        <v>740</v>
      </c>
      <c r="C23" s="1987"/>
    </row>
    <row r="24" spans="1:3">
      <c r="A24" s="1986" t="s">
        <v>1524</v>
      </c>
      <c r="B24" s="1986" t="s">
        <v>740</v>
      </c>
      <c r="C24" s="1987"/>
    </row>
    <row r="25" spans="1:3">
      <c r="A25" s="1986" t="s">
        <v>1525</v>
      </c>
      <c r="B25" s="1986" t="s">
        <v>740</v>
      </c>
      <c r="C25" s="1987"/>
    </row>
    <row r="26" spans="1:3">
      <c r="A26" s="1986" t="s">
        <v>1526</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1527</v>
      </c>
      <c r="B51" s="9" t="str">
        <f>"为估价委托人在向"&amp;项目基本情况!B5&amp;"办理贷款手续过程中，确定房地产抵押贷款额度提供参考依据而评估房地产抵押价值。"</f>
        <v>为估价委托人在向农商行办理贷款手续过程中，确定房地产抵押贷款额度提供参考依据而评估房地产抵押价值。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农商行拟使用北京市房地产作为抵押担保物，向农商行办理贷款手续。农商行特委托北京康正宏基房地产评估有限公司对上述抵押物进行评估。本次评估为确定房地产抵押贷款额度提供参考依据而评估房地产抵押价值。</v>
      </c>
      <c r="D51" s="718" t="s">
        <v>1528</v>
      </c>
    </row>
    <row r="52" spans="1:4">
      <c r="A52" s="1990" t="s">
        <v>1529</v>
      </c>
      <c r="B52" s="1990" t="s">
        <v>1530</v>
      </c>
      <c r="C52" s="9" t="s">
        <v>1531</v>
      </c>
      <c r="D52" s="9" t="s">
        <v>1532</v>
      </c>
    </row>
    <row r="53" spans="1:4" ht="14.25" customHeight="1">
      <c r="A53" s="2801"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本次估价的“房地产价值”是指在正常市场情况下，在价值时点2018年6月6日，估价对象规划用途为办公，假定未设立法定优先受偿款下的房地产市场价值。</v>
      </c>
    </row>
    <row r="54" spans="1:4">
      <c r="A54" s="2801"/>
      <c r="B54" s="9" t="s">
        <v>1535</v>
      </c>
      <c r="C54" s="9" t="s">
        <v>1536</v>
      </c>
    </row>
    <row r="55" spans="1:4">
      <c r="A55" s="2801"/>
      <c r="B55" s="9" t="s">
        <v>1537</v>
      </c>
      <c r="C55" s="9" t="s">
        <v>1538</v>
      </c>
    </row>
    <row r="56" spans="1:4">
      <c r="A56" s="2801"/>
      <c r="B56" s="9" t="s">
        <v>1539</v>
      </c>
      <c r="C56" s="9" t="s">
        <v>1540</v>
      </c>
    </row>
    <row r="57" spans="1:4">
      <c r="A57" s="2801"/>
      <c r="B57" s="9" t="s">
        <v>1541</v>
      </c>
      <c r="C57" s="9" t="s">
        <v>1542</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53" sqref="B53"/>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26.25" thickBot="1">
      <c r="A1" s="1992" t="s">
        <v>1543</v>
      </c>
      <c r="B1" s="1993" t="str">
        <f>IF(B6="北京市","北京市",C6)&amp;IF(E12="房屋所有权证",B28,E28)&amp;D5&amp;"预评估"</f>
        <v>北京市房地产市场价值预评估</v>
      </c>
      <c r="C1" s="1062"/>
      <c r="D1" s="1994"/>
      <c r="E1" s="1062"/>
      <c r="F1" s="1995" t="s">
        <v>1544</v>
      </c>
      <c r="G1" s="1680" t="s">
        <v>2902</v>
      </c>
      <c r="I1" s="1019" t="str">
        <f>IF(B6="北京市","北京市",C6)&amp;IF(E12="房屋所有权证",B28,E28)&amp;"房地产"</f>
        <v>北京市房地产</v>
      </c>
    </row>
    <row r="2" spans="1:10" ht="13.5" thickTop="1">
      <c r="A2" s="1996" t="s">
        <v>1545</v>
      </c>
      <c r="B2" s="1087">
        <v>43257</v>
      </c>
      <c r="C2" s="1997" t="s">
        <v>1546</v>
      </c>
      <c r="D2" s="1087">
        <f>B2</f>
        <v>43257</v>
      </c>
      <c r="E2" s="1063"/>
      <c r="F2" s="1063"/>
      <c r="G2" s="1681"/>
      <c r="H2" s="1019"/>
    </row>
    <row r="3" spans="1:10" ht="13.5" thickBot="1">
      <c r="A3" s="1998" t="s">
        <v>1547</v>
      </c>
      <c r="B3" s="1999" t="s">
        <v>2810</v>
      </c>
      <c r="C3" s="1064">
        <f ca="1">SUMIF(注册房地产估价师,B3,估价师及机构信息!B3:B24)</f>
        <v>1120000080</v>
      </c>
      <c r="D3" s="1999" t="s">
        <v>2811</v>
      </c>
      <c r="E3" s="1065">
        <f ca="1">SUMIF(注册房地产估价师,D3,估价师及机构信息!B3:B24)</f>
        <v>1120100036</v>
      </c>
      <c r="F3" s="1066"/>
      <c r="G3" s="1682"/>
      <c r="H3" s="1019"/>
    </row>
    <row r="4" spans="1:10" ht="13.5" customHeight="1" thickTop="1">
      <c r="A4" s="2000" t="s">
        <v>1548</v>
      </c>
      <c r="B4" s="2731" t="s">
        <v>2812</v>
      </c>
      <c r="C4" s="2001" t="s">
        <v>1549</v>
      </c>
      <c r="D4" s="2002" t="s">
        <v>2813</v>
      </c>
      <c r="E4" s="1063"/>
      <c r="F4" s="1063"/>
      <c r="G4" s="1681"/>
    </row>
    <row r="5" spans="1:10">
      <c r="A5" s="2003" t="s">
        <v>1550</v>
      </c>
      <c r="B5" s="2004" t="str">
        <f>B4</f>
        <v>农商行</v>
      </c>
      <c r="C5" s="2005" t="s">
        <v>1551</v>
      </c>
      <c r="D5" s="2006" t="s">
        <v>2814</v>
      </c>
      <c r="E5" s="2007" t="s">
        <v>1552</v>
      </c>
      <c r="F5" s="2008"/>
      <c r="G5" s="2009" t="s">
        <v>1253</v>
      </c>
      <c r="I5" s="1019" t="str">
        <f>IF(C16="否","截至估价时点，估价对象抵押权未见登记。","截至价值时点，估价对象已设定抵押。")</f>
        <v>截至估价时点，估价对象抵押权未见登记。</v>
      </c>
    </row>
    <row r="6" spans="1:10">
      <c r="A6" s="2010" t="s">
        <v>1553</v>
      </c>
      <c r="B6" s="2011" t="s">
        <v>2815</v>
      </c>
      <c r="C6" s="2012"/>
      <c r="D6" s="2013" t="s">
        <v>1554</v>
      </c>
      <c r="E6" s="1021"/>
      <c r="F6" s="1020"/>
      <c r="G6" s="1073"/>
      <c r="I6" s="1069" t="str">
        <f>IF(COUNTIF(B5,"*上海银行*"),"上海银行","")</f>
        <v/>
      </c>
    </row>
    <row r="7" spans="1:10" ht="13.5" thickBot="1">
      <c r="A7" s="1998" t="s">
        <v>1555</v>
      </c>
      <c r="B7" s="2014" t="s">
        <v>2816</v>
      </c>
      <c r="C7" s="2015" t="str">
        <f>IF(B7="自然人","姓名","名称")</f>
        <v>名称</v>
      </c>
      <c r="D7" s="2016" t="str">
        <f>B4</f>
        <v>农商行</v>
      </c>
      <c r="E7" s="1067"/>
      <c r="F7" s="1066"/>
      <c r="G7" s="1682"/>
    </row>
    <row r="8" spans="1:10" ht="13.5" thickTop="1">
      <c r="A8" s="2812" t="s">
        <v>1556</v>
      </c>
      <c r="B8" s="2017" t="s">
        <v>1557</v>
      </c>
      <c r="C8" s="2824"/>
      <c r="D8" s="2825"/>
      <c r="E8" s="2018" t="s">
        <v>1558</v>
      </c>
      <c r="F8" s="2019" t="s">
        <v>1559</v>
      </c>
      <c r="G8" s="690">
        <f>C6</f>
        <v>0</v>
      </c>
    </row>
    <row r="9" spans="1:10">
      <c r="A9" s="2812"/>
      <c r="B9" s="344" t="s">
        <v>1560</v>
      </c>
      <c r="C9" s="2004"/>
      <c r="D9" s="2020"/>
      <c r="E9" s="1009" t="s">
        <v>1561</v>
      </c>
      <c r="F9" s="996" t="s">
        <v>221</v>
      </c>
      <c r="G9" s="1011"/>
    </row>
    <row r="10" spans="1:10" ht="13.5" thickBot="1">
      <c r="A10" s="2812"/>
      <c r="B10" s="344" t="s">
        <v>1562</v>
      </c>
      <c r="C10" s="2826"/>
      <c r="D10" s="2827"/>
      <c r="E10" s="2021" t="s">
        <v>1563</v>
      </c>
      <c r="F10" s="1012" t="s">
        <v>88</v>
      </c>
      <c r="G10" s="1013"/>
    </row>
    <row r="11" spans="1:10" ht="13.5" thickBot="1">
      <c r="A11" s="2812"/>
      <c r="B11" s="2022" t="s">
        <v>1564</v>
      </c>
      <c r="C11" s="2828"/>
      <c r="D11" s="2829"/>
      <c r="E11" s="1021"/>
      <c r="F11" s="1020"/>
      <c r="G11" s="1073"/>
    </row>
    <row r="12" spans="1:10" ht="24.75" thickBot="1">
      <c r="A12" s="2815" t="s">
        <v>1565</v>
      </c>
      <c r="B12" s="2023" t="s">
        <v>1566</v>
      </c>
      <c r="C12" s="1015">
        <v>218.48</v>
      </c>
      <c r="D12" s="2023" t="s">
        <v>1567</v>
      </c>
      <c r="E12" s="2024" t="s">
        <v>1568</v>
      </c>
      <c r="F12" s="2025" t="s">
        <v>1569</v>
      </c>
      <c r="G12" s="1073"/>
    </row>
    <row r="13" spans="1:10" ht="21" customHeight="1" thickBot="1">
      <c r="A13" s="2816"/>
      <c r="B13" s="2026" t="s">
        <v>1570</v>
      </c>
      <c r="C13" s="1016">
        <v>0</v>
      </c>
      <c r="D13" s="2026" t="s">
        <v>1571</v>
      </c>
      <c r="E13" s="2027" t="s">
        <v>1568</v>
      </c>
      <c r="F13" s="1020"/>
      <c r="G13" s="1073"/>
      <c r="I13" s="2802" t="s">
        <v>1572</v>
      </c>
      <c r="J13" s="2028" t="str">
        <f>"根据估价对象"&amp;IF(B19="——",B18&amp;C18,B18&amp;C18&amp;"、"&amp;B19&amp;C19)&amp;"，"&amp;IF(C16="是","截至价值时点，估价对象已设定抵押。","截至价值时点，估价对象抵押权未见登记。")</f>
        <v>根据估价对象————，截至价值时点，估价对象抵押权未见登记。</v>
      </c>
    </row>
    <row r="14" spans="1:10" ht="13.5" thickBot="1">
      <c r="A14" s="2029"/>
      <c r="B14" s="2030" t="s">
        <v>1573</v>
      </c>
      <c r="C14" s="2732" t="s">
        <v>2825</v>
      </c>
      <c r="D14" s="1020"/>
      <c r="E14" s="1020"/>
      <c r="F14" s="1020"/>
      <c r="G14" s="1073"/>
      <c r="I14" s="2802"/>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1"/>
      <c r="B15" s="2032" t="s">
        <v>1574</v>
      </c>
      <c r="C15" s="1068">
        <v>3.6</v>
      </c>
      <c r="D15" s="1066"/>
      <c r="E15" s="1066"/>
      <c r="F15" s="1066"/>
      <c r="G15" s="1682"/>
      <c r="I15" s="2802"/>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1575</v>
      </c>
      <c r="B16" s="2033" t="s">
        <v>1576</v>
      </c>
      <c r="C16" s="2034" t="s">
        <v>2826</v>
      </c>
      <c r="D16" s="2035" t="s">
        <v>1577</v>
      </c>
      <c r="E16" s="2036" t="s">
        <v>1253</v>
      </c>
      <c r="F16" s="2037" t="str">
        <f>IF(AND(C16="是",E16="否"),"是否提供他项权证或相关说明","")</f>
        <v/>
      </c>
      <c r="G16" s="2036" t="s">
        <v>1253</v>
      </c>
      <c r="I16" s="1070"/>
      <c r="J16" s="1019"/>
    </row>
    <row r="17" spans="1:15" ht="13.5" customHeight="1">
      <c r="A17" s="2038" t="s">
        <v>1578</v>
      </c>
      <c r="B17" s="2830" t="s">
        <v>1579</v>
      </c>
      <c r="C17" s="2831"/>
      <c r="D17" s="2832" t="s">
        <v>1580</v>
      </c>
      <c r="E17" s="2833"/>
      <c r="F17" s="2039" t="s">
        <v>1581</v>
      </c>
      <c r="G17" s="2040"/>
      <c r="J17" s="1019"/>
    </row>
    <row r="18" spans="1:15">
      <c r="A18" s="2038"/>
      <c r="B18" s="2041" t="s">
        <v>1253</v>
      </c>
      <c r="C18" s="2009" t="s">
        <v>1253</v>
      </c>
      <c r="D18" s="2042"/>
      <c r="E18" s="2043" t="s">
        <v>1253</v>
      </c>
      <c r="F18" s="2044"/>
      <c r="G18" s="1866"/>
      <c r="H18" s="1019"/>
      <c r="J18" s="1019"/>
    </row>
    <row r="19" spans="1:15" ht="21.75" customHeight="1" thickBot="1">
      <c r="A19" s="2038"/>
      <c r="B19" s="2045" t="s">
        <v>1253</v>
      </c>
      <c r="C19" s="2027" t="s">
        <v>1253</v>
      </c>
      <c r="D19" s="2046"/>
      <c r="E19" s="1020"/>
      <c r="F19" s="1020"/>
      <c r="G19" s="1866"/>
    </row>
    <row r="20" spans="1:15">
      <c r="A20" s="2047" t="s">
        <v>1582</v>
      </c>
      <c r="B20" s="2048" t="s">
        <v>1583</v>
      </c>
      <c r="C20" s="2049"/>
      <c r="D20" s="2050" t="s">
        <v>1583</v>
      </c>
      <c r="E20" s="2049"/>
      <c r="F20" s="1020"/>
      <c r="G20" s="1866"/>
    </row>
    <row r="21" spans="1:15">
      <c r="A21" s="2051"/>
      <c r="B21" s="2052" t="s">
        <v>1584</v>
      </c>
      <c r="C21" s="2053"/>
      <c r="D21" s="2038" t="s">
        <v>1584</v>
      </c>
      <c r="E21" s="2054"/>
      <c r="F21" s="1020"/>
      <c r="G21" s="1866"/>
    </row>
    <row r="22" spans="1:15">
      <c r="A22" s="2051"/>
      <c r="B22" s="2055" t="s">
        <v>1585</v>
      </c>
      <c r="C22" s="2056"/>
      <c r="D22" s="2055" t="s">
        <v>1585</v>
      </c>
      <c r="E22" s="2054"/>
      <c r="F22" s="1020"/>
      <c r="G22" s="1866"/>
    </row>
    <row r="23" spans="1:15" s="1864" customFormat="1" ht="21" thickBot="1">
      <c r="A23" s="2057"/>
      <c r="B23" s="2058" t="s">
        <v>1586</v>
      </c>
      <c r="C23" s="2059"/>
      <c r="D23" s="2058" t="s">
        <v>1587</v>
      </c>
      <c r="E23" s="2060"/>
      <c r="F23" s="1020"/>
      <c r="G23" s="1866"/>
      <c r="H23" s="2061"/>
      <c r="I23" s="1865"/>
      <c r="K23" s="1863"/>
      <c r="L23" s="1863"/>
      <c r="M23" s="1863"/>
      <c r="O23" s="1865"/>
    </row>
    <row r="24" spans="1:15" ht="13.5" thickBot="1">
      <c r="A24" s="1071" t="s">
        <v>1588</v>
      </c>
      <c r="B24" s="1020"/>
      <c r="C24" s="1020"/>
      <c r="D24" s="1020"/>
      <c r="E24" s="1020"/>
      <c r="F24" s="1020"/>
      <c r="G24" s="1867"/>
      <c r="I24" s="1070"/>
      <c r="K24" s="1070"/>
    </row>
    <row r="25" spans="1:15" s="1080" customFormat="1" ht="13.5" thickBot="1">
      <c r="A25" s="995"/>
      <c r="B25" s="2062" t="s">
        <v>1589</v>
      </c>
      <c r="C25" s="995"/>
      <c r="D25" s="1014"/>
      <c r="E25" s="1017" t="s">
        <v>1590</v>
      </c>
      <c r="F25" s="995"/>
      <c r="G25" s="2063" t="s">
        <v>1591</v>
      </c>
      <c r="L25" s="1081"/>
      <c r="M25" s="1081"/>
      <c r="O25" s="1082"/>
    </row>
    <row r="26" spans="1:15" s="1080" customFormat="1" ht="13.5" thickBot="1">
      <c r="A26" s="995"/>
      <c r="B26" s="1088" t="s">
        <v>1253</v>
      </c>
      <c r="C26" s="995"/>
      <c r="D26" s="1014"/>
      <c r="E26" s="1088" t="s">
        <v>1253</v>
      </c>
      <c r="F26" s="995"/>
      <c r="G26" s="1683" t="s">
        <v>1253</v>
      </c>
      <c r="L26" s="1081"/>
      <c r="M26" s="1081"/>
      <c r="O26" s="1082"/>
    </row>
    <row r="27" spans="1:15">
      <c r="A27" s="1006" t="s">
        <v>1592</v>
      </c>
      <c r="B27" s="1003"/>
      <c r="C27" s="2818" t="s">
        <v>1592</v>
      </c>
      <c r="D27" s="2819"/>
      <c r="E27" s="1003"/>
      <c r="F27" s="1010" t="s">
        <v>1592</v>
      </c>
      <c r="G27" s="1003"/>
      <c r="I27" s="1070"/>
      <c r="K27" s="1070"/>
    </row>
    <row r="28" spans="1:15">
      <c r="A28" s="1007" t="s">
        <v>1593</v>
      </c>
      <c r="B28" s="978"/>
      <c r="C28" s="2820" t="s">
        <v>1594</v>
      </c>
      <c r="D28" s="2821"/>
      <c r="E28" s="978"/>
      <c r="F28" s="1892" t="s">
        <v>1594</v>
      </c>
      <c r="G28" s="978"/>
      <c r="I28" s="1070"/>
      <c r="K28" s="1070"/>
    </row>
    <row r="29" spans="1:15">
      <c r="A29" s="1007" t="s">
        <v>1595</v>
      </c>
      <c r="B29" s="978"/>
      <c r="C29" s="2820" t="s">
        <v>1595</v>
      </c>
      <c r="D29" s="2821"/>
      <c r="E29" s="978"/>
      <c r="F29" s="1892" t="s">
        <v>1596</v>
      </c>
      <c r="G29" s="978"/>
      <c r="I29" s="1070"/>
      <c r="K29" s="1070"/>
    </row>
    <row r="30" spans="1:15">
      <c r="A30" s="1007" t="s">
        <v>1597</v>
      </c>
      <c r="B30" s="978"/>
      <c r="C30" s="2809" t="s">
        <v>1598</v>
      </c>
      <c r="D30" s="2064"/>
      <c r="E30" s="1022" t="str">
        <f>E31&amp;" "&amp;E32&amp;" "&amp;E33&amp;" "&amp;E34</f>
        <v xml:space="preserve">   </v>
      </c>
      <c r="F30" s="1892" t="s">
        <v>1599</v>
      </c>
      <c r="G30" s="978"/>
    </row>
    <row r="31" spans="1:15">
      <c r="A31" s="1007" t="s">
        <v>1600</v>
      </c>
      <c r="B31" s="978"/>
      <c r="C31" s="2810"/>
      <c r="D31" s="1891" t="s">
        <v>1601</v>
      </c>
      <c r="E31" s="978"/>
      <c r="F31" s="1892" t="s">
        <v>1602</v>
      </c>
      <c r="G31" s="978"/>
    </row>
    <row r="32" spans="1:15" ht="24.75" thickBot="1">
      <c r="A32" s="1008" t="s">
        <v>1603</v>
      </c>
      <c r="B32" s="1004"/>
      <c r="C32" s="2810"/>
      <c r="D32" s="1891" t="s">
        <v>1604</v>
      </c>
      <c r="E32" s="978"/>
      <c r="F32" s="1892" t="s">
        <v>1605</v>
      </c>
      <c r="G32" s="978"/>
    </row>
    <row r="33" spans="1:7">
      <c r="A33" s="1006" t="s">
        <v>1606</v>
      </c>
      <c r="B33" s="1003"/>
      <c r="C33" s="2810"/>
      <c r="D33" s="1891" t="s">
        <v>1607</v>
      </c>
      <c r="E33" s="978"/>
      <c r="F33" s="1892" t="s">
        <v>1608</v>
      </c>
      <c r="G33" s="978"/>
    </row>
    <row r="34" spans="1:7" ht="13.5" thickBot="1">
      <c r="A34" s="1007" t="s">
        <v>1609</v>
      </c>
      <c r="B34" s="978"/>
      <c r="C34" s="2811"/>
      <c r="D34" s="1891" t="s">
        <v>1610</v>
      </c>
      <c r="E34" s="978"/>
      <c r="F34" s="1893" t="s">
        <v>1611</v>
      </c>
      <c r="G34" s="1005"/>
    </row>
    <row r="35" spans="1:7">
      <c r="A35" s="1007" t="s">
        <v>1566</v>
      </c>
      <c r="B35" s="978"/>
      <c r="C35" s="2820" t="s">
        <v>1612</v>
      </c>
      <c r="D35" s="2821"/>
      <c r="E35" s="978"/>
      <c r="F35" s="1018" t="s">
        <v>1613</v>
      </c>
      <c r="G35" s="1003"/>
    </row>
    <row r="36" spans="1:7" ht="13.5" thickBot="1">
      <c r="A36" s="1007" t="s">
        <v>1614</v>
      </c>
      <c r="B36" s="978"/>
      <c r="C36" s="2822" t="s">
        <v>1615</v>
      </c>
      <c r="D36" s="2823"/>
      <c r="E36" s="1004"/>
      <c r="F36" s="1889" t="s">
        <v>1616</v>
      </c>
      <c r="G36" s="978"/>
    </row>
    <row r="37" spans="1:7" ht="13.5" thickBot="1">
      <c r="A37" s="1007" t="s">
        <v>1617</v>
      </c>
      <c r="B37" s="978"/>
      <c r="C37" s="2807" t="s">
        <v>1618</v>
      </c>
      <c r="D37" s="2065" t="s">
        <v>1602</v>
      </c>
      <c r="E37" s="1003"/>
      <c r="F37" s="1893" t="s">
        <v>1619</v>
      </c>
      <c r="G37" s="1004"/>
    </row>
    <row r="38" spans="1:7">
      <c r="A38" s="1007" t="s">
        <v>1620</v>
      </c>
      <c r="B38" s="978"/>
      <c r="C38" s="2813"/>
      <c r="D38" s="1891" t="s">
        <v>1609</v>
      </c>
      <c r="E38" s="978"/>
      <c r="F38" s="1010" t="s">
        <v>1621</v>
      </c>
      <c r="G38" s="1003"/>
    </row>
    <row r="39" spans="1:7">
      <c r="A39" s="1007" t="s">
        <v>1622</v>
      </c>
      <c r="B39" s="978"/>
      <c r="C39" s="2813" t="s">
        <v>1623</v>
      </c>
      <c r="D39" s="1891" t="s">
        <v>1566</v>
      </c>
      <c r="E39" s="978"/>
      <c r="F39" s="1892" t="s">
        <v>1624</v>
      </c>
      <c r="G39" s="978"/>
    </row>
    <row r="40" spans="1:7" ht="24.75" customHeight="1" thickBot="1">
      <c r="A40" s="1008" t="s">
        <v>1625</v>
      </c>
      <c r="B40" s="1004">
        <v>2005</v>
      </c>
      <c r="C40" s="2814"/>
      <c r="D40" s="1894" t="s">
        <v>1570</v>
      </c>
      <c r="E40" s="1004"/>
      <c r="F40" s="1893" t="s">
        <v>1626</v>
      </c>
      <c r="G40" s="1004"/>
    </row>
    <row r="41" spans="1:7">
      <c r="A41" s="1009" t="s">
        <v>1627</v>
      </c>
      <c r="B41" s="1059"/>
      <c r="C41" s="2803" t="s">
        <v>1627</v>
      </c>
      <c r="D41" s="2804"/>
      <c r="E41" s="1059"/>
      <c r="F41" s="1010" t="s">
        <v>1628</v>
      </c>
      <c r="G41" s="1059"/>
    </row>
    <row r="42" spans="1:7">
      <c r="A42" s="1056" t="s">
        <v>1629</v>
      </c>
      <c r="B42" s="1060"/>
      <c r="C42" s="2066"/>
      <c r="D42" s="2067"/>
      <c r="E42" s="1060"/>
      <c r="F42" s="1058"/>
      <c r="G42" s="1060"/>
    </row>
    <row r="43" spans="1:7">
      <c r="A43" s="94" t="s">
        <v>1583</v>
      </c>
      <c r="B43" s="1057"/>
      <c r="C43" s="2066"/>
      <c r="D43" s="2068" t="s">
        <v>1583</v>
      </c>
      <c r="E43" s="1057"/>
      <c r="F43" s="94" t="s">
        <v>1583</v>
      </c>
      <c r="G43" s="1057"/>
    </row>
    <row r="44" spans="1:7">
      <c r="A44" s="94" t="s">
        <v>1584</v>
      </c>
      <c r="B44" s="1057"/>
      <c r="C44" s="2066"/>
      <c r="D44" s="2052" t="s">
        <v>1584</v>
      </c>
      <c r="E44" s="1057"/>
      <c r="F44" s="94" t="s">
        <v>1584</v>
      </c>
      <c r="G44" s="1057"/>
    </row>
    <row r="45" spans="1:7">
      <c r="A45" s="94" t="s">
        <v>1585</v>
      </c>
      <c r="B45" s="1057"/>
      <c r="C45" s="2066"/>
      <c r="D45" s="2052" t="s">
        <v>1585</v>
      </c>
      <c r="E45" s="1057"/>
      <c r="F45" s="94" t="s">
        <v>1585</v>
      </c>
      <c r="G45" s="1057"/>
    </row>
    <row r="46" spans="1:7">
      <c r="A46" s="94" t="s">
        <v>1586</v>
      </c>
      <c r="B46" s="1057"/>
      <c r="C46" s="2066"/>
      <c r="D46" s="2052" t="s">
        <v>1586</v>
      </c>
      <c r="E46" s="1057"/>
      <c r="F46" s="94" t="s">
        <v>1586</v>
      </c>
      <c r="G46" s="1057"/>
    </row>
    <row r="47" spans="1:7">
      <c r="A47" s="1056"/>
      <c r="B47" s="1057"/>
      <c r="C47" s="2066"/>
      <c r="D47" s="2067"/>
      <c r="E47" s="1057"/>
      <c r="F47" s="1058"/>
      <c r="G47" s="1057"/>
    </row>
    <row r="48" spans="1:7" ht="13.5" thickBot="1">
      <c r="A48" s="1008" t="s">
        <v>1630</v>
      </c>
      <c r="B48" s="1004"/>
      <c r="C48" s="2805" t="s">
        <v>1630</v>
      </c>
      <c r="D48" s="2806"/>
      <c r="E48" s="1054"/>
      <c r="F48" s="1893" t="s">
        <v>1631</v>
      </c>
      <c r="G48" s="1004"/>
    </row>
    <row r="49" spans="1:15">
      <c r="A49" s="1007" t="s">
        <v>1632</v>
      </c>
      <c r="B49" s="1053"/>
      <c r="C49" s="2807" t="s">
        <v>1633</v>
      </c>
      <c r="D49" s="2808"/>
      <c r="E49" s="1055"/>
      <c r="F49" s="1083"/>
      <c r="G49" s="1084"/>
    </row>
    <row r="50" spans="1:15" ht="13.5" thickBot="1">
      <c r="A50" s="1007" t="s">
        <v>1634</v>
      </c>
      <c r="B50" s="2746" t="s">
        <v>2831</v>
      </c>
      <c r="C50" s="2814" t="s">
        <v>1635</v>
      </c>
      <c r="D50" s="2817"/>
      <c r="E50" s="1004"/>
      <c r="F50" s="1020"/>
      <c r="G50" s="1073"/>
    </row>
    <row r="51" spans="1:15">
      <c r="A51" s="1007" t="s">
        <v>1613</v>
      </c>
      <c r="B51" s="978"/>
      <c r="C51" s="1020"/>
      <c r="D51" s="1020"/>
      <c r="E51" s="1020"/>
      <c r="F51" s="1020"/>
      <c r="G51" s="1073"/>
    </row>
    <row r="52" spans="1:15" ht="24.75" thickBot="1">
      <c r="A52" s="1008" t="s">
        <v>1636</v>
      </c>
      <c r="B52" s="1005">
        <v>61509</v>
      </c>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8"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3" sqref="B33"/>
    </sheetView>
  </sheetViews>
  <sheetFormatPr defaultColWidth="13.75" defaultRowHeight="12.75"/>
  <cols>
    <col min="1" max="1" width="20.875" style="2123" customWidth="1"/>
    <col min="2" max="2" width="16.75" style="2070" customWidth="1"/>
    <col min="3" max="3" width="10.75" style="2070" customWidth="1"/>
    <col min="4" max="4" width="31.625" style="2124" customWidth="1"/>
    <col min="5" max="5" width="17.625" style="2124" customWidth="1"/>
    <col min="6" max="8" width="9.125" style="1851"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1637</v>
      </c>
      <c r="B1" s="1236"/>
      <c r="C1" s="1236"/>
      <c r="D1" s="1851"/>
      <c r="E1" s="1851"/>
      <c r="AE1" s="1236"/>
      <c r="AF1" s="1236"/>
      <c r="AG1" s="1236"/>
      <c r="AH1" s="1236"/>
      <c r="AI1" s="1236"/>
      <c r="AJ1" s="1236"/>
      <c r="AK1" s="1236"/>
      <c r="AL1" s="1236"/>
      <c r="AM1" s="1236"/>
      <c r="AN1" s="1236"/>
      <c r="AO1" s="1236"/>
    </row>
    <row r="2" spans="1:41" s="2074" customFormat="1" ht="15.75" thickBot="1">
      <c r="A2" s="2071" t="s">
        <v>1638</v>
      </c>
      <c r="B2" s="1208">
        <f>项目基本情况!D2</f>
        <v>43257</v>
      </c>
      <c r="C2" s="1853"/>
      <c r="D2" s="2836" t="s">
        <v>1639</v>
      </c>
      <c r="E2" s="2072"/>
      <c r="F2" s="2073"/>
      <c r="G2" s="2073"/>
      <c r="H2" s="2073"/>
      <c r="I2" s="1853"/>
      <c r="J2" s="1853"/>
      <c r="K2" s="1853"/>
      <c r="L2" s="1853"/>
      <c r="M2" s="1853"/>
      <c r="N2" s="1853"/>
      <c r="O2" s="1846"/>
      <c r="P2" s="1846"/>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row>
    <row r="3" spans="1:41" s="2074" customFormat="1" ht="15" customHeight="1" thickBot="1">
      <c r="A3" s="387" t="s">
        <v>1640</v>
      </c>
      <c r="B3" s="2075" t="s">
        <v>2827</v>
      </c>
      <c r="C3" s="1853"/>
      <c r="D3" s="2837"/>
      <c r="E3" s="1187" t="s">
        <v>2826</v>
      </c>
      <c r="F3" s="2073"/>
      <c r="G3" s="2073"/>
      <c r="H3" s="2073"/>
      <c r="I3" s="1853"/>
      <c r="J3" s="1853"/>
      <c r="K3" s="1853"/>
      <c r="L3" s="1853"/>
      <c r="M3" s="1853"/>
      <c r="N3" s="1853"/>
      <c r="O3" s="1846"/>
      <c r="P3" s="1846"/>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row>
    <row r="4" spans="1:41" s="2074" customFormat="1" ht="15" thickBot="1">
      <c r="A4" s="1483" t="s">
        <v>1641</v>
      </c>
      <c r="B4" s="2075" t="s">
        <v>2910</v>
      </c>
      <c r="C4" s="1853"/>
      <c r="D4" s="2837"/>
      <c r="E4" s="1187"/>
      <c r="F4" s="2073"/>
      <c r="G4" s="2073"/>
      <c r="H4" s="2073"/>
      <c r="I4" s="1853"/>
      <c r="J4" s="1853"/>
      <c r="K4" s="1853"/>
      <c r="L4" s="1853"/>
      <c r="M4" s="1853"/>
      <c r="N4" s="1853"/>
      <c r="O4" s="1846"/>
      <c r="P4" s="1846"/>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row>
    <row r="5" spans="1:41" s="2074" customFormat="1" ht="15.75" thickBot="1">
      <c r="A5" s="2076" t="s">
        <v>1642</v>
      </c>
      <c r="B5" s="1317">
        <f>项目基本情况!C12</f>
        <v>218.48</v>
      </c>
      <c r="C5" s="1853"/>
      <c r="D5" s="2077" t="s">
        <v>1643</v>
      </c>
      <c r="E5" s="393"/>
      <c r="F5" s="2073"/>
      <c r="G5" s="2073"/>
      <c r="H5" s="2073"/>
      <c r="I5" s="1853"/>
      <c r="J5" s="1853"/>
      <c r="K5" s="1853"/>
      <c r="L5" s="1853"/>
      <c r="M5" s="1853"/>
      <c r="N5" s="1853"/>
      <c r="O5" s="1846"/>
      <c r="P5" s="1846"/>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row>
    <row r="6" spans="1:41" s="2074" customFormat="1" ht="15.75" thickBot="1">
      <c r="A6" s="2078" t="s">
        <v>1644</v>
      </c>
      <c r="B6" s="1318">
        <f>项目基本情况!C13</f>
        <v>0</v>
      </c>
      <c r="C6" s="1853"/>
      <c r="D6" s="2077" t="s">
        <v>1645</v>
      </c>
      <c r="E6" s="393"/>
      <c r="F6" s="2073"/>
      <c r="G6" s="2073"/>
      <c r="H6" s="2073"/>
      <c r="I6" s="1853"/>
      <c r="J6" s="1853"/>
      <c r="K6" s="1853"/>
      <c r="L6" s="1853"/>
      <c r="M6" s="1853"/>
      <c r="N6" s="1853"/>
      <c r="O6" s="1846"/>
      <c r="P6" s="1846"/>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row>
    <row r="7" spans="1:41" s="2074" customFormat="1" ht="15">
      <c r="A7" s="2079"/>
      <c r="B7" s="1853"/>
      <c r="C7" s="1853"/>
      <c r="D7" s="2080"/>
      <c r="E7" s="2080"/>
      <c r="F7" s="2073"/>
      <c r="G7" s="2073"/>
      <c r="H7" s="2073"/>
      <c r="I7" s="1853"/>
      <c r="J7" s="1853"/>
      <c r="K7" s="1853"/>
      <c r="L7" s="1853"/>
      <c r="M7" s="1853"/>
      <c r="N7" s="1853"/>
      <c r="O7" s="1846"/>
      <c r="P7" s="1846"/>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row>
    <row r="8" spans="1:41" s="2074" customFormat="1" ht="15">
      <c r="A8" s="2079"/>
      <c r="B8" s="1853"/>
      <c r="C8" s="1853"/>
      <c r="D8" s="2080"/>
      <c r="E8" s="2080"/>
      <c r="F8" s="2073"/>
      <c r="G8" s="2073"/>
      <c r="H8" s="2073"/>
      <c r="I8" s="1853"/>
      <c r="J8" s="1853"/>
      <c r="K8" s="1853"/>
      <c r="L8" s="1853"/>
      <c r="M8" s="1853"/>
      <c r="N8" s="1853"/>
      <c r="O8" s="1846"/>
      <c r="P8" s="1846"/>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row>
    <row r="9" spans="1:41" s="2074" customFormat="1" ht="15" thickBot="1">
      <c r="A9" s="1853"/>
      <c r="B9" s="1853"/>
      <c r="C9" s="1853"/>
      <c r="D9" s="2073"/>
      <c r="E9" s="2073"/>
      <c r="F9" s="2073"/>
      <c r="G9" s="2073"/>
      <c r="H9" s="2073"/>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1853"/>
      <c r="AM9" s="1853"/>
      <c r="AN9" s="1853"/>
      <c r="AO9" s="1853"/>
    </row>
    <row r="10" spans="1:41" s="2074" customFormat="1" ht="15" thickBot="1">
      <c r="A10" s="2081" t="s">
        <v>1646</v>
      </c>
      <c r="B10" s="2082" t="s">
        <v>2817</v>
      </c>
      <c r="C10" s="1853"/>
      <c r="D10" s="2071" t="s">
        <v>1647</v>
      </c>
      <c r="E10" s="2083" t="s">
        <v>1648</v>
      </c>
      <c r="F10" s="1144" t="s">
        <v>1649</v>
      </c>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row>
    <row r="11" spans="1:41" s="2087" customFormat="1" ht="14.25">
      <c r="A11" s="2084" t="s">
        <v>1650</v>
      </c>
      <c r="B11" s="990">
        <v>50</v>
      </c>
      <c r="C11" s="1853"/>
      <c r="D11" s="2085" t="s">
        <v>1651</v>
      </c>
      <c r="E11" s="34"/>
      <c r="F11" s="1852" t="s">
        <v>1652</v>
      </c>
      <c r="G11" s="1853"/>
      <c r="H11" s="1853"/>
      <c r="I11" s="1853"/>
      <c r="J11" s="1853"/>
      <c r="K11" s="1853"/>
      <c r="L11" s="2086"/>
      <c r="M11" s="2086"/>
      <c r="N11" s="2086"/>
      <c r="O11" s="2086"/>
      <c r="P11" s="2086"/>
      <c r="Q11" s="2086"/>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row>
    <row r="12" spans="1:41" s="2074" customFormat="1" ht="15">
      <c r="A12" s="2088" t="s">
        <v>1653</v>
      </c>
      <c r="B12" s="2738">
        <f>项目基本情况!B52</f>
        <v>61509</v>
      </c>
      <c r="C12" s="1853"/>
      <c r="D12" s="2089" t="s">
        <v>1654</v>
      </c>
      <c r="E12" s="37">
        <v>200</v>
      </c>
      <c r="F12" s="1846"/>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row>
    <row r="13" spans="1:41" s="2074" customFormat="1" ht="15" thickBot="1">
      <c r="A13" s="2090" t="s">
        <v>1655</v>
      </c>
      <c r="B13" s="991">
        <f>IF(B12="",B11-(YEAR($B$2)-B26+B23),ROUNDDOWN(MIN((B12-$B$2)/365,B11),2))</f>
        <v>50</v>
      </c>
      <c r="C13" s="2091"/>
      <c r="D13" s="2092" t="s">
        <v>1656</v>
      </c>
      <c r="E13" s="39">
        <f>ROUND(E12*B5/10000,2)</f>
        <v>4.37</v>
      </c>
      <c r="F13" s="1847" t="s">
        <v>1657</v>
      </c>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853"/>
      <c r="AN13" s="1853"/>
      <c r="AO13" s="1853"/>
    </row>
    <row r="14" spans="1:41" s="2074" customFormat="1" ht="14.25">
      <c r="A14" s="2088" t="s">
        <v>1658</v>
      </c>
      <c r="B14" s="992">
        <f>IF(ISERROR(ROUND(POWER(1+B15,B11-B13)*(POWER(1+B15,B13)-1)/(POWER(1+B15,B11)-1),3)),0,ROUND(POWER(1+B15,B11-B13)*(POWER(1+B15,B13)-1)/(POWER(1+B15,B11)-1),3))</f>
        <v>1</v>
      </c>
      <c r="C14" s="1853"/>
      <c r="D14" s="2093" t="s">
        <v>1659</v>
      </c>
      <c r="E14" s="709">
        <v>200</v>
      </c>
      <c r="F14" s="1846"/>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row>
    <row r="15" spans="1:41" s="2074" customFormat="1" ht="14.25">
      <c r="A15" s="2088" t="s">
        <v>1660</v>
      </c>
      <c r="B15" s="30">
        <v>5.5E-2</v>
      </c>
      <c r="C15" s="1853"/>
      <c r="D15" s="2089" t="s">
        <v>1661</v>
      </c>
      <c r="E15" s="38">
        <f>E14-E16</f>
        <v>200</v>
      </c>
      <c r="F15" s="1848"/>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1853"/>
      <c r="AM15" s="1853"/>
      <c r="AN15" s="1853"/>
      <c r="AO15" s="1853"/>
    </row>
    <row r="16" spans="1:41" s="2074" customFormat="1" ht="15" thickBot="1">
      <c r="A16" s="2088" t="s">
        <v>1662</v>
      </c>
      <c r="B16" s="30">
        <v>0.06</v>
      </c>
      <c r="C16" s="1853"/>
      <c r="D16" s="2094" t="s">
        <v>1663</v>
      </c>
      <c r="E16" s="710">
        <v>0</v>
      </c>
      <c r="F16" s="1849"/>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41" s="2074" customFormat="1" ht="15" thickBot="1">
      <c r="A17" s="2095" t="s">
        <v>1664</v>
      </c>
      <c r="B17" s="997">
        <v>8.5000000000000006E-2</v>
      </c>
      <c r="C17" s="1853"/>
      <c r="D17" s="2081" t="s">
        <v>1665</v>
      </c>
      <c r="E17" s="985">
        <v>3500</v>
      </c>
      <c r="F17" s="1236"/>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1:41" s="2074" customFormat="1" ht="15" thickBot="1">
      <c r="A18" s="1853"/>
      <c r="B18" s="1853"/>
      <c r="C18" s="1853"/>
      <c r="D18" s="2096" t="str">
        <f>IF(B25=0,"建安总额","在建建安")</f>
        <v>建安总额</v>
      </c>
      <c r="E18" s="986">
        <f>ROUND(B5*E17*IF(B25=0,1,E20),0)</f>
        <v>764680</v>
      </c>
      <c r="F18" s="1319">
        <f>ROUND(E5*E17*IF(B25=0,1,E20),0)</f>
        <v>0</v>
      </c>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1:41" s="2074" customFormat="1" ht="15" thickBot="1">
      <c r="A19" s="25" t="s">
        <v>1666</v>
      </c>
      <c r="B19" s="1853"/>
      <c r="C19" s="1853"/>
      <c r="D19" s="2096" t="str">
        <f>IF(B25=0,"——","续建建安")</f>
        <v>——</v>
      </c>
      <c r="E19" s="986" t="str">
        <f>IF(B25=0,"——",ROUND(B5*E17*(1-E20),0))</f>
        <v>——</v>
      </c>
      <c r="F19" s="1319" t="str">
        <f>IF(B25=0,"——",ROUND(E5*E17*(1-E20),0))</f>
        <v>——</v>
      </c>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1:41" s="2074" customFormat="1" ht="15" thickBot="1">
      <c r="A20" s="2097" t="s">
        <v>1667</v>
      </c>
      <c r="B20" s="31">
        <v>0</v>
      </c>
      <c r="C20" s="1853"/>
      <c r="D20" s="2098" t="str">
        <f>IF(B25=0,"成新率","工程进度")</f>
        <v>成新率</v>
      </c>
      <c r="E20" s="987">
        <f>ROUND(1-(1-0%)*(2018-B26)/60,2)</f>
        <v>0.78</v>
      </c>
      <c r="F20" s="1236"/>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1:41" s="2074" customFormat="1" ht="14.25">
      <c r="A21" s="2099" t="s">
        <v>1668</v>
      </c>
      <c r="B21" s="32">
        <v>2</v>
      </c>
      <c r="C21" s="1853"/>
      <c r="D21" s="2089" t="s">
        <v>1669</v>
      </c>
      <c r="E21" s="711">
        <v>0.05</v>
      </c>
      <c r="F21" s="1850" t="s">
        <v>1670</v>
      </c>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1:41" s="2074" customFormat="1" ht="14.25">
      <c r="A22" s="2100" t="s">
        <v>1671</v>
      </c>
      <c r="B22" s="1452">
        <v>2</v>
      </c>
      <c r="C22" s="1853"/>
      <c r="D22" s="2089" t="s">
        <v>1672</v>
      </c>
      <c r="E22" s="40">
        <v>0</v>
      </c>
      <c r="F22" s="1850" t="s">
        <v>1673</v>
      </c>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1:41" s="2074" customFormat="1" ht="15" thickBot="1">
      <c r="A23" s="2101" t="s">
        <v>1674</v>
      </c>
      <c r="B23" s="33">
        <f>B20+B21</f>
        <v>2</v>
      </c>
      <c r="C23" s="1853"/>
      <c r="D23" s="2089" t="s">
        <v>1675</v>
      </c>
      <c r="E23" s="37">
        <v>200</v>
      </c>
      <c r="F23" s="1850" t="s">
        <v>1676</v>
      </c>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1:41" s="2074" customFormat="1" ht="15" thickBot="1">
      <c r="A24" s="2102" t="s">
        <v>1677</v>
      </c>
      <c r="B24" s="1740">
        <f>B20+B22</f>
        <v>2</v>
      </c>
      <c r="C24" s="1853"/>
      <c r="D24" s="2094" t="s">
        <v>1678</v>
      </c>
      <c r="E24" s="1816">
        <v>1.4999999999999999E-2</v>
      </c>
      <c r="F24" s="1850" t="s">
        <v>1679</v>
      </c>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1:41" ht="15" thickBot="1">
      <c r="A25" s="2101" t="s">
        <v>1680</v>
      </c>
      <c r="B25" s="1451">
        <f>B21-B22</f>
        <v>0</v>
      </c>
      <c r="C25" s="1236"/>
      <c r="D25" s="2085" t="s">
        <v>1681</v>
      </c>
      <c r="E25" s="711">
        <v>0.02</v>
      </c>
      <c r="F25" s="1850" t="s">
        <v>1682</v>
      </c>
      <c r="I25" s="1851"/>
      <c r="AE25" s="1236"/>
      <c r="AF25" s="1236"/>
      <c r="AG25" s="1236"/>
      <c r="AH25" s="1236"/>
      <c r="AI25" s="1236"/>
      <c r="AJ25" s="1236"/>
      <c r="AK25" s="1236"/>
      <c r="AL25" s="1236"/>
      <c r="AM25" s="1236"/>
      <c r="AN25" s="1236"/>
      <c r="AO25" s="1236"/>
    </row>
    <row r="26" spans="1:41" ht="15.75" thickBot="1">
      <c r="A26" s="2103" t="s">
        <v>1683</v>
      </c>
      <c r="B26" s="1093">
        <v>2005</v>
      </c>
      <c r="C26" s="1853"/>
      <c r="D26" s="2089" t="s">
        <v>1684</v>
      </c>
      <c r="E26" s="40">
        <v>0.02</v>
      </c>
      <c r="F26" s="1850" t="s">
        <v>1682</v>
      </c>
      <c r="G26" s="2073"/>
      <c r="H26" s="2073"/>
      <c r="I26" s="1853"/>
      <c r="J26" s="1853"/>
      <c r="K26" s="1853"/>
      <c r="L26" s="1853"/>
      <c r="M26" s="1853"/>
      <c r="N26" s="1853"/>
      <c r="AE26" s="1236"/>
      <c r="AF26" s="1236"/>
      <c r="AG26" s="1236"/>
      <c r="AH26" s="1236"/>
      <c r="AI26" s="1236"/>
      <c r="AJ26" s="1236"/>
      <c r="AK26" s="1236"/>
      <c r="AL26" s="1236"/>
      <c r="AM26" s="1236"/>
      <c r="AN26" s="1236"/>
      <c r="AO26" s="1236"/>
    </row>
    <row r="27" spans="1:41" ht="15" thickBot="1">
      <c r="A27" s="1236"/>
      <c r="B27" s="1236"/>
      <c r="C27" s="1236"/>
      <c r="D27" s="2089" t="s">
        <v>1685</v>
      </c>
      <c r="E27" s="352">
        <f ca="1">存贷款利率!G1</f>
        <v>4.7500000000000001E-2</v>
      </c>
      <c r="F27" s="1850" t="s">
        <v>1686</v>
      </c>
      <c r="G27" s="2073"/>
      <c r="H27" s="2073"/>
      <c r="K27" s="1853"/>
      <c r="N27" s="1853"/>
      <c r="AE27" s="1236"/>
      <c r="AF27" s="1236"/>
      <c r="AG27" s="1236"/>
      <c r="AH27" s="1236"/>
      <c r="AI27" s="1236"/>
      <c r="AJ27" s="1236"/>
      <c r="AK27" s="1236"/>
      <c r="AL27" s="1236"/>
      <c r="AM27" s="1236"/>
      <c r="AN27" s="1236"/>
      <c r="AO27" s="1236"/>
    </row>
    <row r="28" spans="1:41" ht="15" thickBot="1">
      <c r="A28" s="2104" t="s">
        <v>1687</v>
      </c>
      <c r="B28" s="2105" t="s">
        <v>2903</v>
      </c>
      <c r="C28" s="1236"/>
      <c r="D28" s="2106" t="s">
        <v>1688</v>
      </c>
      <c r="E28" s="989">
        <v>0.2</v>
      </c>
      <c r="G28" s="2073"/>
      <c r="H28" s="2073"/>
      <c r="K28" s="1853"/>
      <c r="N28" s="1853"/>
      <c r="AE28" s="1236"/>
      <c r="AF28" s="1236"/>
      <c r="AG28" s="1236"/>
      <c r="AH28" s="1236"/>
      <c r="AI28" s="1236"/>
      <c r="AJ28" s="1236"/>
      <c r="AK28" s="1236"/>
      <c r="AL28" s="1236"/>
      <c r="AM28" s="1236"/>
      <c r="AN28" s="1236"/>
      <c r="AO28" s="1236"/>
    </row>
    <row r="29" spans="1:41" ht="14.25">
      <c r="A29" s="2088" t="str">
        <f>IF(B28="租赁期内按合同租金","合同租金","市场租金")</f>
        <v>市场租金</v>
      </c>
      <c r="B29" s="2742">
        <v>6</v>
      </c>
      <c r="C29" s="1236"/>
      <c r="D29" s="2093" t="s">
        <v>1689</v>
      </c>
      <c r="E29" s="988">
        <f>E30+E31</f>
        <v>5.6000000000000001E-2</v>
      </c>
      <c r="F29" s="1847"/>
      <c r="G29" s="2073"/>
      <c r="H29" s="2073"/>
      <c r="K29" s="1853"/>
      <c r="N29" s="1853"/>
      <c r="AE29" s="1236"/>
      <c r="AF29" s="1236"/>
      <c r="AG29" s="1236"/>
      <c r="AH29" s="1236"/>
      <c r="AI29" s="1236"/>
      <c r="AJ29" s="1236"/>
      <c r="AK29" s="1236"/>
      <c r="AL29" s="1236"/>
      <c r="AM29" s="1236"/>
      <c r="AN29" s="1236"/>
      <c r="AO29" s="1236"/>
    </row>
    <row r="30" spans="1:41" ht="14.25">
      <c r="A30" s="2088" t="s">
        <v>1690</v>
      </c>
      <c r="B30" s="1417">
        <f ca="1">存贷款利率!I1</f>
        <v>1.4999999999999999E-2</v>
      </c>
      <c r="C30" s="1236"/>
      <c r="D30" s="2107" t="s">
        <v>1691</v>
      </c>
      <c r="E30" s="41">
        <v>0.05</v>
      </c>
      <c r="F30" s="1858">
        <f>IF(B2&lt;DATE(2016,5,1),0,E30)</f>
        <v>0.05</v>
      </c>
      <c r="G30" s="2073"/>
      <c r="H30" s="2073"/>
      <c r="K30" s="1853"/>
      <c r="N30" s="1853"/>
      <c r="AE30" s="1236"/>
      <c r="AF30" s="1236"/>
      <c r="AG30" s="1236"/>
      <c r="AH30" s="1236"/>
      <c r="AI30" s="1236"/>
      <c r="AJ30" s="1236"/>
      <c r="AK30" s="1236"/>
      <c r="AL30" s="1236"/>
      <c r="AM30" s="1236"/>
      <c r="AN30" s="1236"/>
      <c r="AO30" s="1236"/>
    </row>
    <row r="31" spans="1:41" ht="14.25">
      <c r="A31" s="2088" t="s">
        <v>1692</v>
      </c>
      <c r="B31" s="30">
        <v>0.02</v>
      </c>
      <c r="C31" s="1236"/>
      <c r="D31" s="2107" t="s">
        <v>1693</v>
      </c>
      <c r="E31" s="42">
        <f>E30*(E32+E33+E34)+E35</f>
        <v>6.000000000000001E-3</v>
      </c>
      <c r="F31" s="1847"/>
      <c r="G31" s="2073"/>
      <c r="H31" s="2073"/>
      <c r="K31" s="1853"/>
      <c r="N31" s="1853"/>
      <c r="AE31" s="1236"/>
      <c r="AF31" s="1236"/>
      <c r="AG31" s="1236"/>
      <c r="AH31" s="1236"/>
      <c r="AI31" s="1236"/>
      <c r="AJ31" s="1236"/>
      <c r="AK31" s="1236"/>
      <c r="AL31" s="1236"/>
      <c r="AM31" s="1236"/>
      <c r="AN31" s="1236"/>
      <c r="AO31" s="1236"/>
    </row>
    <row r="32" spans="1:41" ht="14.25">
      <c r="A32" s="2088" t="s">
        <v>1694</v>
      </c>
      <c r="B32" s="30">
        <v>0.05</v>
      </c>
      <c r="C32" s="1236"/>
      <c r="D32" s="2108" t="s">
        <v>1695</v>
      </c>
      <c r="E32" s="43">
        <v>7.0000000000000007E-2</v>
      </c>
      <c r="F32" s="1845" t="s">
        <v>1696</v>
      </c>
      <c r="G32" s="2073"/>
      <c r="H32" s="2073"/>
      <c r="K32" s="1853"/>
      <c r="L32" s="1853"/>
      <c r="M32" s="1853"/>
      <c r="N32" s="1853"/>
      <c r="AE32" s="1236"/>
      <c r="AF32" s="1236"/>
      <c r="AG32" s="1236"/>
      <c r="AH32" s="1236"/>
      <c r="AI32" s="1236"/>
      <c r="AJ32" s="1236"/>
      <c r="AK32" s="1236"/>
      <c r="AL32" s="1236"/>
      <c r="AM32" s="1236"/>
      <c r="AN32" s="1236"/>
      <c r="AO32" s="1236"/>
    </row>
    <row r="33" spans="1:41" ht="14.25">
      <c r="A33" s="2088" t="s">
        <v>1697</v>
      </c>
      <c r="B33" s="1378">
        <f>收益法!J54</f>
        <v>47</v>
      </c>
      <c r="C33" s="1236"/>
      <c r="D33" s="2108" t="s">
        <v>1698</v>
      </c>
      <c r="E33" s="41">
        <v>0.03</v>
      </c>
      <c r="F33" s="1844" t="s">
        <v>1699</v>
      </c>
      <c r="G33" s="2073"/>
      <c r="H33" s="2073"/>
      <c r="K33" s="1853"/>
      <c r="L33" s="1853"/>
      <c r="M33" s="1853"/>
      <c r="N33" s="1853"/>
      <c r="AE33" s="1236"/>
      <c r="AF33" s="1236"/>
      <c r="AG33" s="1236"/>
      <c r="AH33" s="1236"/>
      <c r="AI33" s="1236"/>
      <c r="AJ33" s="1236"/>
      <c r="AK33" s="1236"/>
      <c r="AL33" s="1236"/>
      <c r="AM33" s="1236"/>
      <c r="AN33" s="1236"/>
      <c r="AO33" s="1236"/>
    </row>
    <row r="34" spans="1:41" s="2110" customFormat="1" ht="15" thickBot="1">
      <c r="A34" s="2107" t="str">
        <f>IF(B28="租赁期内按合同租金","剩余租赁期","——")</f>
        <v>——</v>
      </c>
      <c r="B34" s="2749"/>
      <c r="C34" s="1236"/>
      <c r="D34" s="2108" t="s">
        <v>1700</v>
      </c>
      <c r="E34" s="41">
        <v>0.02</v>
      </c>
      <c r="F34" s="1844" t="s">
        <v>1701</v>
      </c>
      <c r="G34" s="2109"/>
      <c r="H34" s="2109"/>
      <c r="I34" s="1846"/>
      <c r="J34" s="1846"/>
      <c r="K34" s="1853"/>
      <c r="L34" s="1853"/>
      <c r="M34" s="1853"/>
      <c r="N34" s="1853"/>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0" customFormat="1" ht="15.75" thickBot="1">
      <c r="A35" s="2111" t="s">
        <v>1702</v>
      </c>
      <c r="B35" s="994"/>
      <c r="C35" s="1236"/>
      <c r="D35" s="2112" t="s">
        <v>1703</v>
      </c>
      <c r="E35" s="44">
        <v>0</v>
      </c>
      <c r="F35" s="1852" t="s">
        <v>1704</v>
      </c>
      <c r="G35" s="2109"/>
      <c r="H35" s="2109"/>
      <c r="I35" s="1846"/>
      <c r="J35" s="1846"/>
      <c r="K35" s="1853"/>
      <c r="L35" s="1853"/>
      <c r="M35" s="1853"/>
      <c r="N35" s="1853"/>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0" customFormat="1" ht="14.25">
      <c r="A36" s="2113" t="str">
        <f>IF(B28="租赁期内按合同租金","租金","——")</f>
        <v>——</v>
      </c>
      <c r="B36" s="998"/>
      <c r="C36" s="1236"/>
      <c r="D36" s="2114" t="s">
        <v>1705</v>
      </c>
      <c r="E36" s="45">
        <v>0.03</v>
      </c>
      <c r="F36" s="1848" t="s">
        <v>1706</v>
      </c>
      <c r="G36" s="2109"/>
      <c r="H36" s="2109"/>
      <c r="I36" s="1846"/>
      <c r="J36" s="1846"/>
      <c r="K36" s="1853"/>
      <c r="L36" s="1853"/>
      <c r="M36" s="1853"/>
      <c r="N36" s="1853"/>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0" customFormat="1" ht="15" thickBot="1">
      <c r="A37" s="2088" t="str">
        <f>IF(B28="租赁期内按合同租金","年租金增长率","——")</f>
        <v>——</v>
      </c>
      <c r="B37" s="30"/>
      <c r="C37" s="1236"/>
      <c r="D37" s="2094" t="s">
        <v>1707</v>
      </c>
      <c r="E37" s="41">
        <v>5.0000000000000001E-4</v>
      </c>
      <c r="F37" s="1848" t="s">
        <v>1708</v>
      </c>
      <c r="G37" s="2073"/>
      <c r="H37" s="2073"/>
      <c r="I37" s="1853"/>
      <c r="J37" s="1853"/>
      <c r="K37" s="1853"/>
      <c r="L37" s="1853"/>
      <c r="M37" s="1853"/>
      <c r="N37" s="1853"/>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0" customFormat="1" ht="14.25">
      <c r="A38" s="2088" t="str">
        <f>IF(B28="租赁期内按合同租金","空置率","——")</f>
        <v>——</v>
      </c>
      <c r="B38" s="30"/>
      <c r="C38" s="1236"/>
      <c r="D38" s="2115" t="s">
        <v>1709</v>
      </c>
      <c r="E38" s="46">
        <v>1.2E-2</v>
      </c>
      <c r="F38" s="1846"/>
      <c r="G38" s="1851"/>
      <c r="H38" s="1851"/>
      <c r="I38" s="2073"/>
      <c r="J38" s="1853"/>
      <c r="K38" s="1853"/>
      <c r="L38" s="1853"/>
      <c r="M38" s="1853"/>
      <c r="N38" s="1853"/>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0" customFormat="1" ht="15" thickBot="1">
      <c r="A39" s="2088" t="str">
        <f>IF(B28="租赁期内按合同租金","成新率","——")</f>
        <v>——</v>
      </c>
      <c r="B39" s="2737"/>
      <c r="C39" s="1236"/>
      <c r="D39" s="2092" t="s">
        <v>1710</v>
      </c>
      <c r="E39" s="47">
        <v>0.12</v>
      </c>
      <c r="F39" s="1846"/>
      <c r="G39" s="2109"/>
      <c r="H39" s="2109"/>
      <c r="I39" s="1846"/>
      <c r="J39" s="1846"/>
      <c r="K39" s="1853"/>
      <c r="L39" s="1853"/>
      <c r="M39" s="1853"/>
      <c r="N39" s="1853"/>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7" t="str">
        <f>IF(B28="租赁期内按合同租金","租赁期外收益期","——")</f>
        <v>——</v>
      </c>
      <c r="B40" s="1192" t="str">
        <f>IF(B28="租赁期内按合同租金",B33-B34,"——")</f>
        <v>——</v>
      </c>
      <c r="C40" s="1236"/>
      <c r="D40" s="2115" t="s">
        <v>1711</v>
      </c>
      <c r="E40" s="48">
        <f>SUMIF(D42:D51,E41,E42:E51)</f>
        <v>24</v>
      </c>
      <c r="F40" s="1846"/>
      <c r="G40" s="2073"/>
      <c r="H40" s="2073"/>
      <c r="I40" s="1853"/>
      <c r="J40" s="1853"/>
      <c r="K40" s="1853"/>
      <c r="L40" s="1853"/>
      <c r="M40" s="1853"/>
      <c r="N40" s="1853"/>
      <c r="AE40" s="1236"/>
      <c r="AF40" s="1236"/>
      <c r="AG40" s="1236"/>
      <c r="AH40" s="1236"/>
      <c r="AI40" s="1236"/>
      <c r="AJ40" s="1236"/>
      <c r="AK40" s="1236"/>
      <c r="AL40" s="1236"/>
      <c r="AM40" s="1236"/>
      <c r="AN40" s="1236"/>
      <c r="AO40" s="1236"/>
    </row>
    <row r="41" spans="1:41" ht="14.25">
      <c r="A41" s="2116" t="s">
        <v>1712</v>
      </c>
      <c r="B41" s="999"/>
      <c r="C41" s="1236"/>
      <c r="D41" s="2089" t="s">
        <v>1713</v>
      </c>
      <c r="E41" s="2117" t="s">
        <v>221</v>
      </c>
      <c r="F41" s="1846" t="s">
        <v>1714</v>
      </c>
      <c r="G41" s="2118" t="s">
        <v>1715</v>
      </c>
      <c r="H41" s="2073"/>
      <c r="I41" s="1853"/>
      <c r="J41" s="1853"/>
      <c r="K41" s="1853"/>
      <c r="L41" s="1853"/>
      <c r="M41" s="1853"/>
      <c r="N41" s="1853"/>
      <c r="AE41" s="1236"/>
      <c r="AF41" s="1236"/>
      <c r="AG41" s="1236"/>
      <c r="AH41" s="1236"/>
      <c r="AI41" s="1236"/>
      <c r="AJ41" s="1236"/>
      <c r="AK41" s="1236"/>
      <c r="AL41" s="1236"/>
      <c r="AM41" s="1236"/>
      <c r="AN41" s="1236"/>
      <c r="AO41" s="1236"/>
    </row>
    <row r="42" spans="1:41" ht="14.25">
      <c r="A42" s="2088" t="s">
        <v>1716</v>
      </c>
      <c r="B42" s="993">
        <v>365</v>
      </c>
      <c r="C42" s="1236"/>
      <c r="D42" s="2119" t="s">
        <v>1717</v>
      </c>
      <c r="E42" s="29"/>
      <c r="F42" s="1846">
        <v>30</v>
      </c>
      <c r="G42" s="2073"/>
      <c r="H42" s="2073"/>
      <c r="I42" s="1853"/>
      <c r="J42" s="1853"/>
      <c r="K42" s="1853"/>
      <c r="L42" s="1853"/>
      <c r="M42" s="1853"/>
      <c r="N42" s="1853"/>
      <c r="AE42" s="1236"/>
      <c r="AF42" s="1236"/>
      <c r="AG42" s="1236"/>
      <c r="AH42" s="1236"/>
      <c r="AI42" s="1236"/>
      <c r="AJ42" s="1236"/>
      <c r="AK42" s="1236"/>
      <c r="AL42" s="1236"/>
      <c r="AM42" s="1236"/>
      <c r="AN42" s="1236"/>
      <c r="AO42" s="1236"/>
    </row>
    <row r="43" spans="1:41" ht="14.25">
      <c r="A43" s="2088" t="s">
        <v>1718</v>
      </c>
      <c r="B43" s="29"/>
      <c r="C43" s="1236"/>
      <c r="D43" s="2119" t="s">
        <v>1719</v>
      </c>
      <c r="E43" s="29">
        <v>24</v>
      </c>
      <c r="F43" s="1846">
        <v>24</v>
      </c>
      <c r="G43" s="2073"/>
      <c r="H43" s="2073"/>
      <c r="I43" s="1853"/>
      <c r="J43" s="1853"/>
      <c r="K43" s="1853"/>
      <c r="L43" s="1853"/>
      <c r="M43" s="1853"/>
      <c r="N43" s="1853"/>
      <c r="AE43" s="1236"/>
      <c r="AF43" s="1236"/>
      <c r="AG43" s="1236"/>
      <c r="AH43" s="1236"/>
      <c r="AI43" s="1236"/>
      <c r="AJ43" s="1236"/>
      <c r="AK43" s="1236"/>
      <c r="AL43" s="1236"/>
      <c r="AM43" s="1236"/>
      <c r="AN43" s="1236"/>
      <c r="AO43" s="1236"/>
    </row>
    <row r="44" spans="1:41" ht="14.25">
      <c r="A44" s="2088" t="s">
        <v>1720</v>
      </c>
      <c r="B44" s="1000">
        <v>1.4999999999999999E-2</v>
      </c>
      <c r="C44" s="1236" t="s">
        <v>969</v>
      </c>
      <c r="D44" s="2119" t="s">
        <v>1721</v>
      </c>
      <c r="E44" s="29"/>
      <c r="F44" s="1846">
        <v>18</v>
      </c>
      <c r="G44" s="1236"/>
      <c r="H44" s="1236"/>
      <c r="I44" s="2073"/>
      <c r="J44" s="1853"/>
      <c r="K44" s="1853"/>
      <c r="L44" s="1853"/>
      <c r="M44" s="1853"/>
      <c r="N44" s="1853"/>
      <c r="AE44" s="1236"/>
      <c r="AF44" s="1236"/>
      <c r="AG44" s="1236"/>
      <c r="AH44" s="1236"/>
      <c r="AI44" s="1236"/>
      <c r="AJ44" s="1236"/>
      <c r="AK44" s="1236"/>
      <c r="AL44" s="1236"/>
      <c r="AM44" s="1236"/>
      <c r="AN44" s="1236"/>
      <c r="AO44" s="1236"/>
    </row>
    <row r="45" spans="1:41" ht="14.25">
      <c r="A45" s="2088" t="s">
        <v>1722</v>
      </c>
      <c r="B45" s="1001">
        <v>1.5E-3</v>
      </c>
      <c r="C45" s="1236" t="s">
        <v>970</v>
      </c>
      <c r="D45" s="2119" t="s">
        <v>1723</v>
      </c>
      <c r="E45" s="29"/>
      <c r="F45" s="1846">
        <v>12</v>
      </c>
      <c r="G45" s="1236"/>
      <c r="H45" s="1236"/>
      <c r="M45" s="1853"/>
      <c r="N45" s="1853"/>
      <c r="AE45" s="1236"/>
      <c r="AF45" s="1236"/>
      <c r="AG45" s="1236"/>
      <c r="AH45" s="1236"/>
      <c r="AI45" s="1236"/>
      <c r="AJ45" s="1236"/>
      <c r="AK45" s="1236"/>
      <c r="AL45" s="1236"/>
      <c r="AM45" s="1236"/>
      <c r="AN45" s="1236"/>
      <c r="AO45" s="1236"/>
    </row>
    <row r="46" spans="1:41" ht="15" thickBot="1">
      <c r="A46" s="2106" t="s">
        <v>1724</v>
      </c>
      <c r="B46" s="1002">
        <v>0.01</v>
      </c>
      <c r="C46" s="1236" t="s">
        <v>971</v>
      </c>
      <c r="D46" s="2119" t="s">
        <v>1473</v>
      </c>
      <c r="E46" s="29"/>
      <c r="F46" s="1846">
        <v>3</v>
      </c>
      <c r="G46" s="1236"/>
      <c r="H46" s="1236"/>
      <c r="M46" s="1853"/>
      <c r="N46" s="1853"/>
      <c r="AE46" s="1236"/>
      <c r="AF46" s="1236"/>
      <c r="AG46" s="1236"/>
      <c r="AH46" s="1236"/>
      <c r="AI46" s="1236"/>
      <c r="AJ46" s="1236"/>
      <c r="AK46" s="1236"/>
      <c r="AL46" s="1236"/>
      <c r="AM46" s="1236"/>
      <c r="AN46" s="1236"/>
      <c r="AO46" s="1236"/>
    </row>
    <row r="47" spans="1:41" ht="14.25">
      <c r="A47" s="1236"/>
      <c r="B47" s="1236"/>
      <c r="C47" s="1236"/>
      <c r="D47" s="2119" t="s">
        <v>1725</v>
      </c>
      <c r="E47" s="29"/>
      <c r="F47" s="1846">
        <v>1.5</v>
      </c>
      <c r="G47" s="1236"/>
      <c r="H47" s="1236"/>
      <c r="M47" s="1853"/>
      <c r="N47" s="1853"/>
      <c r="AE47" s="1236"/>
      <c r="AF47" s="1236"/>
      <c r="AG47" s="1236"/>
      <c r="AH47" s="1236"/>
      <c r="AI47" s="1236"/>
      <c r="AJ47" s="1236"/>
      <c r="AK47" s="1236"/>
      <c r="AL47" s="1236"/>
      <c r="AM47" s="1236"/>
      <c r="AN47" s="1236"/>
      <c r="AO47" s="1236"/>
    </row>
    <row r="48" spans="1:41" ht="14.25">
      <c r="A48" s="1236"/>
      <c r="B48" s="1236"/>
      <c r="C48" s="1236"/>
      <c r="D48" s="2119" t="s">
        <v>1726</v>
      </c>
      <c r="E48" s="29"/>
      <c r="F48" s="1853"/>
      <c r="G48" s="1236"/>
      <c r="H48" s="1236"/>
      <c r="M48" s="1853"/>
      <c r="N48" s="1853"/>
      <c r="AE48" s="1236"/>
      <c r="AF48" s="1236"/>
      <c r="AG48" s="1236"/>
      <c r="AH48" s="1236"/>
      <c r="AI48" s="1236"/>
      <c r="AJ48" s="1236"/>
      <c r="AK48" s="1236"/>
      <c r="AL48" s="1236"/>
      <c r="AM48" s="1236"/>
      <c r="AN48" s="1236"/>
      <c r="AO48" s="1236"/>
    </row>
    <row r="49" spans="1:41" ht="14.25">
      <c r="A49" s="1236"/>
      <c r="B49" s="1236"/>
      <c r="C49" s="1236"/>
      <c r="D49" s="2119" t="s">
        <v>1727</v>
      </c>
      <c r="E49" s="29"/>
      <c r="F49" s="1853"/>
      <c r="G49" s="1236"/>
      <c r="H49" s="1236"/>
      <c r="M49" s="1853"/>
      <c r="N49" s="1853"/>
      <c r="AE49" s="1236"/>
      <c r="AF49" s="1236"/>
      <c r="AG49" s="1236"/>
      <c r="AH49" s="1236"/>
      <c r="AI49" s="1236"/>
      <c r="AJ49" s="1236"/>
      <c r="AK49" s="1236"/>
      <c r="AL49" s="1236"/>
      <c r="AM49" s="1236"/>
      <c r="AN49" s="1236"/>
      <c r="AO49" s="1236"/>
    </row>
    <row r="50" spans="1:41" ht="14.25">
      <c r="A50" s="1236"/>
      <c r="B50" s="1236"/>
      <c r="C50" s="1236"/>
      <c r="D50" s="2119" t="s">
        <v>1728</v>
      </c>
      <c r="E50" s="29"/>
      <c r="F50" s="1853"/>
      <c r="G50" s="1236"/>
      <c r="H50" s="1236"/>
      <c r="M50" s="1853"/>
      <c r="N50" s="1853"/>
      <c r="AE50" s="1236"/>
      <c r="AF50" s="1236"/>
      <c r="AG50" s="1236"/>
      <c r="AH50" s="1236"/>
      <c r="AI50" s="1236"/>
      <c r="AJ50" s="1236"/>
      <c r="AK50" s="1236"/>
      <c r="AL50" s="1236"/>
      <c r="AM50" s="1236"/>
      <c r="AN50" s="1236"/>
      <c r="AO50" s="1236"/>
    </row>
    <row r="51" spans="1:41" s="1236" customFormat="1" ht="15" thickBot="1">
      <c r="D51" s="2120" t="s">
        <v>1729</v>
      </c>
      <c r="E51" s="49"/>
      <c r="F51" s="1853"/>
      <c r="M51" s="1853"/>
      <c r="N51" s="1853"/>
      <c r="O51" s="84"/>
      <c r="P51" s="84"/>
    </row>
    <row r="52" spans="1:41" s="1236" customFormat="1" ht="14.25">
      <c r="D52" s="2073"/>
      <c r="E52" s="2073"/>
      <c r="F52" s="2073"/>
      <c r="G52" s="2073"/>
      <c r="H52" s="2073"/>
      <c r="I52" s="1853"/>
      <c r="J52" s="1853"/>
      <c r="K52" s="1853"/>
      <c r="L52" s="1853"/>
      <c r="M52" s="1853"/>
      <c r="N52" s="1853"/>
      <c r="O52" s="84"/>
      <c r="P52" s="84"/>
    </row>
    <row r="53" spans="1:41" s="1236" customFormat="1" ht="14.25">
      <c r="D53" s="2073"/>
      <c r="E53" s="2073"/>
      <c r="F53" s="2073"/>
      <c r="G53" s="2073"/>
      <c r="H53" s="2073"/>
      <c r="I53" s="1853"/>
      <c r="J53" s="1853"/>
      <c r="K53" s="1853"/>
      <c r="L53" s="1853"/>
      <c r="M53" s="1853"/>
      <c r="N53" s="1853"/>
      <c r="O53" s="84"/>
      <c r="P53" s="84"/>
    </row>
    <row r="54" spans="1:41" s="1236" customFormat="1" ht="14.25">
      <c r="D54" s="2073"/>
      <c r="E54" s="2073"/>
      <c r="F54" s="2073"/>
      <c r="G54" s="2073"/>
      <c r="H54" s="2073"/>
      <c r="I54" s="1853"/>
      <c r="J54" s="1853"/>
      <c r="K54" s="1853"/>
      <c r="L54" s="1853"/>
      <c r="M54" s="1853"/>
      <c r="N54" s="1853"/>
      <c r="O54" s="84"/>
      <c r="P54" s="84"/>
    </row>
    <row r="55" spans="1:41" s="1236" customFormat="1" ht="14.25">
      <c r="D55" s="2073"/>
      <c r="E55" s="2073"/>
      <c r="F55" s="2073"/>
      <c r="G55" s="2073"/>
      <c r="H55" s="2073"/>
      <c r="I55" s="1853"/>
      <c r="J55" s="1853"/>
      <c r="K55" s="1853"/>
      <c r="L55" s="1853"/>
      <c r="M55" s="1853"/>
      <c r="N55" s="1853"/>
      <c r="O55" s="84"/>
      <c r="P55" s="84"/>
    </row>
    <row r="56" spans="1:41" s="1236" customFormat="1" ht="14.25">
      <c r="D56" s="2073"/>
      <c r="E56" s="2073"/>
      <c r="F56" s="2073"/>
      <c r="G56" s="2073"/>
      <c r="H56" s="2073"/>
      <c r="I56" s="1853"/>
      <c r="J56" s="1853"/>
      <c r="K56" s="1853"/>
      <c r="L56" s="1853"/>
      <c r="M56" s="1853"/>
      <c r="N56" s="1853"/>
      <c r="O56" s="84"/>
      <c r="P56" s="84"/>
    </row>
    <row r="57" spans="1:41" s="1236" customFormat="1" ht="14.25">
      <c r="D57" s="2073"/>
      <c r="E57" s="2073"/>
      <c r="F57" s="2073"/>
      <c r="G57" s="2073"/>
      <c r="H57" s="2073"/>
      <c r="I57" s="1853"/>
      <c r="J57" s="1853"/>
      <c r="K57" s="1853"/>
      <c r="L57" s="1853"/>
      <c r="M57" s="1853"/>
      <c r="N57" s="1853"/>
      <c r="O57" s="84"/>
      <c r="P57" s="84"/>
    </row>
    <row r="58" spans="1:41" s="1236" customFormat="1" ht="14.25">
      <c r="D58" s="2073"/>
      <c r="E58" s="2073"/>
      <c r="F58" s="2073"/>
      <c r="G58" s="2073"/>
      <c r="H58" s="2073"/>
      <c r="I58" s="1853"/>
      <c r="J58" s="1853"/>
      <c r="K58" s="1853"/>
      <c r="L58" s="1853"/>
      <c r="M58" s="1853"/>
      <c r="N58" s="1853"/>
      <c r="O58" s="84"/>
      <c r="P58" s="84"/>
    </row>
    <row r="59" spans="1:41" s="1236" customFormat="1" ht="14.25">
      <c r="D59" s="2073"/>
      <c r="E59" s="2073"/>
      <c r="F59" s="2073"/>
      <c r="G59" s="2073"/>
      <c r="H59" s="2073"/>
      <c r="I59" s="1853"/>
      <c r="J59" s="1853"/>
      <c r="K59" s="1853"/>
      <c r="L59" s="1853"/>
      <c r="M59" s="2121"/>
      <c r="N59" s="1853"/>
      <c r="O59" s="84"/>
      <c r="P59" s="84"/>
    </row>
    <row r="60" spans="1:41" s="1236" customFormat="1" ht="14.25">
      <c r="D60" s="2073"/>
      <c r="E60" s="2073"/>
      <c r="F60" s="2073"/>
      <c r="G60" s="2073"/>
      <c r="H60" s="2073"/>
      <c r="I60" s="1853"/>
      <c r="J60" s="1853"/>
      <c r="K60" s="1853"/>
      <c r="L60" s="1853"/>
      <c r="M60" s="1853"/>
      <c r="N60" s="1853"/>
      <c r="O60" s="84"/>
      <c r="P60" s="84"/>
    </row>
    <row r="61" spans="1:41" s="1236" customFormat="1" ht="14.25">
      <c r="D61" s="2073"/>
      <c r="E61" s="2073"/>
      <c r="F61" s="2073"/>
      <c r="G61" s="2073"/>
      <c r="H61" s="2073"/>
      <c r="I61" s="1853"/>
      <c r="J61" s="1853"/>
      <c r="K61" s="1853"/>
      <c r="L61" s="1853"/>
      <c r="M61" s="1853"/>
      <c r="N61" s="1853"/>
      <c r="O61" s="84"/>
      <c r="P61" s="84"/>
    </row>
    <row r="62" spans="1:41" s="1236" customFormat="1" ht="14.25">
      <c r="D62" s="2073"/>
      <c r="E62" s="2073"/>
      <c r="F62" s="2073"/>
      <c r="G62" s="2073"/>
      <c r="H62" s="2073"/>
      <c r="I62" s="1853"/>
      <c r="J62" s="1853"/>
      <c r="K62" s="1853"/>
      <c r="L62" s="1853"/>
      <c r="M62" s="1853"/>
      <c r="N62" s="1853"/>
      <c r="O62" s="84"/>
      <c r="P62" s="84"/>
    </row>
    <row r="63" spans="1:41" s="1236" customFormat="1" ht="14.25">
      <c r="D63" s="2073"/>
      <c r="E63" s="2073"/>
      <c r="F63" s="2073"/>
      <c r="G63" s="2073"/>
      <c r="H63" s="2073"/>
      <c r="I63" s="1853"/>
      <c r="J63" s="1853"/>
      <c r="K63" s="1853"/>
      <c r="L63" s="1853"/>
      <c r="M63" s="1853"/>
      <c r="N63" s="1853"/>
      <c r="O63" s="84"/>
      <c r="P63" s="84"/>
    </row>
    <row r="64" spans="1:41" s="1236" customFormat="1" ht="14.25">
      <c r="D64" s="2073"/>
      <c r="E64" s="2073"/>
      <c r="F64" s="2073"/>
      <c r="G64" s="2073"/>
      <c r="H64" s="2073"/>
      <c r="I64" s="1853"/>
      <c r="J64" s="1853"/>
      <c r="K64" s="1853"/>
      <c r="L64" s="1853"/>
      <c r="M64" s="1853"/>
      <c r="N64" s="1853"/>
      <c r="O64" s="84"/>
      <c r="P64" s="84"/>
    </row>
    <row r="65" spans="1:16" s="1236" customFormat="1" ht="14.25">
      <c r="D65" s="2073"/>
      <c r="E65" s="2073"/>
      <c r="F65" s="2073"/>
      <c r="G65" s="2073"/>
      <c r="H65" s="2073"/>
      <c r="I65" s="1853"/>
      <c r="J65" s="1853"/>
      <c r="K65" s="1853"/>
      <c r="L65" s="1853"/>
      <c r="M65" s="1853"/>
      <c r="N65" s="1853"/>
      <c r="O65" s="84"/>
      <c r="P65" s="84"/>
    </row>
    <row r="66" spans="1:16" s="1236" customFormat="1" ht="14.25">
      <c r="A66" s="2122"/>
      <c r="D66" s="2073"/>
      <c r="E66" s="2073"/>
      <c r="F66" s="2073"/>
      <c r="G66" s="2073"/>
      <c r="H66" s="2073"/>
      <c r="I66" s="1853"/>
      <c r="J66" s="1853"/>
      <c r="K66" s="1853"/>
      <c r="L66" s="1853"/>
      <c r="M66" s="1853"/>
      <c r="N66" s="1853"/>
      <c r="O66" s="84"/>
      <c r="P66" s="84"/>
    </row>
    <row r="67" spans="1:16" s="1236" customFormat="1" ht="14.25">
      <c r="A67" s="2122"/>
      <c r="D67" s="2073"/>
      <c r="E67" s="2073"/>
      <c r="F67" s="2073"/>
      <c r="G67" s="2073"/>
      <c r="H67" s="2073"/>
      <c r="I67" s="1853"/>
      <c r="J67" s="1853"/>
      <c r="K67" s="1853"/>
      <c r="L67" s="1853"/>
      <c r="M67" s="1853"/>
      <c r="N67" s="1853"/>
      <c r="O67" s="84"/>
      <c r="P67" s="84"/>
    </row>
    <row r="68" spans="1:16" s="1236" customFormat="1" ht="14.25">
      <c r="A68" s="2122"/>
      <c r="D68" s="2073"/>
      <c r="E68" s="2073"/>
      <c r="F68" s="2073"/>
      <c r="G68" s="1851"/>
      <c r="H68" s="1851"/>
      <c r="O68" s="84"/>
      <c r="P68" s="84"/>
    </row>
    <row r="69" spans="1:16" s="1236" customFormat="1">
      <c r="A69" s="2122"/>
      <c r="D69" s="1851"/>
      <c r="E69" s="1851"/>
      <c r="F69" s="1851"/>
      <c r="G69" s="1851"/>
      <c r="H69" s="1851"/>
      <c r="O69" s="84"/>
      <c r="P69" s="84"/>
    </row>
    <row r="70" spans="1:16" s="1236" customFormat="1">
      <c r="A70" s="2122"/>
      <c r="D70" s="1851"/>
      <c r="E70" s="1851"/>
      <c r="F70" s="1851"/>
      <c r="G70" s="1851"/>
      <c r="H70" s="1851"/>
      <c r="O70" s="84"/>
      <c r="P70" s="84"/>
    </row>
    <row r="71" spans="1:16" s="1236" customFormat="1">
      <c r="A71" s="2122"/>
      <c r="D71" s="1851"/>
      <c r="E71" s="1851"/>
      <c r="F71" s="1851"/>
      <c r="G71" s="1851"/>
      <c r="H71" s="1851"/>
      <c r="O71" s="84"/>
      <c r="P71" s="84"/>
    </row>
    <row r="72" spans="1:16" s="1236" customFormat="1">
      <c r="A72" s="2122"/>
      <c r="D72" s="1851"/>
      <c r="E72" s="1851"/>
      <c r="F72" s="1851"/>
      <c r="G72" s="1851"/>
      <c r="H72" s="1851"/>
      <c r="O72" s="84"/>
      <c r="P72" s="84"/>
    </row>
    <row r="73" spans="1:16" s="1236" customFormat="1">
      <c r="A73" s="2122"/>
      <c r="D73" s="1851"/>
      <c r="E73" s="1851"/>
      <c r="F73" s="1851"/>
      <c r="G73" s="1851"/>
      <c r="H73" s="1851"/>
      <c r="O73" s="84"/>
      <c r="P73" s="84"/>
    </row>
    <row r="74" spans="1:16" s="1236" customFormat="1">
      <c r="A74" s="2122"/>
      <c r="D74" s="1851"/>
      <c r="E74" s="1851"/>
      <c r="F74" s="1851"/>
      <c r="G74" s="1851"/>
      <c r="H74" s="1851"/>
      <c r="O74" s="84"/>
      <c r="P74" s="84"/>
    </row>
    <row r="75" spans="1:16" s="1236" customFormat="1">
      <c r="A75" s="2122"/>
      <c r="D75" s="1851"/>
      <c r="E75" s="1851"/>
      <c r="F75" s="1851"/>
      <c r="G75" s="1851"/>
      <c r="H75" s="1851"/>
      <c r="O75" s="84"/>
      <c r="P75" s="84"/>
    </row>
    <row r="76" spans="1:16" s="1236" customFormat="1">
      <c r="A76" s="2122"/>
      <c r="D76" s="1851"/>
      <c r="E76" s="1851"/>
      <c r="F76" s="1851"/>
      <c r="G76" s="1851"/>
      <c r="H76" s="1851"/>
      <c r="O76" s="84"/>
      <c r="P76" s="84"/>
    </row>
    <row r="77" spans="1:16" s="1236" customFormat="1">
      <c r="A77" s="2122"/>
      <c r="D77" s="1851"/>
      <c r="E77" s="1851"/>
      <c r="F77" s="1851"/>
      <c r="G77" s="1851"/>
      <c r="H77" s="1851"/>
      <c r="O77" s="84"/>
      <c r="P77" s="84"/>
    </row>
    <row r="78" spans="1:16" s="1236" customFormat="1">
      <c r="A78" s="2122"/>
      <c r="D78" s="1851"/>
      <c r="E78" s="1851"/>
      <c r="F78" s="1851"/>
      <c r="G78" s="1851"/>
      <c r="H78" s="1851"/>
      <c r="O78" s="84"/>
      <c r="P78" s="84"/>
    </row>
    <row r="79" spans="1:16" s="1236" customFormat="1">
      <c r="A79" s="2122"/>
      <c r="D79" s="1851"/>
      <c r="E79" s="1851"/>
      <c r="F79" s="1851"/>
      <c r="G79" s="1851"/>
      <c r="H79" s="1851"/>
      <c r="O79" s="84"/>
      <c r="P79" s="84"/>
    </row>
    <row r="80" spans="1:16" s="1236" customFormat="1">
      <c r="A80" s="2122"/>
      <c r="D80" s="1851"/>
      <c r="E80" s="1851"/>
      <c r="F80" s="1851"/>
      <c r="G80" s="1851"/>
      <c r="H80" s="1851"/>
      <c r="O80" s="84"/>
      <c r="P80" s="84"/>
    </row>
    <row r="81" spans="1:16" s="1236" customFormat="1">
      <c r="A81" s="2122"/>
      <c r="D81" s="1851"/>
      <c r="E81" s="1851"/>
      <c r="F81" s="1851"/>
      <c r="G81" s="1851"/>
      <c r="H81" s="1851"/>
      <c r="O81" s="84"/>
      <c r="P81" s="84"/>
    </row>
    <row r="82" spans="1:16" s="1236" customFormat="1">
      <c r="A82" s="2122"/>
      <c r="D82" s="1851"/>
      <c r="E82" s="1851"/>
      <c r="F82" s="1851"/>
      <c r="G82" s="1851"/>
      <c r="H82" s="1851"/>
      <c r="O82" s="84"/>
      <c r="P82" s="84"/>
    </row>
    <row r="83" spans="1:16" s="1236" customFormat="1">
      <c r="A83" s="2122"/>
      <c r="D83" s="1851"/>
      <c r="E83" s="1851"/>
      <c r="F83" s="1851"/>
      <c r="G83" s="1851"/>
      <c r="H83" s="1851"/>
      <c r="O83" s="84"/>
      <c r="P83" s="84"/>
    </row>
    <row r="84" spans="1:16" s="1236" customFormat="1">
      <c r="A84" s="2122"/>
      <c r="D84" s="1851"/>
      <c r="E84" s="1851"/>
      <c r="F84" s="1851"/>
      <c r="G84" s="1851"/>
      <c r="H84" s="1851"/>
      <c r="O84" s="84"/>
      <c r="P84" s="84"/>
    </row>
    <row r="85" spans="1:16" s="1236" customFormat="1">
      <c r="A85" s="2122"/>
      <c r="D85" s="1851"/>
      <c r="E85" s="1851"/>
      <c r="F85" s="1851"/>
      <c r="G85" s="1851"/>
      <c r="H85" s="1851"/>
      <c r="O85" s="84"/>
      <c r="P85" s="84"/>
    </row>
    <row r="86" spans="1:16" s="1236" customFormat="1">
      <c r="A86" s="2122"/>
      <c r="D86" s="1851"/>
      <c r="E86" s="1851"/>
      <c r="F86" s="1851"/>
      <c r="G86" s="1851"/>
      <c r="H86" s="1851"/>
      <c r="O86" s="84"/>
      <c r="P86" s="84"/>
    </row>
    <row r="87" spans="1:16" s="1236" customFormat="1">
      <c r="A87" s="2122"/>
      <c r="D87" s="1851"/>
      <c r="E87" s="1851"/>
      <c r="F87" s="1851"/>
      <c r="G87" s="1851"/>
      <c r="H87" s="1851"/>
      <c r="O87" s="84"/>
      <c r="P87" s="84"/>
    </row>
    <row r="88" spans="1:16" s="1236" customFormat="1">
      <c r="A88" s="2122"/>
      <c r="D88" s="1851"/>
      <c r="E88" s="1851"/>
      <c r="F88" s="1851"/>
      <c r="G88" s="1851"/>
      <c r="H88" s="1851"/>
      <c r="O88" s="84"/>
      <c r="P88" s="84"/>
    </row>
    <row r="89" spans="1:16" s="1236" customFormat="1">
      <c r="A89" s="2122"/>
      <c r="D89" s="1851"/>
      <c r="E89" s="1851"/>
      <c r="F89" s="1851"/>
      <c r="G89" s="1851"/>
      <c r="H89" s="1851"/>
      <c r="O89" s="84"/>
      <c r="P89" s="84"/>
    </row>
    <row r="90" spans="1:16" s="1236" customFormat="1">
      <c r="A90" s="2122"/>
      <c r="D90" s="1851"/>
      <c r="E90" s="1851"/>
      <c r="F90" s="1851"/>
      <c r="G90" s="1851"/>
      <c r="H90" s="1851"/>
      <c r="O90" s="84"/>
      <c r="P90" s="84"/>
    </row>
    <row r="91" spans="1:16" s="1236" customFormat="1">
      <c r="A91" s="2122"/>
      <c r="D91" s="1851"/>
      <c r="E91" s="1851"/>
      <c r="F91" s="1851"/>
      <c r="G91" s="1851"/>
      <c r="H91" s="1851"/>
      <c r="O91" s="84"/>
      <c r="P91" s="84"/>
    </row>
    <row r="92" spans="1:16" s="1236" customFormat="1">
      <c r="A92" s="2122"/>
      <c r="D92" s="1851"/>
      <c r="E92" s="1851"/>
      <c r="F92" s="1851"/>
      <c r="G92" s="1851"/>
      <c r="H92" s="1851"/>
      <c r="O92" s="84"/>
      <c r="P92" s="84"/>
    </row>
    <row r="93" spans="1:16" s="1236" customFormat="1">
      <c r="A93" s="2122"/>
      <c r="D93" s="1851"/>
      <c r="E93" s="1851"/>
      <c r="F93" s="1851"/>
      <c r="G93" s="1851"/>
      <c r="H93" s="1851"/>
      <c r="O93" s="84"/>
      <c r="P93" s="84"/>
    </row>
    <row r="94" spans="1:16" s="1236" customFormat="1">
      <c r="A94" s="2122"/>
      <c r="D94" s="1851"/>
      <c r="E94" s="1851"/>
      <c r="F94" s="1851"/>
      <c r="G94" s="1851"/>
      <c r="H94" s="1851"/>
      <c r="O94" s="84"/>
      <c r="P94" s="84"/>
    </row>
    <row r="95" spans="1:16" s="1236" customFormat="1">
      <c r="A95" s="2122"/>
      <c r="D95" s="1851"/>
      <c r="E95" s="1851"/>
      <c r="F95" s="1851"/>
      <c r="G95" s="1851"/>
      <c r="H95" s="1851"/>
      <c r="O95" s="84"/>
      <c r="P95" s="84"/>
    </row>
    <row r="96" spans="1:16" s="1236" customFormat="1">
      <c r="A96" s="2122"/>
      <c r="D96" s="1851"/>
      <c r="E96" s="1851"/>
      <c r="F96" s="1851"/>
      <c r="G96" s="1851"/>
      <c r="H96" s="1851"/>
      <c r="O96" s="84"/>
      <c r="P96" s="84"/>
    </row>
    <row r="97" spans="1:16" s="1236" customFormat="1">
      <c r="A97" s="2122"/>
      <c r="D97" s="1851"/>
      <c r="E97" s="1851"/>
      <c r="F97" s="1851"/>
      <c r="G97" s="1851"/>
      <c r="H97" s="1851"/>
      <c r="O97" s="84"/>
      <c r="P97" s="84"/>
    </row>
    <row r="98" spans="1:16" s="1236" customFormat="1">
      <c r="A98" s="2122"/>
      <c r="D98" s="1851"/>
      <c r="E98" s="1851"/>
      <c r="F98" s="1851"/>
      <c r="G98" s="1851"/>
      <c r="H98" s="1851"/>
      <c r="O98" s="84"/>
      <c r="P98" s="84"/>
    </row>
    <row r="99" spans="1:16" s="1236" customFormat="1">
      <c r="A99" s="2122"/>
      <c r="D99" s="1851"/>
      <c r="E99" s="1851"/>
      <c r="F99" s="1851"/>
      <c r="G99" s="1851"/>
      <c r="H99" s="1851"/>
      <c r="O99" s="84"/>
      <c r="P99" s="84"/>
    </row>
    <row r="100" spans="1:16" s="1236" customFormat="1">
      <c r="A100" s="2122"/>
      <c r="D100" s="1851"/>
      <c r="E100" s="1851"/>
      <c r="F100" s="1851"/>
      <c r="G100" s="1851"/>
      <c r="H100" s="1851"/>
      <c r="O100" s="84"/>
      <c r="P100" s="84"/>
    </row>
    <row r="101" spans="1:16" s="1236" customFormat="1">
      <c r="A101" s="2122"/>
      <c r="D101" s="1851"/>
      <c r="E101" s="1851"/>
      <c r="F101" s="1851"/>
      <c r="G101" s="1851"/>
      <c r="H101" s="1851"/>
      <c r="O101" s="84"/>
      <c r="P101" s="84"/>
    </row>
    <row r="102" spans="1:16" s="1236" customFormat="1">
      <c r="A102" s="2122"/>
      <c r="D102" s="1851"/>
      <c r="E102" s="1851"/>
      <c r="F102" s="1851"/>
      <c r="G102" s="1851"/>
      <c r="H102" s="1851"/>
      <c r="O102" s="84"/>
      <c r="P102" s="84"/>
    </row>
    <row r="103" spans="1:16" s="1236" customFormat="1">
      <c r="A103" s="2122"/>
      <c r="D103" s="1851"/>
      <c r="E103" s="1851"/>
      <c r="F103" s="1851"/>
      <c r="G103" s="1851"/>
      <c r="H103" s="1851"/>
      <c r="O103" s="84"/>
      <c r="P103" s="84"/>
    </row>
    <row r="104" spans="1:16" s="1236" customFormat="1">
      <c r="A104" s="2122"/>
      <c r="D104" s="1851"/>
      <c r="E104" s="1851"/>
      <c r="F104" s="1851"/>
      <c r="G104" s="1851"/>
      <c r="H104" s="1851"/>
      <c r="O104" s="84"/>
      <c r="P104" s="84"/>
    </row>
    <row r="105" spans="1:16" s="1236" customFormat="1">
      <c r="A105" s="2122"/>
      <c r="D105" s="1851"/>
      <c r="E105" s="1851"/>
      <c r="F105" s="1851"/>
      <c r="G105" s="1851"/>
      <c r="H105" s="1851"/>
      <c r="O105" s="84"/>
      <c r="P105" s="84"/>
    </row>
    <row r="106" spans="1:16" s="1236" customFormat="1">
      <c r="A106" s="2122"/>
      <c r="D106" s="1851"/>
      <c r="E106" s="1851"/>
      <c r="F106" s="1851"/>
      <c r="G106" s="1851"/>
      <c r="H106" s="1851"/>
      <c r="O106" s="84"/>
      <c r="P106" s="84"/>
    </row>
    <row r="107" spans="1:16" s="1236" customFormat="1">
      <c r="A107" s="2122"/>
      <c r="D107" s="1851"/>
      <c r="E107" s="1851"/>
      <c r="F107" s="1851"/>
      <c r="G107" s="1851"/>
      <c r="H107" s="1851"/>
      <c r="O107" s="84"/>
      <c r="P107" s="84"/>
    </row>
    <row r="108" spans="1:16" s="1236" customFormat="1">
      <c r="A108" s="2122"/>
      <c r="D108" s="1851"/>
      <c r="E108" s="1851"/>
      <c r="F108" s="1851"/>
      <c r="G108" s="1851"/>
      <c r="H108" s="1851"/>
      <c r="O108" s="84"/>
      <c r="P108" s="84"/>
    </row>
    <row r="109" spans="1:16" s="1236" customFormat="1">
      <c r="A109" s="2122"/>
      <c r="D109" s="1851"/>
      <c r="E109" s="1851"/>
      <c r="F109" s="1851"/>
      <c r="G109" s="1851"/>
      <c r="H109" s="1851"/>
      <c r="O109" s="84"/>
      <c r="P109" s="84"/>
    </row>
    <row r="110" spans="1:16" s="1236" customFormat="1">
      <c r="A110" s="2122"/>
      <c r="D110" s="1851"/>
      <c r="E110" s="1851"/>
      <c r="F110" s="1851"/>
      <c r="G110" s="1851"/>
      <c r="H110" s="1851"/>
      <c r="O110" s="84"/>
      <c r="P110" s="84"/>
    </row>
    <row r="111" spans="1:16" s="1236" customFormat="1">
      <c r="A111" s="2122"/>
      <c r="D111" s="1851"/>
      <c r="E111" s="1851"/>
      <c r="F111" s="1851"/>
      <c r="G111" s="1851"/>
      <c r="H111" s="1851"/>
      <c r="O111" s="84"/>
      <c r="P111" s="84"/>
    </row>
    <row r="112" spans="1:16" s="1236" customFormat="1">
      <c r="A112" s="2122"/>
      <c r="D112" s="1851"/>
      <c r="E112" s="1851"/>
      <c r="F112" s="1851"/>
      <c r="G112" s="1851"/>
      <c r="H112" s="1851"/>
      <c r="O112" s="84"/>
      <c r="P112" s="84"/>
    </row>
    <row r="113" spans="1:16" s="1236" customFormat="1">
      <c r="A113" s="2122"/>
      <c r="D113" s="1851"/>
      <c r="E113" s="1851"/>
      <c r="F113" s="1851"/>
      <c r="G113" s="1851"/>
      <c r="H113" s="1851"/>
      <c r="O113" s="84"/>
      <c r="P113" s="84"/>
    </row>
    <row r="114" spans="1:16" s="1236" customFormat="1">
      <c r="A114" s="2122"/>
      <c r="D114" s="1851"/>
      <c r="E114" s="1851"/>
      <c r="F114" s="1851"/>
      <c r="G114" s="1851"/>
      <c r="H114" s="1851"/>
      <c r="O114" s="84"/>
      <c r="P114" s="84"/>
    </row>
    <row r="115" spans="1:16" s="1236" customFormat="1">
      <c r="A115" s="2122"/>
      <c r="D115" s="1851"/>
      <c r="E115" s="1851"/>
      <c r="F115" s="1851"/>
      <c r="G115" s="1851"/>
      <c r="H115" s="1851"/>
      <c r="O115" s="84"/>
      <c r="P115" s="84"/>
    </row>
    <row r="116" spans="1:16" s="1236" customFormat="1">
      <c r="A116" s="2122"/>
      <c r="D116" s="1851"/>
      <c r="E116" s="1851"/>
      <c r="F116" s="1851"/>
      <c r="G116" s="1851"/>
      <c r="H116" s="1851"/>
      <c r="O116" s="84"/>
      <c r="P116" s="84"/>
    </row>
    <row r="117" spans="1:16" s="1236" customFormat="1">
      <c r="A117" s="2122"/>
      <c r="D117" s="1851"/>
      <c r="E117" s="1851"/>
      <c r="F117" s="1851"/>
      <c r="G117" s="1851"/>
      <c r="H117" s="1851"/>
      <c r="O117" s="84"/>
      <c r="P117" s="84"/>
    </row>
    <row r="118" spans="1:16" s="1236" customFormat="1">
      <c r="A118" s="2122"/>
      <c r="D118" s="1851"/>
      <c r="E118" s="1851"/>
      <c r="F118" s="1851"/>
      <c r="G118" s="1851"/>
      <c r="H118" s="1851"/>
      <c r="O118" s="84"/>
      <c r="P118" s="84"/>
    </row>
    <row r="119" spans="1:16" s="1236" customFormat="1">
      <c r="A119" s="2122"/>
      <c r="D119" s="1851"/>
      <c r="E119" s="1851"/>
      <c r="F119" s="1851"/>
      <c r="G119" s="1851"/>
      <c r="H119" s="1851"/>
      <c r="O119" s="84"/>
      <c r="P119" s="84"/>
    </row>
    <row r="120" spans="1:16" s="1236" customFormat="1">
      <c r="A120" s="2122"/>
      <c r="D120" s="1851"/>
      <c r="E120" s="1851"/>
      <c r="F120" s="1851"/>
      <c r="G120" s="1851"/>
      <c r="H120" s="1851"/>
      <c r="O120" s="84"/>
      <c r="P120" s="84"/>
    </row>
    <row r="121" spans="1:16" s="1236" customFormat="1">
      <c r="A121" s="2122"/>
      <c r="D121" s="1851"/>
      <c r="E121" s="1851"/>
      <c r="F121" s="1851"/>
      <c r="G121" s="1851"/>
      <c r="H121" s="1851"/>
      <c r="O121" s="84"/>
      <c r="P121" s="84"/>
    </row>
    <row r="122" spans="1:16" s="1236" customFormat="1">
      <c r="A122" s="2122"/>
      <c r="D122" s="1851"/>
      <c r="E122" s="1851"/>
      <c r="F122" s="1851"/>
      <c r="G122" s="1851"/>
      <c r="H122" s="1851"/>
      <c r="O122" s="84"/>
      <c r="P122" s="84"/>
    </row>
    <row r="123" spans="1:16" s="1236" customFormat="1">
      <c r="A123" s="2122"/>
      <c r="D123" s="1851"/>
      <c r="E123" s="1851"/>
      <c r="F123" s="1851"/>
      <c r="G123" s="1851"/>
      <c r="H123" s="1851"/>
      <c r="O123" s="84"/>
      <c r="P123" s="84"/>
    </row>
    <row r="124" spans="1:16" s="1236" customFormat="1">
      <c r="A124" s="2122"/>
      <c r="D124" s="1851"/>
      <c r="E124" s="1851"/>
      <c r="F124" s="1851"/>
      <c r="G124" s="1851"/>
      <c r="H124" s="1851"/>
      <c r="O124" s="84"/>
      <c r="P124" s="84"/>
    </row>
    <row r="125" spans="1:16" s="1236" customFormat="1">
      <c r="A125" s="2122"/>
      <c r="D125" s="1851"/>
      <c r="E125" s="1851"/>
      <c r="F125" s="1851"/>
      <c r="G125" s="1851"/>
      <c r="H125" s="1851"/>
      <c r="O125" s="84"/>
      <c r="P125" s="84"/>
    </row>
    <row r="126" spans="1:16" s="1236" customFormat="1">
      <c r="A126" s="2122"/>
      <c r="D126" s="1851"/>
      <c r="E126" s="1851"/>
      <c r="F126" s="1851"/>
      <c r="G126" s="1851"/>
      <c r="H126" s="1851"/>
      <c r="O126" s="84"/>
      <c r="P126" s="84"/>
    </row>
    <row r="127" spans="1:16" s="1236" customFormat="1">
      <c r="A127" s="2122"/>
      <c r="D127" s="1851"/>
      <c r="E127" s="1851"/>
      <c r="F127" s="1851"/>
      <c r="G127" s="1851"/>
      <c r="H127" s="1851"/>
      <c r="O127" s="84"/>
      <c r="P127" s="84"/>
    </row>
    <row r="128" spans="1:16" s="1236" customFormat="1">
      <c r="A128" s="2122"/>
      <c r="D128" s="1851"/>
      <c r="E128" s="1851"/>
      <c r="F128" s="1851"/>
      <c r="G128" s="1851"/>
      <c r="H128" s="1851"/>
      <c r="O128" s="84"/>
      <c r="P128" s="84"/>
    </row>
    <row r="129" spans="1:16" s="1236" customFormat="1">
      <c r="A129" s="2122"/>
      <c r="D129" s="1851"/>
      <c r="E129" s="1851"/>
      <c r="F129" s="1851"/>
      <c r="G129" s="1851"/>
      <c r="H129" s="1851"/>
      <c r="O129" s="84"/>
      <c r="P129" s="84"/>
    </row>
    <row r="130" spans="1:16" s="1236" customFormat="1">
      <c r="A130" s="2122"/>
      <c r="D130" s="1851"/>
      <c r="E130" s="1851"/>
      <c r="F130" s="1851"/>
      <c r="G130" s="1851"/>
      <c r="H130" s="1851"/>
      <c r="O130" s="84"/>
      <c r="P130" s="84"/>
    </row>
    <row r="131" spans="1:16" s="1236" customFormat="1">
      <c r="A131" s="2122"/>
      <c r="D131" s="1851"/>
      <c r="E131" s="1851"/>
      <c r="F131" s="1851"/>
      <c r="G131" s="1851"/>
      <c r="H131" s="1851"/>
      <c r="O131" s="84"/>
      <c r="P131" s="84"/>
    </row>
    <row r="132" spans="1:16" s="1236" customFormat="1">
      <c r="A132" s="2122"/>
      <c r="D132" s="1851"/>
      <c r="E132" s="1851"/>
      <c r="F132" s="1851"/>
      <c r="G132" s="1851"/>
      <c r="H132" s="1851"/>
      <c r="O132" s="84"/>
      <c r="P132" s="84"/>
    </row>
    <row r="133" spans="1:16" s="1236" customFormat="1">
      <c r="A133" s="2122"/>
      <c r="D133" s="1851"/>
      <c r="E133" s="1851"/>
      <c r="F133" s="1851"/>
      <c r="G133" s="1851"/>
      <c r="H133" s="1851"/>
      <c r="O133" s="84"/>
      <c r="P133" s="84"/>
    </row>
    <row r="134" spans="1:16" s="1236" customFormat="1">
      <c r="A134" s="2122"/>
      <c r="D134" s="1851"/>
      <c r="E134" s="1851"/>
      <c r="F134" s="1851"/>
      <c r="G134" s="1851"/>
      <c r="H134" s="1851"/>
      <c r="O134" s="84"/>
      <c r="P134" s="84"/>
    </row>
    <row r="135" spans="1:16" s="1236" customFormat="1">
      <c r="A135" s="2122"/>
      <c r="D135" s="1851"/>
      <c r="E135" s="1851"/>
      <c r="F135" s="1851"/>
      <c r="G135" s="1851"/>
      <c r="H135" s="1851"/>
      <c r="O135" s="84"/>
      <c r="P135" s="84"/>
    </row>
    <row r="136" spans="1:16" s="1236" customFormat="1">
      <c r="A136" s="2122"/>
      <c r="D136" s="1851"/>
      <c r="E136" s="1851"/>
      <c r="F136" s="1851"/>
      <c r="G136" s="1851"/>
      <c r="H136" s="1851"/>
      <c r="O136" s="84"/>
      <c r="P136" s="84"/>
    </row>
    <row r="137" spans="1:16" s="1236" customFormat="1">
      <c r="A137" s="2122"/>
      <c r="D137" s="1851"/>
      <c r="E137" s="1851"/>
      <c r="F137" s="1851"/>
      <c r="G137" s="1851"/>
      <c r="H137" s="1851"/>
      <c r="O137" s="84"/>
      <c r="P137" s="84"/>
    </row>
    <row r="138" spans="1:16" s="1236" customFormat="1">
      <c r="A138" s="2122"/>
      <c r="D138" s="1851"/>
      <c r="E138" s="1851"/>
      <c r="F138" s="1851"/>
      <c r="G138" s="1851"/>
      <c r="H138" s="1851"/>
      <c r="O138" s="84"/>
      <c r="P138" s="84"/>
    </row>
    <row r="139" spans="1:16" s="1236" customFormat="1">
      <c r="A139" s="2122"/>
      <c r="D139" s="1851"/>
      <c r="E139" s="1851"/>
      <c r="F139" s="1851"/>
      <c r="G139" s="1851"/>
      <c r="H139" s="1851"/>
      <c r="O139" s="84"/>
      <c r="P139" s="84"/>
    </row>
    <row r="140" spans="1:16" s="1236" customFormat="1">
      <c r="A140" s="2122"/>
      <c r="D140" s="1851"/>
      <c r="E140" s="1851"/>
      <c r="F140" s="1851"/>
      <c r="G140" s="1851"/>
      <c r="H140" s="1851"/>
      <c r="O140" s="84"/>
      <c r="P140" s="84"/>
    </row>
    <row r="141" spans="1:16" s="1236" customFormat="1">
      <c r="A141" s="2122"/>
      <c r="D141" s="1851"/>
      <c r="E141" s="1851"/>
      <c r="F141" s="1851"/>
      <c r="G141" s="1851"/>
      <c r="H141" s="1851"/>
      <c r="O141" s="84"/>
      <c r="P141" s="84"/>
    </row>
    <row r="142" spans="1:16" s="1236" customFormat="1">
      <c r="A142" s="2122"/>
      <c r="D142" s="1851"/>
      <c r="E142" s="1851"/>
      <c r="F142" s="1851"/>
      <c r="G142" s="1851"/>
      <c r="H142" s="1851"/>
      <c r="O142" s="84"/>
      <c r="P142" s="84"/>
    </row>
    <row r="143" spans="1:16" s="1236" customFormat="1">
      <c r="A143" s="2122"/>
      <c r="D143" s="1851"/>
      <c r="E143" s="1851"/>
      <c r="F143" s="1851"/>
      <c r="G143" s="1851"/>
      <c r="H143" s="1851"/>
      <c r="O143" s="84"/>
      <c r="P143" s="84"/>
    </row>
    <row r="144" spans="1:16" s="1236" customFormat="1">
      <c r="A144" s="2122"/>
      <c r="D144" s="1851"/>
      <c r="E144" s="1851"/>
      <c r="F144" s="1851"/>
      <c r="G144" s="1851"/>
      <c r="H144" s="1851"/>
      <c r="O144" s="84"/>
      <c r="P144" s="84"/>
    </row>
    <row r="145" spans="1:16" s="1236" customFormat="1">
      <c r="A145" s="2122"/>
      <c r="D145" s="1851"/>
      <c r="E145" s="1851"/>
      <c r="F145" s="1851"/>
      <c r="G145" s="1851"/>
      <c r="H145" s="1851"/>
      <c r="O145" s="84"/>
      <c r="P145" s="84"/>
    </row>
    <row r="146" spans="1:16" s="1236" customFormat="1">
      <c r="A146" s="2122"/>
      <c r="D146" s="1851"/>
      <c r="E146" s="1851"/>
      <c r="F146" s="1851"/>
      <c r="G146" s="1851"/>
      <c r="H146" s="1851"/>
      <c r="O146" s="84"/>
      <c r="P146" s="84"/>
    </row>
    <row r="147" spans="1:16" s="1236" customFormat="1">
      <c r="A147" s="2122"/>
      <c r="D147" s="1851"/>
      <c r="E147" s="1851"/>
      <c r="F147" s="1851"/>
      <c r="G147" s="1851"/>
      <c r="H147" s="1851"/>
      <c r="O147" s="84"/>
      <c r="P147" s="84"/>
    </row>
    <row r="148" spans="1:16" s="1236" customFormat="1">
      <c r="A148" s="2122"/>
      <c r="D148" s="1851"/>
      <c r="E148" s="1851"/>
      <c r="F148" s="1851"/>
      <c r="G148" s="1851"/>
      <c r="H148" s="1851"/>
      <c r="O148" s="84"/>
      <c r="P148" s="84"/>
    </row>
    <row r="149" spans="1:16" s="1236" customFormat="1">
      <c r="A149" s="2122"/>
      <c r="D149" s="1851"/>
      <c r="E149" s="1851"/>
      <c r="F149" s="1851"/>
      <c r="G149" s="1851"/>
      <c r="H149" s="1851"/>
      <c r="O149" s="84"/>
      <c r="P149" s="84"/>
    </row>
    <row r="150" spans="1:16" s="1236" customFormat="1">
      <c r="A150" s="2122"/>
      <c r="D150" s="1851"/>
      <c r="E150" s="1851"/>
      <c r="F150" s="1851"/>
      <c r="G150" s="1851"/>
      <c r="H150" s="1851"/>
      <c r="O150" s="84"/>
      <c r="P150" s="84"/>
    </row>
    <row r="151" spans="1:16" s="1236" customFormat="1">
      <c r="A151" s="2122"/>
      <c r="D151" s="1851"/>
      <c r="E151" s="1851"/>
      <c r="F151" s="1851"/>
      <c r="G151" s="1851"/>
      <c r="H151" s="1851"/>
      <c r="O151" s="84"/>
      <c r="P151" s="84"/>
    </row>
    <row r="152" spans="1:16" s="1236" customFormat="1">
      <c r="A152" s="2122"/>
      <c r="D152" s="1851"/>
      <c r="E152" s="1851"/>
      <c r="F152" s="1851"/>
      <c r="G152" s="1851"/>
      <c r="H152" s="1851"/>
      <c r="O152" s="84"/>
      <c r="P152" s="84"/>
    </row>
    <row r="153" spans="1:16" s="1236" customFormat="1">
      <c r="A153" s="2123"/>
      <c r="B153" s="2070"/>
      <c r="D153" s="1851"/>
      <c r="E153" s="1851"/>
      <c r="F153" s="1851"/>
      <c r="G153" s="1851"/>
      <c r="H153" s="1851"/>
      <c r="O153" s="84"/>
      <c r="P153" s="84"/>
    </row>
    <row r="154" spans="1:16" s="1236" customFormat="1">
      <c r="A154" s="2123"/>
      <c r="B154" s="2070"/>
      <c r="D154" s="1851"/>
      <c r="E154" s="1851"/>
      <c r="F154" s="1851"/>
      <c r="G154" s="1851"/>
      <c r="H154" s="1851"/>
      <c r="O154" s="84"/>
      <c r="P154" s="84"/>
    </row>
    <row r="155" spans="1:16">
      <c r="D155" s="1851"/>
      <c r="E155" s="1851"/>
    </row>
  </sheetData>
  <sheetProtection password="C66D" sheet="1" objects="1" scenarios="1" formatCells="0" formatColumns="0" formatRows="0"/>
  <mergeCells count="1">
    <mergeCell ref="D2:D4"/>
  </mergeCells>
  <phoneticPr fontId="5"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38" t="s">
        <v>1730</v>
      </c>
      <c r="B1" s="2839"/>
      <c r="C1" s="2839"/>
      <c r="D1" s="2839"/>
      <c r="E1" s="2839"/>
      <c r="F1" s="2839"/>
      <c r="G1" s="2839"/>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1731</v>
      </c>
      <c r="D2" s="2134"/>
      <c r="E2" s="2135"/>
      <c r="F2" s="2136"/>
      <c r="G2" s="2133" t="s">
        <v>1732</v>
      </c>
      <c r="H2" s="2137"/>
      <c r="I2" s="2137"/>
      <c r="J2" s="2137"/>
      <c r="K2" s="2137"/>
      <c r="L2" s="2137"/>
      <c r="M2" s="2137"/>
      <c r="N2" s="2137"/>
      <c r="O2" s="2137"/>
      <c r="P2" s="2137"/>
      <c r="Q2" s="2137"/>
      <c r="R2" s="2137"/>
    </row>
    <row r="3" spans="1:29" ht="42.75">
      <c r="A3" s="395" t="s">
        <v>1733</v>
      </c>
      <c r="B3" s="2139" t="s">
        <v>1734</v>
      </c>
      <c r="C3" s="2140"/>
      <c r="D3" s="2141"/>
      <c r="E3" s="411" t="s">
        <v>1733</v>
      </c>
      <c r="F3" s="2142" t="s">
        <v>1735</v>
      </c>
      <c r="G3" s="2143" t="s">
        <v>1736</v>
      </c>
      <c r="H3" s="2137"/>
      <c r="I3" s="2137"/>
      <c r="J3" s="2137"/>
      <c r="K3" s="2137"/>
      <c r="L3" s="2137"/>
      <c r="M3" s="2137"/>
      <c r="N3" s="2137"/>
      <c r="O3" s="2137"/>
      <c r="P3" s="2137"/>
      <c r="Q3" s="2137"/>
      <c r="R3" s="2137"/>
    </row>
    <row r="4" spans="1:29" ht="40.5">
      <c r="A4" s="411"/>
      <c r="B4" s="1885" t="s">
        <v>1737</v>
      </c>
      <c r="C4" s="2144"/>
      <c r="D4" s="2141"/>
      <c r="E4" s="2145"/>
      <c r="F4" s="2146" t="s">
        <v>1738</v>
      </c>
      <c r="G4" s="2147" t="s">
        <v>1739</v>
      </c>
      <c r="H4" s="2137"/>
      <c r="I4" s="2137"/>
      <c r="J4" s="2137"/>
      <c r="K4" s="2137"/>
      <c r="L4" s="2137"/>
      <c r="M4" s="2137"/>
      <c r="N4" s="2137"/>
      <c r="O4" s="2137"/>
      <c r="P4" s="2137"/>
      <c r="Q4" s="2137"/>
      <c r="R4" s="2137"/>
    </row>
    <row r="5" spans="1:29" ht="27">
      <c r="A5" s="411"/>
      <c r="B5" s="1885" t="s">
        <v>1740</v>
      </c>
      <c r="C5" s="2736" t="s">
        <v>2858</v>
      </c>
      <c r="D5" s="2141"/>
      <c r="E5" s="2145"/>
      <c r="F5" s="1885" t="s">
        <v>1741</v>
      </c>
      <c r="G5" s="2147" t="s">
        <v>1742</v>
      </c>
      <c r="H5" s="2137"/>
      <c r="I5" s="2137"/>
      <c r="J5" s="2137"/>
      <c r="K5" s="2137"/>
      <c r="L5" s="2137"/>
      <c r="M5" s="2137"/>
      <c r="N5" s="2137"/>
      <c r="O5" s="2137"/>
      <c r="P5" s="2137"/>
      <c r="Q5" s="2137"/>
      <c r="R5" s="2137"/>
    </row>
    <row r="6" spans="1:29" ht="15">
      <c r="A6" s="411"/>
      <c r="B6" s="1885" t="s">
        <v>1743</v>
      </c>
      <c r="C6" s="2743" t="s">
        <v>2859</v>
      </c>
      <c r="D6" s="2141"/>
      <c r="E6" s="2145"/>
      <c r="F6" s="1885" t="s">
        <v>1744</v>
      </c>
      <c r="G6" s="2147" t="s">
        <v>1745</v>
      </c>
      <c r="H6" s="2137"/>
      <c r="I6" s="2137"/>
      <c r="J6" s="2137"/>
      <c r="K6" s="2137"/>
      <c r="L6" s="2137"/>
      <c r="M6" s="2137"/>
      <c r="N6" s="2137"/>
      <c r="O6" s="2137"/>
      <c r="P6" s="2137"/>
      <c r="Q6" s="2137"/>
      <c r="R6" s="2137"/>
    </row>
    <row r="7" spans="1:29" ht="41.25" thickBot="1">
      <c r="A7" s="411"/>
      <c r="B7" s="1885" t="s">
        <v>1741</v>
      </c>
      <c r="C7" s="2743" t="s">
        <v>2859</v>
      </c>
      <c r="D7" s="2148"/>
      <c r="E7" s="2149"/>
      <c r="F7" s="2150" t="s">
        <v>1746</v>
      </c>
      <c r="G7" s="2151" t="s">
        <v>1747</v>
      </c>
      <c r="H7" s="2137"/>
      <c r="I7" s="2137"/>
      <c r="J7" s="2137"/>
      <c r="K7" s="2137"/>
      <c r="L7" s="2137"/>
      <c r="M7" s="2137"/>
      <c r="N7" s="2137"/>
      <c r="O7" s="2137"/>
      <c r="P7" s="2137"/>
      <c r="Q7" s="2137"/>
      <c r="R7" s="2137"/>
    </row>
    <row r="8" spans="1:29" ht="15">
      <c r="A8" s="411"/>
      <c r="B8" s="1885" t="s">
        <v>1744</v>
      </c>
      <c r="C8" s="2743" t="s">
        <v>2860</v>
      </c>
      <c r="D8" s="2148"/>
      <c r="E8" s="2148"/>
      <c r="F8" s="1245"/>
      <c r="G8" s="1245"/>
      <c r="H8" s="2137"/>
      <c r="I8" s="2137"/>
      <c r="J8" s="2137"/>
      <c r="K8" s="2137"/>
      <c r="L8" s="2137"/>
      <c r="M8" s="2137"/>
      <c r="N8" s="2137"/>
      <c r="O8" s="2137"/>
      <c r="P8" s="2137"/>
      <c r="Q8" s="2137"/>
      <c r="R8" s="2137"/>
    </row>
    <row r="9" spans="1:29" ht="15">
      <c r="A9" s="411"/>
      <c r="B9" s="1885" t="s">
        <v>1748</v>
      </c>
      <c r="C9" s="2736" t="s">
        <v>2859</v>
      </c>
      <c r="D9" s="2141"/>
      <c r="E9" s="2148"/>
      <c r="F9" s="1245"/>
      <c r="G9" s="1245"/>
      <c r="H9" s="2137"/>
      <c r="I9" s="2137"/>
      <c r="J9" s="2137"/>
      <c r="K9" s="2137"/>
      <c r="L9" s="2137"/>
      <c r="M9" s="2137"/>
      <c r="N9" s="2137"/>
      <c r="O9" s="2137"/>
      <c r="P9" s="2137"/>
      <c r="Q9" s="2137"/>
      <c r="R9" s="2137"/>
    </row>
    <row r="10" spans="1:29" s="35" customFormat="1" ht="15.75" thickBot="1">
      <c r="A10" s="2152"/>
      <c r="B10" s="2153" t="s">
        <v>1749</v>
      </c>
      <c r="C10" s="2154"/>
      <c r="D10" s="2141"/>
      <c r="E10" s="2141"/>
      <c r="F10" s="1245"/>
      <c r="G10" s="1245"/>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5"/>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5"/>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1750</v>
      </c>
      <c r="B13" s="2159"/>
      <c r="C13" s="2159"/>
      <c r="D13" s="2134"/>
      <c r="E13" s="2159"/>
      <c r="F13" s="2159"/>
      <c r="G13" s="2159"/>
    </row>
    <row r="14" spans="1:29" ht="15.75" thickBot="1">
      <c r="A14" s="2169"/>
      <c r="B14" s="2170"/>
      <c r="C14" s="2171" t="s">
        <v>1751</v>
      </c>
      <c r="D14" s="2141"/>
      <c r="E14" s="2172"/>
      <c r="F14" s="2172"/>
      <c r="G14" s="2133" t="s">
        <v>1752</v>
      </c>
    </row>
    <row r="15" spans="1:29" ht="42.75">
      <c r="A15" s="25" t="s">
        <v>1753</v>
      </c>
      <c r="B15" s="2173" t="s">
        <v>1734</v>
      </c>
      <c r="C15" s="2174">
        <f>C3</f>
        <v>0</v>
      </c>
      <c r="D15" s="2141"/>
      <c r="E15" s="2175" t="s">
        <v>1754</v>
      </c>
      <c r="F15" s="2173" t="s">
        <v>1755</v>
      </c>
      <c r="G15" s="51" t="str">
        <f>G3</f>
        <v>估价对象位于XX开发区，园区建设成熟度XX，产业集聚程度XX</v>
      </c>
    </row>
    <row r="16" spans="1:29" ht="42.75">
      <c r="A16" s="629"/>
      <c r="B16" s="1491" t="s">
        <v>1737</v>
      </c>
      <c r="C16" s="2176">
        <f>C4</f>
        <v>0</v>
      </c>
      <c r="D16" s="2141"/>
      <c r="E16" s="2177"/>
      <c r="F16" s="2178" t="s">
        <v>1738</v>
      </c>
      <c r="G16" s="52" t="str">
        <f>G4</f>
        <v>估价对象周边道路状况、公共交通通达情况、停车便捷程度，综合评价交通便捷度较好</v>
      </c>
    </row>
    <row r="17" spans="1:18" ht="15">
      <c r="A17" s="629"/>
      <c r="B17" s="1491" t="s">
        <v>1740</v>
      </c>
      <c r="C17" s="2176" t="str">
        <f>C5</f>
        <v>较好</v>
      </c>
      <c r="D17" s="2148"/>
      <c r="E17" s="2177"/>
      <c r="F17" s="2178" t="s">
        <v>1756</v>
      </c>
      <c r="G17" s="2179"/>
    </row>
    <row r="18" spans="1:18" ht="42.75">
      <c r="A18" s="629"/>
      <c r="B18" s="2178" t="s">
        <v>1743</v>
      </c>
      <c r="C18" s="52" t="str">
        <f>C6</f>
        <v>较好</v>
      </c>
      <c r="D18" s="2148"/>
      <c r="E18" s="2177"/>
      <c r="F18" s="2178" t="s">
        <v>1746</v>
      </c>
      <c r="G18" s="52" t="str">
        <f>G7</f>
        <v>该园区内是否有污染型企业，绿化情况，卫生条件，整体环境状况判断</v>
      </c>
    </row>
    <row r="19" spans="1:18" ht="28.5">
      <c r="A19" s="629"/>
      <c r="B19" s="2178" t="s">
        <v>1757</v>
      </c>
      <c r="C19" s="2179"/>
      <c r="D19" s="2141"/>
      <c r="E19" s="2177"/>
      <c r="F19" s="1885" t="s">
        <v>1741</v>
      </c>
      <c r="G19" s="52" t="str">
        <f>G5</f>
        <v>估价对象所在区域公共配套设施齐备情况</v>
      </c>
    </row>
    <row r="20" spans="1:18" ht="15">
      <c r="A20" s="629"/>
      <c r="B20" s="2178" t="s">
        <v>1758</v>
      </c>
      <c r="C20" s="2176" t="str">
        <f>C9</f>
        <v>较好</v>
      </c>
      <c r="D20" s="2148"/>
      <c r="E20" s="2177"/>
      <c r="F20" s="1885" t="s">
        <v>1759</v>
      </c>
      <c r="G20" s="52" t="str">
        <f>G6</f>
        <v>估价对象所在区域基础设施水平</v>
      </c>
    </row>
    <row r="21" spans="1:18" ht="15">
      <c r="A21" s="629"/>
      <c r="B21" s="1885" t="s">
        <v>1741</v>
      </c>
      <c r="C21" s="52" t="str">
        <f>C7</f>
        <v>较好</v>
      </c>
      <c r="D21" s="2141"/>
      <c r="E21" s="2177"/>
      <c r="F21" s="2178" t="s">
        <v>1760</v>
      </c>
      <c r="G21" s="2180"/>
    </row>
    <row r="22" spans="1:18" ht="15">
      <c r="A22" s="629"/>
      <c r="B22" s="1885" t="s">
        <v>1744</v>
      </c>
      <c r="C22" s="52" t="str">
        <f>C8</f>
        <v>七通</v>
      </c>
      <c r="D22" s="2141"/>
      <c r="E22" s="2177"/>
      <c r="F22" s="2178" t="s">
        <v>1749</v>
      </c>
      <c r="G22" s="2181"/>
    </row>
    <row r="23" spans="1:18" s="2137" customFormat="1" ht="15.75" thickBot="1">
      <c r="A23" s="629"/>
      <c r="B23" s="2178" t="s">
        <v>1760</v>
      </c>
      <c r="C23" s="2180"/>
      <c r="D23" s="2166"/>
      <c r="E23" s="2182"/>
      <c r="F23" s="2183" t="s">
        <v>1761</v>
      </c>
      <c r="G23" s="2184"/>
      <c r="H23" s="2166"/>
      <c r="I23" s="2167"/>
      <c r="J23" s="2166"/>
      <c r="K23" s="2166"/>
      <c r="L23" s="2167"/>
      <c r="M23" s="2166"/>
      <c r="N23" s="2166"/>
      <c r="O23" s="2167"/>
      <c r="P23" s="2166"/>
      <c r="Q23" s="2166"/>
      <c r="R23" s="2168"/>
    </row>
    <row r="24" spans="1:18" s="2137" customFormat="1" ht="15.75" thickBot="1">
      <c r="A24" s="2185"/>
      <c r="B24" s="2183" t="s">
        <v>1762</v>
      </c>
      <c r="C24" s="53">
        <f>C10</f>
        <v>0</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7" sqref="G27"/>
    </sheetView>
  </sheetViews>
  <sheetFormatPr defaultColWidth="14.625" defaultRowHeight="13.5"/>
  <cols>
    <col min="1" max="1" width="24.375" customWidth="1"/>
  </cols>
  <sheetData>
    <row r="1" spans="1:9" ht="16.5">
      <c r="A1" s="1828" t="s">
        <v>1225</v>
      </c>
      <c r="B1" s="1828">
        <f>SUM(B14:B23)</f>
        <v>218.48</v>
      </c>
      <c r="C1" s="1829"/>
      <c r="D1" s="1829"/>
      <c r="E1" s="1829"/>
      <c r="F1" s="1829"/>
      <c r="G1" s="1833"/>
    </row>
    <row r="2" spans="1:9" ht="16.5">
      <c r="A2" s="1828" t="s">
        <v>1226</v>
      </c>
      <c r="B2" s="1828">
        <f>SUM(C14:C23)</f>
        <v>0</v>
      </c>
      <c r="C2" s="1829"/>
      <c r="D2" s="1829"/>
      <c r="E2" s="1829"/>
      <c r="F2" s="1829"/>
      <c r="G2" s="1833"/>
    </row>
    <row r="3" spans="1:9" ht="16.5">
      <c r="A3" s="1828" t="s">
        <v>1227</v>
      </c>
      <c r="B3" s="1831">
        <f>项目基本情况!D2</f>
        <v>43257</v>
      </c>
      <c r="C3" s="1829"/>
      <c r="D3" s="1829"/>
      <c r="E3" s="1829"/>
      <c r="F3" s="1829"/>
      <c r="G3" s="1833"/>
    </row>
    <row r="4" spans="1:9" ht="33">
      <c r="A4" s="1828" t="s">
        <v>1228</v>
      </c>
      <c r="B4" s="1828" t="s">
        <v>1229</v>
      </c>
      <c r="C4" s="1828" t="s">
        <v>1230</v>
      </c>
      <c r="D4" s="1828" t="s">
        <v>1231</v>
      </c>
      <c r="E4" s="1829"/>
      <c r="F4" s="1833"/>
      <c r="G4" s="1833"/>
    </row>
    <row r="5" spans="1:9" ht="16.5">
      <c r="A5" s="1828" t="s">
        <v>1232</v>
      </c>
      <c r="B5" s="1828">
        <f ca="1">SUM(D14:D23)</f>
        <v>609.8306</v>
      </c>
      <c r="C5" s="1828">
        <f ca="1">ROUND(B5*10000/$B$1,0)</f>
        <v>27912</v>
      </c>
      <c r="D5" s="1828" t="e">
        <f ca="1">ROUND(B5*10000/$B$2,0)</f>
        <v>#DIV/0!</v>
      </c>
      <c r="E5" s="1829"/>
      <c r="F5" s="1833"/>
      <c r="G5" s="1833"/>
    </row>
    <row r="6" spans="1:9" ht="16.5">
      <c r="A6" s="1828" t="s">
        <v>1233</v>
      </c>
      <c r="B6" s="1828">
        <f ca="1">SUM(G14:G23)</f>
        <v>609.8306</v>
      </c>
      <c r="C6" s="1828">
        <f t="shared" ref="C6:C8" ca="1" si="0">ROUND(B6*10000/$B$1,0)</f>
        <v>27912</v>
      </c>
      <c r="D6" s="1828" t="e">
        <f t="shared" ref="D6:D8" ca="1" si="1">ROUND(B6*10000/$B$2,0)</f>
        <v>#DIV/0!</v>
      </c>
      <c r="E6" s="1829"/>
      <c r="F6" s="1833"/>
      <c r="G6" s="1833"/>
    </row>
    <row r="7" spans="1:9" ht="16.5">
      <c r="A7" s="1828" t="s">
        <v>1234</v>
      </c>
      <c r="B7" s="1828" t="e">
        <f>SUM(H14:H23)</f>
        <v>#VALUE!</v>
      </c>
      <c r="C7" s="1828" t="e">
        <f>ROUND(B7*10000/$B$1,0)</f>
        <v>#VALUE!</v>
      </c>
      <c r="D7" s="1828" t="e">
        <f t="shared" si="1"/>
        <v>#VALUE!</v>
      </c>
      <c r="E7" s="1829"/>
      <c r="F7" s="1833"/>
      <c r="G7" s="1833"/>
    </row>
    <row r="8" spans="1:9" ht="16.5">
      <c r="A8" s="1828" t="s">
        <v>1235</v>
      </c>
      <c r="B8" s="1828" t="e">
        <f>SUM(I14:I23)</f>
        <v>#VALUE!</v>
      </c>
      <c r="C8" s="1828" t="e">
        <f t="shared" si="0"/>
        <v>#VALUE!</v>
      </c>
      <c r="D8" s="1828" t="e">
        <f t="shared" si="1"/>
        <v>#VALUE!</v>
      </c>
      <c r="E8" s="1829"/>
      <c r="F8" s="1833"/>
      <c r="G8" s="1833"/>
    </row>
    <row r="9" spans="1:9" ht="16.5">
      <c r="A9" s="1828" t="s">
        <v>1236</v>
      </c>
      <c r="B9" s="1834"/>
      <c r="C9" s="1829"/>
      <c r="D9" s="1829"/>
      <c r="E9" s="1829"/>
      <c r="F9" s="1833"/>
      <c r="G9" s="1833"/>
    </row>
    <row r="10" spans="1:9" ht="16.5">
      <c r="A10" s="1828" t="s">
        <v>1237</v>
      </c>
      <c r="B10" s="1834"/>
      <c r="C10" s="1829"/>
      <c r="D10" s="1829"/>
      <c r="E10" s="1829"/>
      <c r="F10" s="1833"/>
      <c r="G10" s="1833"/>
    </row>
    <row r="11" spans="1:9" ht="16.5">
      <c r="A11" s="1828" t="s">
        <v>1252</v>
      </c>
      <c r="B11" s="1834"/>
      <c r="C11" s="1829"/>
      <c r="D11" s="1829"/>
      <c r="E11" s="1829"/>
      <c r="F11" s="1833"/>
      <c r="G11" s="1833"/>
    </row>
    <row r="12" spans="1:9" ht="16.5">
      <c r="A12" s="1829"/>
      <c r="B12" s="1829"/>
      <c r="C12" s="1829"/>
      <c r="D12" s="1829"/>
      <c r="E12" s="1829"/>
      <c r="F12" s="1833"/>
      <c r="G12" s="1833"/>
    </row>
    <row r="13" spans="1:9" ht="33">
      <c r="A13" s="1838" t="s">
        <v>1251</v>
      </c>
      <c r="B13" s="1832" t="s">
        <v>1225</v>
      </c>
      <c r="C13" s="1832" t="s">
        <v>1226</v>
      </c>
      <c r="D13" s="1832" t="s">
        <v>1238</v>
      </c>
      <c r="E13" s="1828" t="s">
        <v>1230</v>
      </c>
      <c r="F13" s="1828" t="s">
        <v>1231</v>
      </c>
      <c r="G13" s="1832" t="s">
        <v>1239</v>
      </c>
      <c r="H13" s="1832" t="s">
        <v>1240</v>
      </c>
      <c r="I13" s="1832" t="s">
        <v>1241</v>
      </c>
    </row>
    <row r="14" spans="1:9" ht="16.5">
      <c r="A14" s="1835" t="s">
        <v>2909</v>
      </c>
      <c r="B14" s="1832">
        <f>项目基本情况!C12</f>
        <v>218.48</v>
      </c>
      <c r="C14" s="1832">
        <f>项目基本情况!C13</f>
        <v>0</v>
      </c>
      <c r="D14" s="1832">
        <f ca="1">IF('数据-取费表'!B3="万元",IF(A14="估价对象1（结果表）",结果表!H121,'结果表 (1修多)'!H124),IF(A14="估价对象1（结果表）",结果表!H121,'结果表 (1修多)'!H124)/10000)</f>
        <v>609.8306</v>
      </c>
      <c r="E14" s="1832">
        <f ca="1">ROUND(D14*10000/B14,0)</f>
        <v>27912</v>
      </c>
      <c r="F14" s="1832" t="e">
        <f ca="1">ROUND(D14*10000/C14,0)</f>
        <v>#DIV/0!</v>
      </c>
      <c r="G14" s="1832">
        <f ca="1">IF('数据-取费表'!B3="万元",IF(A14="估价对象1（结果表）",结果表!D125,'结果表 (1修多)'!D128),IF(A14="估价对象1（结果表）",结果表!D125,'结果表 (1修多)'!D128)/10000)</f>
        <v>609.8306</v>
      </c>
      <c r="H14" s="1832" t="e">
        <f>IF('数据-取费表'!B3="万元",IF(A14="估价对象1（结果表）",结果表!D127,'结果表 (1修多)'!D130),IF(A14="估价对象1（结果表）",结果表!D127,'结果表 (1修多)'!D130)/10000)</f>
        <v>#VALUE!</v>
      </c>
      <c r="I14" s="1832" t="e">
        <f>IF('数据-取费表'!B3="万元",IF(A14="估价对象1（结果表）",结果表!D129,'结果表 (1修多)'!D132),IF(A14="估价对象1（结果表）",结果表!D129,'结果表 (1修多)'!D132)/10000)</f>
        <v>#VALUE!</v>
      </c>
    </row>
    <row r="15" spans="1:9" ht="16.5">
      <c r="A15" s="1830" t="s">
        <v>1242</v>
      </c>
      <c r="B15" s="1836"/>
      <c r="C15" s="1836"/>
      <c r="D15" s="1836"/>
      <c r="E15" s="1832" t="e">
        <f t="shared" ref="E15:E23" si="2">ROUND(D15*10000/B15,0)</f>
        <v>#DIV/0!</v>
      </c>
      <c r="F15" s="1832" t="e">
        <f t="shared" ref="F15:F23" si="3">ROUND(D15*10000/C15,0)</f>
        <v>#DIV/0!</v>
      </c>
      <c r="G15" s="1837"/>
      <c r="H15" s="1837"/>
      <c r="I15" s="1836"/>
    </row>
    <row r="16" spans="1:9" ht="16.5">
      <c r="A16" s="1830" t="s">
        <v>1243</v>
      </c>
      <c r="B16" s="1836"/>
      <c r="C16" s="1836"/>
      <c r="D16" s="1836"/>
      <c r="E16" s="1832" t="e">
        <f t="shared" si="2"/>
        <v>#DIV/0!</v>
      </c>
      <c r="F16" s="1832" t="e">
        <f t="shared" si="3"/>
        <v>#DIV/0!</v>
      </c>
      <c r="G16" s="1837"/>
      <c r="H16" s="1837"/>
      <c r="I16" s="1836"/>
    </row>
    <row r="17" spans="1:9" ht="16.5">
      <c r="A17" s="1830" t="s">
        <v>1244</v>
      </c>
      <c r="B17" s="1836"/>
      <c r="C17" s="1836"/>
      <c r="D17" s="1836"/>
      <c r="E17" s="1832" t="e">
        <f t="shared" si="2"/>
        <v>#DIV/0!</v>
      </c>
      <c r="F17" s="1832" t="e">
        <f t="shared" si="3"/>
        <v>#DIV/0!</v>
      </c>
      <c r="G17" s="1837"/>
      <c r="H17" s="1837"/>
      <c r="I17" s="1836"/>
    </row>
    <row r="18" spans="1:9" ht="16.5">
      <c r="A18" s="1830" t="s">
        <v>1245</v>
      </c>
      <c r="B18" s="1836"/>
      <c r="C18" s="1836"/>
      <c r="D18" s="1836"/>
      <c r="E18" s="1832" t="e">
        <f t="shared" si="2"/>
        <v>#DIV/0!</v>
      </c>
      <c r="F18" s="1832" t="e">
        <f t="shared" si="3"/>
        <v>#DIV/0!</v>
      </c>
      <c r="G18" s="1836"/>
      <c r="H18" s="1836"/>
      <c r="I18" s="1836"/>
    </row>
    <row r="19" spans="1:9" ht="16.5">
      <c r="A19" s="1830" t="s">
        <v>1246</v>
      </c>
      <c r="B19" s="1836"/>
      <c r="C19" s="1836"/>
      <c r="D19" s="1836"/>
      <c r="E19" s="1832" t="e">
        <f t="shared" si="2"/>
        <v>#DIV/0!</v>
      </c>
      <c r="F19" s="1832" t="e">
        <f t="shared" si="3"/>
        <v>#DIV/0!</v>
      </c>
      <c r="G19" s="1836"/>
      <c r="H19" s="1836"/>
      <c r="I19" s="1836"/>
    </row>
    <row r="20" spans="1:9" ht="16.5">
      <c r="A20" s="1830" t="s">
        <v>1247</v>
      </c>
      <c r="B20" s="1836"/>
      <c r="C20" s="1836"/>
      <c r="D20" s="1836"/>
      <c r="E20" s="1832" t="e">
        <f t="shared" si="2"/>
        <v>#DIV/0!</v>
      </c>
      <c r="F20" s="1832" t="e">
        <f t="shared" si="3"/>
        <v>#DIV/0!</v>
      </c>
      <c r="G20" s="1836"/>
      <c r="H20" s="1836"/>
      <c r="I20" s="1836"/>
    </row>
    <row r="21" spans="1:9" ht="16.5">
      <c r="A21" s="1830" t="s">
        <v>1248</v>
      </c>
      <c r="B21" s="1836"/>
      <c r="C21" s="1836"/>
      <c r="D21" s="1836"/>
      <c r="E21" s="1832" t="e">
        <f t="shared" si="2"/>
        <v>#DIV/0!</v>
      </c>
      <c r="F21" s="1832" t="e">
        <f t="shared" si="3"/>
        <v>#DIV/0!</v>
      </c>
      <c r="G21" s="1836"/>
      <c r="H21" s="1836"/>
      <c r="I21" s="1836"/>
    </row>
    <row r="22" spans="1:9" ht="16.5">
      <c r="A22" s="1830" t="s">
        <v>1249</v>
      </c>
      <c r="B22" s="1836"/>
      <c r="C22" s="1836"/>
      <c r="D22" s="1836"/>
      <c r="E22" s="1832" t="e">
        <f t="shared" si="2"/>
        <v>#DIV/0!</v>
      </c>
      <c r="F22" s="1832" t="e">
        <f t="shared" si="3"/>
        <v>#DIV/0!</v>
      </c>
      <c r="G22" s="1836"/>
      <c r="H22" s="1836"/>
      <c r="I22" s="1836"/>
    </row>
    <row r="23" spans="1:9" ht="16.5">
      <c r="A23" s="1830" t="s">
        <v>1250</v>
      </c>
      <c r="B23" s="1836"/>
      <c r="C23" s="1836"/>
      <c r="D23" s="1836"/>
      <c r="E23" s="1828" t="e">
        <f t="shared" si="2"/>
        <v>#DIV/0!</v>
      </c>
      <c r="F23" s="1828" t="e">
        <f t="shared" si="3"/>
        <v>#DIV/0!</v>
      </c>
      <c r="G23" s="1836"/>
      <c r="H23" s="1836"/>
      <c r="I23" s="1836"/>
    </row>
  </sheetData>
  <sheetProtection password="C66D" sheet="1" objects="1" scenarios="1"/>
  <phoneticPr fontId="14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3" zoomScaleNormal="100" zoomScaleSheetLayoutView="100" zoomScalePageLayoutView="80" workbookViewId="0">
      <selection activeCell="D30" sqref="D30"/>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3"/>
    <col min="36" max="16384" width="12.625" style="2193"/>
  </cols>
  <sheetData>
    <row r="1" spans="1:12" ht="21.75" customHeight="1">
      <c r="A1" s="2191" t="s">
        <v>1763</v>
      </c>
      <c r="B1" s="2192"/>
      <c r="C1" s="2192"/>
      <c r="D1" s="2192"/>
      <c r="E1" s="2192"/>
      <c r="F1" s="2192"/>
      <c r="G1" s="2192"/>
      <c r="H1" s="2192"/>
      <c r="I1" s="2192"/>
    </row>
    <row r="2" spans="1:12" ht="21.75" customHeight="1">
      <c r="A2" s="2904" t="str">
        <f>项目基本情况!B1</f>
        <v>北京市房地产市场价值预评估</v>
      </c>
      <c r="B2" s="2904"/>
      <c r="C2" s="2904"/>
      <c r="D2" s="2904"/>
      <c r="E2" s="2904"/>
      <c r="F2" s="2904"/>
      <c r="G2" s="2904"/>
      <c r="H2" s="2904"/>
      <c r="I2" s="2904"/>
    </row>
    <row r="3" spans="1:12" ht="12.75">
      <c r="A3" s="2907" t="s">
        <v>1764</v>
      </c>
      <c r="B3" s="2908"/>
      <c r="C3" s="2908"/>
      <c r="D3" s="2908"/>
      <c r="E3" s="2908"/>
      <c r="F3" s="2908"/>
      <c r="G3" s="2908"/>
      <c r="H3" s="2908"/>
      <c r="I3" s="2908"/>
    </row>
    <row r="4" spans="1:12" ht="14.25">
      <c r="A4" s="2194" t="s">
        <v>1765</v>
      </c>
      <c r="B4" s="2195" t="s">
        <v>1766</v>
      </c>
      <c r="C4" s="2196" t="s">
        <v>2898</v>
      </c>
      <c r="D4" s="2196" t="s">
        <v>2899</v>
      </c>
      <c r="E4" s="2888" t="s">
        <v>1767</v>
      </c>
      <c r="F4" s="2889"/>
      <c r="G4" s="2889"/>
      <c r="H4" s="2889"/>
      <c r="I4" s="2899"/>
      <c r="K4" s="1843" t="str">
        <f>IF(ISNUMBER(FIND("比较法",结果表!C4)),"比较法",IF(ISNUMBER(FIND("成本法",结果表!C4)),"成本法",IF(ISNUMBER(FIND("假设开发法",结果表!C4)),"假设开发法",IF(ISNUMBER(FIND("收益法",结果表!C4)),"收益法","基准地价系数修正法"))))</f>
        <v>比较法</v>
      </c>
      <c r="L4" s="1843" t="str">
        <f>IF(ISNUMBER(FIND("比较法",结果表!D4)),"比较法",IF(ISNUMBER(FIND("成本法",结果表!D4)),"成本法",IF(ISNUMBER(FIND("假设开发法",结果表!D4)),"假设开发法",IF(ISNUMBER(FIND("收益法",结果表!D4)),"收益法","基准地价系数修正法"))))</f>
        <v>收益法</v>
      </c>
    </row>
    <row r="5" spans="1:12" ht="12.75">
      <c r="A5" s="2881" t="s">
        <v>1768</v>
      </c>
      <c r="B5" s="2843">
        <v>25</v>
      </c>
      <c r="C5" s="2892"/>
      <c r="D5" s="2906"/>
      <c r="E5" s="56" t="s">
        <v>1769</v>
      </c>
      <c r="F5" s="2197"/>
      <c r="G5" s="2197"/>
      <c r="H5" s="2197"/>
      <c r="I5" s="2198"/>
    </row>
    <row r="6" spans="1:12" ht="12.75">
      <c r="A6" s="2881"/>
      <c r="B6" s="2843"/>
      <c r="C6" s="2909"/>
      <c r="D6" s="2906"/>
      <c r="E6" s="56" t="s">
        <v>1770</v>
      </c>
      <c r="F6" s="2197"/>
      <c r="G6" s="2197"/>
      <c r="H6" s="2197"/>
      <c r="I6" s="2198"/>
    </row>
    <row r="7" spans="1:12" ht="12.75">
      <c r="A7" s="2881"/>
      <c r="B7" s="2843"/>
      <c r="C7" s="2893"/>
      <c r="D7" s="2906"/>
      <c r="E7" s="56" t="s">
        <v>1771</v>
      </c>
      <c r="F7" s="2197"/>
      <c r="G7" s="2197"/>
      <c r="H7" s="2197"/>
      <c r="I7" s="2198"/>
    </row>
    <row r="8" spans="1:12" ht="12.75">
      <c r="A8" s="2881" t="s">
        <v>1772</v>
      </c>
      <c r="B8" s="2843">
        <v>15</v>
      </c>
      <c r="C8" s="2892"/>
      <c r="D8" s="2906"/>
      <c r="E8" s="56" t="s">
        <v>1773</v>
      </c>
      <c r="F8" s="2197"/>
      <c r="G8" s="2197"/>
      <c r="H8" s="2197"/>
      <c r="I8" s="2198"/>
    </row>
    <row r="9" spans="1:12" ht="12.75">
      <c r="A9" s="2881"/>
      <c r="B9" s="2843"/>
      <c r="C9" s="2893"/>
      <c r="D9" s="2906"/>
      <c r="E9" s="56" t="s">
        <v>1774</v>
      </c>
      <c r="F9" s="2197"/>
      <c r="G9" s="2197"/>
      <c r="H9" s="2197"/>
      <c r="I9" s="2198"/>
    </row>
    <row r="10" spans="1:12" ht="12.75">
      <c r="A10" s="2881" t="s">
        <v>1775</v>
      </c>
      <c r="B10" s="2843">
        <v>15</v>
      </c>
      <c r="C10" s="2892"/>
      <c r="D10" s="2906"/>
      <c r="E10" s="56" t="s">
        <v>1776</v>
      </c>
      <c r="F10" s="2197"/>
      <c r="G10" s="2197"/>
      <c r="H10" s="2197"/>
      <c r="I10" s="2198"/>
    </row>
    <row r="11" spans="1:12" ht="12.75">
      <c r="A11" s="2881"/>
      <c r="B11" s="2843"/>
      <c r="C11" s="2893"/>
      <c r="D11" s="2906"/>
      <c r="E11" s="56" t="s">
        <v>1777</v>
      </c>
      <c r="F11" s="2197"/>
      <c r="G11" s="2197"/>
      <c r="H11" s="2197"/>
      <c r="I11" s="2198"/>
    </row>
    <row r="12" spans="1:12" ht="12.75">
      <c r="A12" s="2881" t="s">
        <v>1778</v>
      </c>
      <c r="B12" s="2843">
        <v>15</v>
      </c>
      <c r="C12" s="2892"/>
      <c r="D12" s="2906"/>
      <c r="E12" s="56" t="s">
        <v>1779</v>
      </c>
      <c r="F12" s="2197"/>
      <c r="G12" s="2197"/>
      <c r="H12" s="2197"/>
      <c r="I12" s="2198"/>
    </row>
    <row r="13" spans="1:12" ht="12.75">
      <c r="A13" s="2881"/>
      <c r="B13" s="2843"/>
      <c r="C13" s="2893"/>
      <c r="D13" s="2906"/>
      <c r="E13" s="56" t="s">
        <v>1780</v>
      </c>
      <c r="F13" s="2197"/>
      <c r="G13" s="2197"/>
      <c r="H13" s="2197"/>
      <c r="I13" s="2198"/>
    </row>
    <row r="14" spans="1:12" ht="12.75">
      <c r="A14" s="2881" t="s">
        <v>1781</v>
      </c>
      <c r="B14" s="2843">
        <v>30</v>
      </c>
      <c r="C14" s="2892">
        <v>5</v>
      </c>
      <c r="D14" s="2906">
        <v>5</v>
      </c>
      <c r="E14" s="56" t="s">
        <v>1782</v>
      </c>
      <c r="F14" s="2197"/>
      <c r="G14" s="2197"/>
      <c r="H14" s="2197"/>
      <c r="I14" s="2198"/>
    </row>
    <row r="15" spans="1:12" ht="12.75">
      <c r="A15" s="2881"/>
      <c r="B15" s="2843"/>
      <c r="C15" s="2909"/>
      <c r="D15" s="2906"/>
      <c r="E15" s="56" t="s">
        <v>1783</v>
      </c>
      <c r="F15" s="2197"/>
      <c r="G15" s="2197"/>
      <c r="H15" s="2197"/>
      <c r="I15" s="2198"/>
    </row>
    <row r="16" spans="1:12" ht="12.75">
      <c r="A16" s="2881"/>
      <c r="B16" s="2843"/>
      <c r="C16" s="2893"/>
      <c r="D16" s="2906"/>
      <c r="E16" s="56" t="s">
        <v>1784</v>
      </c>
      <c r="F16" s="2197"/>
      <c r="G16" s="2197"/>
      <c r="H16" s="2197"/>
      <c r="I16" s="2198"/>
    </row>
    <row r="17" spans="1:35" ht="15">
      <c r="A17" s="2199" t="s">
        <v>1785</v>
      </c>
      <c r="B17" s="2200"/>
      <c r="C17" s="57">
        <f>SUM(C5:C16)</f>
        <v>5</v>
      </c>
      <c r="D17" s="57">
        <f>SUM(D5:D16)</f>
        <v>5</v>
      </c>
      <c r="E17" s="2192"/>
      <c r="F17" s="2192"/>
      <c r="G17" s="2192"/>
      <c r="H17" s="2192"/>
      <c r="I17" s="2192"/>
    </row>
    <row r="18" spans="1:35" ht="15.75" thickBot="1">
      <c r="A18" s="2201" t="s">
        <v>1786</v>
      </c>
      <c r="B18" s="2202"/>
      <c r="C18" s="58">
        <f>ROUND(C17/SUM(C17:D17),2)</f>
        <v>0.5</v>
      </c>
      <c r="D18" s="58">
        <f>1-C18</f>
        <v>0.5</v>
      </c>
      <c r="E18" s="2192"/>
      <c r="F18" s="2192"/>
      <c r="G18" s="2192"/>
      <c r="H18" s="2192"/>
      <c r="I18" s="2192"/>
    </row>
    <row r="19" spans="1:35" ht="15">
      <c r="A19" s="2203" t="s">
        <v>1787</v>
      </c>
      <c r="B19" s="2204" t="s">
        <v>1788</v>
      </c>
      <c r="C19" s="59">
        <f ca="1">SUMIF(INDIRECT("'"&amp;C4&amp;"'"&amp;"!A:A"),结果表!B19,INDIRECT("'"&amp;C4&amp;"'"&amp;"!B:B"))</f>
        <v>8083978</v>
      </c>
      <c r="D19" s="60">
        <f ca="1">SUMIF(INDIRECT("'"&amp;D4&amp;"'"&amp;"!A:A"),结果表!B19,INDIRECT("'"&amp;D4&amp;"'"&amp;"!B:B"))</f>
        <v>7525292</v>
      </c>
      <c r="E19" s="2203" t="s">
        <v>1789</v>
      </c>
      <c r="F19" s="2204" t="s">
        <v>1788</v>
      </c>
      <c r="G19" s="61">
        <f ca="1">ROUND(C19*$C$18+D19*$D$18,0)</f>
        <v>7804635</v>
      </c>
      <c r="H19" s="2205" t="str">
        <f>'数据-取费表'!B3</f>
        <v>元</v>
      </c>
      <c r="I19" s="2192"/>
    </row>
    <row r="20" spans="1:35" ht="15">
      <c r="A20" s="2206"/>
      <c r="B20" s="2207" t="s">
        <v>1790</v>
      </c>
      <c r="C20" s="62">
        <f ca="1">SUMIF(INDIRECT("'"&amp;C4&amp;"'"&amp;"!A:A"),结果表!B20,INDIRECT("'"&amp;C4&amp;"'"&amp;"!B:B"))</f>
        <v>37001</v>
      </c>
      <c r="D20" s="63">
        <f ca="1">SUMIF(INDIRECT("'"&amp;D4&amp;"'"&amp;"!A:A"),结果表!B20,INDIRECT("'"&amp;D4&amp;"'"&amp;"!B:B"))</f>
        <v>34444</v>
      </c>
      <c r="E20" s="2206"/>
      <c r="F20" s="2207" t="s">
        <v>1790</v>
      </c>
      <c r="G20" s="64">
        <f ca="1">ROUND(C20*$C$18+D20*$D$18,0)</f>
        <v>35723</v>
      </c>
      <c r="H20" s="2208" t="s">
        <v>1791</v>
      </c>
      <c r="I20" s="2192"/>
    </row>
    <row r="21" spans="1:35" ht="15" customHeight="1" thickBot="1">
      <c r="A21" s="2209"/>
      <c r="B21" s="2210"/>
      <c r="C21" s="770"/>
      <c r="D21" s="771"/>
      <c r="E21" s="2209"/>
      <c r="F21" s="2210"/>
      <c r="G21" s="65"/>
      <c r="H21" s="2211"/>
      <c r="I21" s="2192"/>
    </row>
    <row r="22" spans="1:35" ht="15" thickBot="1">
      <c r="A22" s="2212" t="s">
        <v>1792</v>
      </c>
      <c r="B22" s="2213"/>
      <c r="C22" s="2214"/>
      <c r="D22" s="772">
        <f ca="1">IF(C19&lt;D19,D19/C19-1,C19/D19-1)</f>
        <v>7.424110586007826E-2</v>
      </c>
      <c r="E22" s="2192"/>
      <c r="F22" s="2192"/>
      <c r="G22" s="2192"/>
      <c r="H22" s="2192"/>
      <c r="I22" s="2192"/>
    </row>
    <row r="23" spans="1:35" ht="13.5" thickBot="1">
      <c r="A23" s="2192"/>
      <c r="B23" s="2192"/>
      <c r="C23" s="2192"/>
      <c r="D23" s="2192"/>
      <c r="E23" s="2192"/>
      <c r="F23" s="2192"/>
      <c r="G23" s="2192"/>
      <c r="H23" s="2192"/>
      <c r="I23" s="2192"/>
    </row>
    <row r="24" spans="1:35" ht="21.75" customHeight="1">
      <c r="A24" s="2912" t="s">
        <v>1793</v>
      </c>
      <c r="B24" s="2204" t="s">
        <v>1788</v>
      </c>
      <c r="C24" s="61">
        <f ca="1">D30</f>
        <v>1706329</v>
      </c>
      <c r="D24" s="994"/>
      <c r="E24" s="2192"/>
      <c r="F24" s="2192"/>
      <c r="G24" s="2192"/>
      <c r="H24" s="2192"/>
      <c r="I24" s="2192"/>
    </row>
    <row r="25" spans="1:35" ht="21.75" customHeight="1">
      <c r="A25" s="2913"/>
      <c r="B25" s="2207" t="s">
        <v>1790</v>
      </c>
      <c r="C25" s="66">
        <f ca="1">IF(B30=0,0,C30)</f>
        <v>7810</v>
      </c>
      <c r="D25" s="2215"/>
      <c r="E25" s="2192"/>
      <c r="F25" s="2192"/>
      <c r="G25" s="2192"/>
      <c r="H25" s="2192"/>
      <c r="I25" s="2192"/>
    </row>
    <row r="26" spans="1:35" ht="13.5" customHeight="1">
      <c r="A26" s="2216" t="s">
        <v>1794</v>
      </c>
      <c r="B26" s="67" t="s">
        <v>1795</v>
      </c>
      <c r="C26" s="67" t="s">
        <v>1796</v>
      </c>
      <c r="D26" s="68" t="s">
        <v>1797</v>
      </c>
      <c r="E26" s="2192"/>
      <c r="F26" s="2192"/>
      <c r="G26" s="2192"/>
      <c r="H26" s="2192"/>
      <c r="I26" s="2192"/>
    </row>
    <row r="27" spans="1:35" ht="14.25">
      <c r="A27" s="2217"/>
      <c r="B27" s="67">
        <f>'数据-取费表'!B5</f>
        <v>218.48</v>
      </c>
      <c r="C27" s="67">
        <f ca="1">基准地价修正!C30</f>
        <v>7810</v>
      </c>
      <c r="D27" s="68">
        <f ca="1">基准地价修正!E30</f>
        <v>1706329</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1798</v>
      </c>
      <c r="B30" s="67">
        <f>B27</f>
        <v>218.48</v>
      </c>
      <c r="C30" s="67">
        <f ca="1">ROUND(D30/B30,0)</f>
        <v>7810</v>
      </c>
      <c r="D30" s="67">
        <f ca="1">D27</f>
        <v>1706329</v>
      </c>
      <c r="E30" s="2713" t="s">
        <v>2800</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75" hidden="1" thickBot="1">
      <c r="A32" s="2220" t="s">
        <v>1799</v>
      </c>
      <c r="B32" s="2221" t="str">
        <f>'数据-取费表'!B4</f>
        <v>总价</v>
      </c>
      <c r="C32" s="1144">
        <f ca="1">IF(B32="总价",G19-C24,G20-C25)</f>
        <v>6098306</v>
      </c>
      <c r="D32" s="2192" t="str">
        <f>IF(B32="楼面单价","元/平方米",H19)</f>
        <v>元</v>
      </c>
      <c r="E32" s="2192"/>
      <c r="F32" s="2192"/>
      <c r="G32" s="2192"/>
      <c r="H32" s="2192"/>
      <c r="I32" s="2192"/>
    </row>
    <row r="33" spans="1:16" ht="15" hidden="1">
      <c r="A33" s="2222" t="s">
        <v>1800</v>
      </c>
      <c r="B33" s="2223"/>
      <c r="C33" s="2224"/>
      <c r="D33" s="2225"/>
      <c r="E33" s="2226" t="s">
        <v>1801</v>
      </c>
      <c r="F33" s="2227" t="str">
        <f>IF(B32="楼面单价","取值（单价）","取值（总价）")</f>
        <v>取值（总价）</v>
      </c>
      <c r="G33" s="2192"/>
      <c r="H33" s="2192"/>
      <c r="I33" s="2192"/>
    </row>
    <row r="34" spans="1:16" ht="15" hidden="1">
      <c r="A34" s="2228"/>
      <c r="B34" s="2229" t="s">
        <v>1802</v>
      </c>
      <c r="C34" s="72">
        <f ca="1">IF(D33="自定义",F34,C32-C35)</f>
        <v>5348214</v>
      </c>
      <c r="D34" s="1090">
        <f ca="1">IF(D33="自定义",ROUND(C34/C32,3),1-D35)</f>
        <v>0.877</v>
      </c>
      <c r="E34" s="2230" t="s">
        <v>1803</v>
      </c>
      <c r="F34" s="1826"/>
      <c r="G34" s="2192"/>
      <c r="H34" s="2192"/>
      <c r="I34" s="2192"/>
    </row>
    <row r="35" spans="1:16" ht="15.75" hidden="1" thickBot="1">
      <c r="A35" s="2231"/>
      <c r="B35" s="2232" t="s">
        <v>1804</v>
      </c>
      <c r="C35" s="73">
        <f ca="1">IF(D33="自定义",F35,ROUND(C32*D35,0))</f>
        <v>750092</v>
      </c>
      <c r="D35" s="1089">
        <f ca="1">IF(D33="自定义",ROUND(C35/C32,3),IF(D33="成本法成本比率",成本法!C56,IF(D33="收益法收益比率",收益法!J38,收益法!J41)))</f>
        <v>0.123</v>
      </c>
      <c r="E35" s="2233" t="s">
        <v>1805</v>
      </c>
      <c r="F35" s="79"/>
      <c r="G35" s="2192"/>
      <c r="H35" s="2192"/>
      <c r="I35" s="2192"/>
    </row>
    <row r="36" spans="1:16" ht="15.75" thickBot="1">
      <c r="A36" s="2894" t="s">
        <v>1806</v>
      </c>
      <c r="B36" s="2234" t="s">
        <v>1807</v>
      </c>
      <c r="C36" s="69">
        <v>0</v>
      </c>
      <c r="D36" s="2235" t="s">
        <v>2900</v>
      </c>
      <c r="E36" s="2236"/>
      <c r="F36" s="2236"/>
      <c r="G36" s="2192"/>
      <c r="H36" s="2192"/>
      <c r="I36" s="2192"/>
    </row>
    <row r="37" spans="1:16" ht="15.75" thickBot="1">
      <c r="A37" s="2895"/>
      <c r="B37" s="2237" t="s">
        <v>1808</v>
      </c>
      <c r="C37" s="71">
        <v>0</v>
      </c>
      <c r="D37" s="2202"/>
      <c r="E37" s="2202"/>
      <c r="F37" s="2236"/>
      <c r="G37" s="2202"/>
      <c r="H37" s="2202"/>
      <c r="I37" s="2202"/>
    </row>
    <row r="38" spans="1:16" ht="15.75" thickBot="1">
      <c r="A38" s="2896"/>
      <c r="B38" s="2238" t="s">
        <v>1809</v>
      </c>
      <c r="C38" s="712">
        <f>E40</f>
        <v>0</v>
      </c>
      <c r="D38" s="2239" t="s">
        <v>1810</v>
      </c>
      <c r="E38" s="2202"/>
      <c r="F38" s="2236"/>
      <c r="G38" s="2202"/>
      <c r="H38" s="2202"/>
      <c r="I38" s="2202"/>
    </row>
    <row r="39" spans="1:16" ht="15">
      <c r="A39" s="2206" t="s">
        <v>1811</v>
      </c>
      <c r="B39" s="2240" t="s">
        <v>1795</v>
      </c>
      <c r="C39" s="2241" t="s">
        <v>1796</v>
      </c>
      <c r="D39" s="2241" t="s">
        <v>1812</v>
      </c>
      <c r="E39" s="2242" t="s">
        <v>1797</v>
      </c>
      <c r="F39" s="2236"/>
      <c r="G39" s="2202"/>
      <c r="H39" s="2202"/>
      <c r="I39" s="2202"/>
    </row>
    <row r="40" spans="1:16" ht="14.25">
      <c r="A40" s="2243" t="s">
        <v>1813</v>
      </c>
      <c r="B40" s="74"/>
      <c r="C40" s="75"/>
      <c r="D40" s="75"/>
      <c r="E40" s="76"/>
      <c r="F40" s="2236"/>
      <c r="G40" s="2202"/>
      <c r="H40" s="2202"/>
      <c r="I40" s="2202"/>
    </row>
    <row r="41" spans="1:16" ht="14.25">
      <c r="A41" s="2243" t="s">
        <v>1814</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hidden="1">
      <c r="A44" s="2248" t="s">
        <v>1815</v>
      </c>
      <c r="B44" s="2249"/>
      <c r="C44" s="2249"/>
      <c r="D44" s="2250"/>
      <c r="E44" s="2250"/>
      <c r="F44" s="2251"/>
      <c r="G44" s="2251"/>
      <c r="H44" s="2251"/>
      <c r="I44" s="2251"/>
      <c r="J44" s="2252" t="s">
        <v>1816</v>
      </c>
      <c r="K44" s="2253"/>
      <c r="L44" s="2253"/>
      <c r="M44" s="2253"/>
      <c r="N44" s="2253"/>
      <c r="O44" s="2253"/>
      <c r="P44" s="1843"/>
    </row>
    <row r="45" spans="1:16" ht="14.25" hidden="1" customHeight="1" thickBot="1">
      <c r="A45" s="2900" t="s">
        <v>1817</v>
      </c>
      <c r="B45" s="2901"/>
      <c r="C45" s="2902"/>
      <c r="D45" s="80">
        <f ca="1">ROUND(I102*F45,0)</f>
        <v>6098306</v>
      </c>
      <c r="E45" s="81" t="s">
        <v>1818</v>
      </c>
      <c r="F45" s="82">
        <v>1</v>
      </c>
      <c r="G45" s="83" t="s">
        <v>1819</v>
      </c>
      <c r="H45" s="2192"/>
      <c r="I45" s="2192"/>
      <c r="J45" s="2962" t="s">
        <v>1820</v>
      </c>
      <c r="K45" s="2962"/>
      <c r="L45" s="2962"/>
      <c r="M45" s="2962"/>
      <c r="N45" s="2962"/>
      <c r="O45" s="2962"/>
      <c r="P45" s="1843"/>
    </row>
    <row r="46" spans="1:16" ht="14.25" hidden="1" customHeight="1">
      <c r="A46" s="2885" t="s">
        <v>1821</v>
      </c>
      <c r="B46" s="2886"/>
      <c r="C46" s="2886"/>
      <c r="D46" s="2886"/>
      <c r="E46" s="2886"/>
      <c r="F46" s="2886"/>
      <c r="G46" s="2887"/>
      <c r="H46" s="2254"/>
      <c r="I46" s="1143"/>
      <c r="J46" s="1881">
        <v>1</v>
      </c>
      <c r="K46" s="2962" t="s">
        <v>1822</v>
      </c>
      <c r="L46" s="2962"/>
      <c r="M46" s="2963" t="str">
        <f>项目基本情况!B1</f>
        <v>北京市房地产市场价值预评估</v>
      </c>
      <c r="N46" s="2963"/>
      <c r="O46" s="2963"/>
      <c r="P46" s="1843"/>
    </row>
    <row r="47" spans="1:16" ht="12" hidden="1" customHeight="1">
      <c r="A47" s="85" t="s">
        <v>1823</v>
      </c>
      <c r="B47" s="86"/>
      <c r="C47" s="87"/>
      <c r="D47" s="88" t="s">
        <v>1824</v>
      </c>
      <c r="E47" s="14" t="s">
        <v>1825</v>
      </c>
      <c r="F47" s="89" t="s">
        <v>1826</v>
      </c>
      <c r="G47" s="90" t="s">
        <v>1827</v>
      </c>
      <c r="H47" s="2254"/>
      <c r="I47" s="1143"/>
      <c r="J47" s="1881">
        <v>2</v>
      </c>
      <c r="K47" s="2962" t="s">
        <v>1828</v>
      </c>
      <c r="L47" s="2962"/>
      <c r="M47" s="2964">
        <f>'数据-取费表'!B2</f>
        <v>43257</v>
      </c>
      <c r="N47" s="2964"/>
      <c r="O47" s="2964"/>
      <c r="P47" s="1843"/>
    </row>
    <row r="48" spans="1:16" ht="25.5" hidden="1">
      <c r="A48" s="2897" t="s">
        <v>1829</v>
      </c>
      <c r="B48" s="2898"/>
      <c r="C48" s="2898"/>
      <c r="D48" s="56">
        <f ca="1">IF(H48="情况1",0,IF(H48="情况2",D52,IF(H48="情况3",D53,IF(H48="情况4",D54))))</f>
        <v>325243</v>
      </c>
      <c r="E48" s="1891" t="str">
        <f>IF(H48="情况4","(销售额-原购置价)×税（费）率","销售额×税（费）率")</f>
        <v>销售额×税（费）率</v>
      </c>
      <c r="F48" s="91">
        <f>IF(H48="情况1","免征",'数据-取费表'!E29)</f>
        <v>5.6000000000000001E-2</v>
      </c>
      <c r="G48" s="2255" t="s">
        <v>1830</v>
      </c>
      <c r="H48" s="2256" t="s">
        <v>1831</v>
      </c>
      <c r="I48" s="2254"/>
      <c r="J48" s="1881">
        <v>3</v>
      </c>
      <c r="K48" s="2962" t="s">
        <v>1832</v>
      </c>
      <c r="L48" s="2962"/>
      <c r="M48" s="2963">
        <f ca="1">I102</f>
        <v>6098306</v>
      </c>
      <c r="N48" s="2963"/>
      <c r="O48" s="2963"/>
      <c r="P48" s="1843"/>
    </row>
    <row r="49" spans="1:16" ht="25.5" hidden="1" customHeight="1">
      <c r="A49" s="92" t="s">
        <v>1833</v>
      </c>
      <c r="B49" s="2890" t="s">
        <v>1834</v>
      </c>
      <c r="C49" s="2890"/>
      <c r="D49" s="93">
        <v>0</v>
      </c>
      <c r="E49" s="13" t="s">
        <v>1835</v>
      </c>
      <c r="F49" s="18" t="s">
        <v>48</v>
      </c>
      <c r="G49" s="2955"/>
      <c r="H49" s="2192"/>
      <c r="I49" s="2257"/>
      <c r="J49" s="1881">
        <v>4</v>
      </c>
      <c r="K49" s="2962" t="str">
        <f>IF(项目基本情况!F5="房地产抵押价值","房地产抵押价值","抵押担保权已注销时的房地产抵押价值")</f>
        <v>抵押担保权已注销时的房地产抵押价值</v>
      </c>
      <c r="L49" s="2962"/>
      <c r="M49" s="2963" t="str">
        <f>IF(项目基本情况!F5="房地产抵押价值",I110,I112)</f>
        <v>——</v>
      </c>
      <c r="N49" s="2963"/>
      <c r="O49" s="2963"/>
      <c r="P49" s="1843"/>
    </row>
    <row r="50" spans="1:16" ht="25.5" hidden="1" customHeight="1">
      <c r="A50" s="94"/>
      <c r="B50" s="2890" t="s">
        <v>1836</v>
      </c>
      <c r="C50" s="2890"/>
      <c r="D50" s="95"/>
      <c r="E50" s="21"/>
      <c r="F50" s="96"/>
      <c r="G50" s="2956"/>
      <c r="H50" s="2192"/>
      <c r="I50" s="2257"/>
      <c r="J50" s="2962" t="s">
        <v>1837</v>
      </c>
      <c r="K50" s="2962"/>
      <c r="L50" s="2962"/>
      <c r="M50" s="2962"/>
      <c r="N50" s="2962"/>
      <c r="O50" s="2962"/>
      <c r="P50" s="1843"/>
    </row>
    <row r="51" spans="1:16" ht="12" hidden="1" customHeight="1">
      <c r="A51" s="97"/>
      <c r="B51" s="2890" t="s">
        <v>1838</v>
      </c>
      <c r="C51" s="2890"/>
      <c r="D51" s="98"/>
      <c r="E51" s="20"/>
      <c r="F51" s="96"/>
      <c r="G51" s="2957"/>
      <c r="H51" s="2192"/>
      <c r="I51" s="2257"/>
      <c r="J51" s="2258" t="s">
        <v>1839</v>
      </c>
      <c r="K51" s="2962" t="s">
        <v>1840</v>
      </c>
      <c r="L51" s="2962"/>
      <c r="M51" s="2258" t="s">
        <v>1841</v>
      </c>
      <c r="N51" s="2258" t="s">
        <v>1842</v>
      </c>
      <c r="O51" s="2258" t="s">
        <v>1843</v>
      </c>
      <c r="P51" s="1843"/>
    </row>
    <row r="52" spans="1:16" ht="24" hidden="1" customHeight="1">
      <c r="A52" s="99" t="s">
        <v>1844</v>
      </c>
      <c r="B52" s="2890" t="s">
        <v>1845</v>
      </c>
      <c r="C52" s="2890"/>
      <c r="D52" s="98">
        <f ca="1">ROUND(D45*'数据-取费表'!E29/(1+'数据-取费表'!F30),0)</f>
        <v>325243</v>
      </c>
      <c r="E52" s="10" t="s">
        <v>1846</v>
      </c>
      <c r="F52" s="100">
        <f>'数据-取费表'!E29</f>
        <v>5.6000000000000001E-2</v>
      </c>
      <c r="G52" s="2259"/>
      <c r="H52" s="2192"/>
      <c r="I52" s="2257"/>
      <c r="J52" s="1881">
        <v>1</v>
      </c>
      <c r="K52" s="2922" t="s">
        <v>1847</v>
      </c>
      <c r="L52" s="2922"/>
      <c r="M52" s="778">
        <f ca="1">D48</f>
        <v>325243</v>
      </c>
      <c r="N52" s="1881" t="str">
        <f>E48</f>
        <v>销售额×税（费）率</v>
      </c>
      <c r="O52" s="779">
        <f>F48</f>
        <v>5.6000000000000001E-2</v>
      </c>
      <c r="P52" s="1843"/>
    </row>
    <row r="53" spans="1:16" ht="12" hidden="1" customHeight="1">
      <c r="A53" s="99" t="s">
        <v>1848</v>
      </c>
      <c r="B53" s="2891" t="s">
        <v>1849</v>
      </c>
      <c r="C53" s="2821"/>
      <c r="D53" s="98">
        <f ca="1">ROUND(D45*'数据-取费表'!E29/(1+'数据-取费表'!F30),0)</f>
        <v>325243</v>
      </c>
      <c r="E53" s="10" t="s">
        <v>1846</v>
      </c>
      <c r="F53" s="100">
        <f>'数据-取费表'!E29</f>
        <v>5.6000000000000001E-2</v>
      </c>
      <c r="G53" s="2259"/>
      <c r="H53" s="2192"/>
      <c r="I53" s="2257"/>
      <c r="J53" s="1881">
        <v>2</v>
      </c>
      <c r="K53" s="2922" t="s">
        <v>1850</v>
      </c>
      <c r="L53" s="2922"/>
      <c r="M53" s="778">
        <f t="shared" ref="M53:O54" ca="1" si="1">D55</f>
        <v>3049</v>
      </c>
      <c r="N53" s="1881" t="str">
        <f t="shared" si="1"/>
        <v>销售额×税（费）率</v>
      </c>
      <c r="O53" s="779">
        <f t="shared" si="1"/>
        <v>5.0000000000000001E-4</v>
      </c>
      <c r="P53" s="1843"/>
    </row>
    <row r="54" spans="1:16" ht="12" hidden="1" customHeight="1">
      <c r="A54" s="99" t="s">
        <v>1851</v>
      </c>
      <c r="B54" s="2891" t="s">
        <v>1852</v>
      </c>
      <c r="C54" s="2821"/>
      <c r="D54" s="98">
        <f ca="1">C68</f>
        <v>325243</v>
      </c>
      <c r="E54" s="20" t="s">
        <v>1853</v>
      </c>
      <c r="F54" s="100">
        <f>'数据-取费表'!E29</f>
        <v>5.6000000000000001E-2</v>
      </c>
      <c r="G54" s="2259"/>
      <c r="H54" s="2260"/>
      <c r="I54" s="2257"/>
      <c r="J54" s="1881">
        <v>3</v>
      </c>
      <c r="K54" s="2922" t="s">
        <v>1854</v>
      </c>
      <c r="L54" s="2922"/>
      <c r="M54" s="778">
        <f t="shared" ca="1" si="1"/>
        <v>3451641</v>
      </c>
      <c r="N54" s="1881" t="str">
        <f t="shared" si="1"/>
        <v>增值额×税（费）率</v>
      </c>
      <c r="O54" s="780" t="str">
        <f t="shared" si="1"/>
        <v>——</v>
      </c>
      <c r="P54" s="1843"/>
    </row>
    <row r="55" spans="1:16" ht="24" hidden="1" customHeight="1">
      <c r="A55" s="2813" t="s">
        <v>1855</v>
      </c>
      <c r="B55" s="2898"/>
      <c r="C55" s="2898"/>
      <c r="D55" s="101">
        <f ca="1">IF(H55="个人住宅",0,ROUND(D45*I55,0))</f>
        <v>3049</v>
      </c>
      <c r="E55" s="10" t="s">
        <v>1856</v>
      </c>
      <c r="F55" s="100">
        <f>IF(H55="正常",I55,"免征")</f>
        <v>5.0000000000000001E-4</v>
      </c>
      <c r="G55" s="2259"/>
      <c r="H55" s="2256" t="s">
        <v>1857</v>
      </c>
      <c r="I55" s="102">
        <f>'数据-取费表'!E37</f>
        <v>5.0000000000000001E-4</v>
      </c>
      <c r="J55" s="1881">
        <f>IF(H59="非个人房产","",4)</f>
        <v>4</v>
      </c>
      <c r="K55" s="2922" t="str">
        <f>IF(H59="非个人房产","——","个人所得税")</f>
        <v>个人所得税</v>
      </c>
      <c r="L55" s="2922"/>
      <c r="M55" s="781">
        <f ca="1">D59</f>
        <v>60983</v>
      </c>
      <c r="N55" s="1884" t="str">
        <f>E59</f>
        <v>销售额×税（费）率</v>
      </c>
      <c r="O55" s="782">
        <f>F59</f>
        <v>0.01</v>
      </c>
      <c r="P55" s="1843"/>
    </row>
    <row r="56" spans="1:16" ht="24.75" hidden="1">
      <c r="A56" s="2813" t="s">
        <v>1858</v>
      </c>
      <c r="B56" s="2898"/>
      <c r="C56" s="2898"/>
      <c r="D56" s="101">
        <f ca="1">IF(H56="个人住宅",D57,D58)</f>
        <v>3451641</v>
      </c>
      <c r="E56" s="10" t="s">
        <v>1859</v>
      </c>
      <c r="F56" s="100" t="str">
        <f>IF(H56="正常",F58,"免征")</f>
        <v>——</v>
      </c>
      <c r="G56" s="2261" t="s">
        <v>1860</v>
      </c>
      <c r="H56" s="2262" t="s">
        <v>1857</v>
      </c>
      <c r="I56" s="1021"/>
      <c r="J56" s="1881" t="str">
        <f>IF(项目基本情况!I6="上海银行",IF(J55="",4,J55+1),"")</f>
        <v/>
      </c>
      <c r="K56" s="2940" t="str">
        <f>IF(项目基本情况!I6="上海银行","其他处置费用","")</f>
        <v/>
      </c>
      <c r="L56" s="2941"/>
      <c r="M56" s="778" t="str">
        <f>IF(项目基本情况!I6="上海银行",M69,"")</f>
        <v/>
      </c>
      <c r="N56" s="2953" t="str">
        <f>IF(项目基本情况!I6="上海银行","包含处置中涉及的律师、诉讼、拍卖、评估等费用","")</f>
        <v/>
      </c>
      <c r="O56" s="2954"/>
      <c r="P56" s="1843"/>
    </row>
    <row r="57" spans="1:16" ht="12.75" hidden="1">
      <c r="A57" s="99" t="s">
        <v>1833</v>
      </c>
      <c r="B57" s="2888" t="s">
        <v>1861</v>
      </c>
      <c r="C57" s="2899"/>
      <c r="D57" s="103">
        <v>0</v>
      </c>
      <c r="E57" s="13" t="s">
        <v>1835</v>
      </c>
      <c r="F57" s="70"/>
      <c r="G57" s="2259"/>
      <c r="H57" s="1021"/>
      <c r="I57" s="1021"/>
      <c r="J57" s="2922">
        <f>IF(AND(J55="",J56=""),4,IF(项目基本情况!I6="上海银行",J56+1,J55+1))</f>
        <v>5</v>
      </c>
      <c r="K57" s="2922" t="s">
        <v>1862</v>
      </c>
      <c r="L57" s="2263" t="s">
        <v>1863</v>
      </c>
      <c r="M57" s="783"/>
      <c r="N57" s="784">
        <f ca="1">SUMIF(M52:M56,"&lt;9e307")</f>
        <v>3840916</v>
      </c>
      <c r="O57" s="2264"/>
      <c r="P57" s="1839" t="e">
        <f ca="1">N57/M49</f>
        <v>#VALUE!</v>
      </c>
    </row>
    <row r="58" spans="1:16" ht="24.75" hidden="1">
      <c r="A58" s="99" t="s">
        <v>1844</v>
      </c>
      <c r="B58" s="2888" t="s">
        <v>1864</v>
      </c>
      <c r="C58" s="2889"/>
      <c r="D58" s="101">
        <f ca="1">IF(H58="转让取得",C81,C97)</f>
        <v>3451641</v>
      </c>
      <c r="E58" s="10" t="s">
        <v>1859</v>
      </c>
      <c r="F58" s="14" t="s">
        <v>48</v>
      </c>
      <c r="G58" s="2259"/>
      <c r="H58" s="2262" t="s">
        <v>1865</v>
      </c>
      <c r="I58" s="1021"/>
      <c r="J58" s="2922"/>
      <c r="K58" s="2922"/>
      <c r="L58" s="2263" t="s">
        <v>1866</v>
      </c>
      <c r="M58" s="785"/>
      <c r="N58" s="2265" t="str">
        <f ca="1">IF(H19="元",NUMBERSTRING(INT(N57),2)&amp;"元整",NUMBERSTRING(INT(N57*10000),2)&amp;"元整")</f>
        <v>叁佰捌拾肆万零玖佰壹拾陆元整</v>
      </c>
      <c r="O58" s="2266"/>
      <c r="P58" s="1843"/>
    </row>
    <row r="59" spans="1:16" ht="26.25" hidden="1" thickBot="1">
      <c r="A59" s="2814" t="s">
        <v>1867</v>
      </c>
      <c r="B59" s="2817"/>
      <c r="C59" s="2817"/>
      <c r="D59" s="104">
        <f ca="1">IF(H59="非个人房产","——",IF(H59="个人住宅",0,ROUND(D45*I59,0)))</f>
        <v>60983</v>
      </c>
      <c r="E59" s="105" t="str">
        <f>IF(H59="非个人房产","——","销售额×税（费）率")</f>
        <v>销售额×税（费）率</v>
      </c>
      <c r="F59" s="106">
        <f>IF(H59="非个人房产","——",IF(H59="个人住宅","免征",I59))</f>
        <v>0.01</v>
      </c>
      <c r="G59" s="2267" t="s">
        <v>1860</v>
      </c>
      <c r="H59" s="2262" t="s">
        <v>1868</v>
      </c>
      <c r="I59" s="107">
        <v>0.01</v>
      </c>
      <c r="J59" s="2920">
        <f>J57+1</f>
        <v>6</v>
      </c>
      <c r="K59" s="2922" t="s">
        <v>1869</v>
      </c>
      <c r="L59" s="1881" t="s">
        <v>1863</v>
      </c>
      <c r="M59" s="786"/>
      <c r="N59" s="787" t="e">
        <f ca="1">M49-N57</f>
        <v>#VALUE!</v>
      </c>
      <c r="O59" s="2268"/>
      <c r="P59" s="1843"/>
    </row>
    <row r="60" spans="1:16" ht="12" hidden="1" customHeight="1">
      <c r="A60" s="2064"/>
      <c r="B60" s="2192"/>
      <c r="C60" s="2192"/>
      <c r="D60" s="2192"/>
      <c r="E60" s="1021"/>
      <c r="F60" s="1021"/>
      <c r="G60" s="1021"/>
      <c r="H60" s="2245"/>
      <c r="I60" s="2192"/>
      <c r="J60" s="2921"/>
      <c r="K60" s="2922"/>
      <c r="L60" s="2263" t="s">
        <v>1866</v>
      </c>
      <c r="M60" s="785"/>
      <c r="N60" s="2265" t="e">
        <f ca="1">IF(H19="元",NUMBERSTRING(INT(N59),2)&amp;"元整",NUMBERSTRING(INT(N59*10000),2)&amp;"元整")</f>
        <v>#VALUE!</v>
      </c>
      <c r="O60" s="2266"/>
      <c r="P60" s="1843"/>
    </row>
    <row r="61" spans="1:16" ht="13.5" hidden="1" thickBot="1">
      <c r="A61" s="2903" t="s">
        <v>1870</v>
      </c>
      <c r="B61" s="2903"/>
      <c r="C61" s="2903"/>
      <c r="D61" s="2903"/>
      <c r="E61" s="2903"/>
      <c r="F61" s="1021"/>
      <c r="G61" s="1021"/>
      <c r="H61" s="2245"/>
      <c r="I61" s="2192"/>
      <c r="J61" s="1881">
        <f>J59+1</f>
        <v>7</v>
      </c>
      <c r="K61" s="2922" t="s">
        <v>1871</v>
      </c>
      <c r="L61" s="2922"/>
      <c r="M61" s="788"/>
      <c r="N61" s="789" t="e">
        <f ca="1">IF(H19="元",ROUND(N59/项目基本情况!C12,0),ROUND(N59*10000/项目基本情况!C12,0))</f>
        <v>#VALUE!</v>
      </c>
      <c r="O61" s="2269"/>
      <c r="P61" s="1843"/>
    </row>
    <row r="62" spans="1:16" ht="12.75" hidden="1">
      <c r="A62" s="2910" t="s">
        <v>1872</v>
      </c>
      <c r="B62" s="2911"/>
      <c r="C62" s="1883"/>
      <c r="D62" s="1883" t="s">
        <v>1873</v>
      </c>
      <c r="E62" s="108" t="s">
        <v>1874</v>
      </c>
      <c r="F62" s="1021"/>
      <c r="G62" s="1021"/>
      <c r="H62" s="2245"/>
      <c r="I62" s="2192"/>
      <c r="J62" s="1843"/>
      <c r="K62" s="1843"/>
      <c r="L62" s="1843"/>
      <c r="M62" s="1843"/>
      <c r="N62" s="1843"/>
      <c r="O62" s="1843"/>
      <c r="P62" s="1843"/>
    </row>
    <row r="63" spans="1:16" ht="12.75" hidden="1">
      <c r="A63" s="109">
        <v>1</v>
      </c>
      <c r="B63" s="110" t="s">
        <v>1875</v>
      </c>
      <c r="C63" s="111">
        <f ca="1">ROUND((C64+C65)/(1+'数据-取费表'!F30),0)</f>
        <v>5807910</v>
      </c>
      <c r="D63" s="112"/>
      <c r="E63" s="113"/>
      <c r="F63" s="1021"/>
      <c r="G63" s="1021"/>
      <c r="H63" s="2245"/>
      <c r="I63" s="2192"/>
      <c r="J63" s="2942" t="s">
        <v>1876</v>
      </c>
      <c r="K63" s="2270" t="s">
        <v>1877</v>
      </c>
      <c r="L63" s="1842" t="e">
        <f>IF(M49&gt;10000,M49*0.5%,IF(AND(M49&gt;1000,M49&lt;=10000),M49*1%,IF(AND(M49&gt;100,M49&lt;=1000),M49*3%,IF(AND(M49&gt;10,M49&lt;=100),M49*5%,M49*8%))))</f>
        <v>#VALUE!</v>
      </c>
      <c r="M63" s="14" t="e">
        <f>ROUND(L63,1)</f>
        <v>#VALUE!</v>
      </c>
      <c r="N63" s="1843"/>
      <c r="O63" s="1843"/>
      <c r="P63" s="1843"/>
    </row>
    <row r="64" spans="1:16" ht="12.75" hidden="1">
      <c r="A64" s="114" t="s">
        <v>71</v>
      </c>
      <c r="B64" s="115" t="s">
        <v>1878</v>
      </c>
      <c r="C64" s="116">
        <f ca="1">D45</f>
        <v>6098306</v>
      </c>
      <c r="D64" s="117" t="s">
        <v>41</v>
      </c>
      <c r="E64" s="118"/>
      <c r="F64" s="1021"/>
      <c r="G64" s="1021"/>
      <c r="H64" s="2245"/>
      <c r="I64" s="2192"/>
      <c r="J64" s="2942"/>
      <c r="K64" s="2270" t="s">
        <v>1879</v>
      </c>
      <c r="L64" s="1842"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3" t="s">
        <v>1880</v>
      </c>
      <c r="O64" s="1843"/>
      <c r="P64" s="1843"/>
    </row>
    <row r="65" spans="1:35" ht="12.75" hidden="1">
      <c r="A65" s="114" t="s">
        <v>72</v>
      </c>
      <c r="B65" s="115" t="s">
        <v>1881</v>
      </c>
      <c r="C65" s="119"/>
      <c r="D65" s="117"/>
      <c r="E65" s="118"/>
      <c r="F65" s="1021"/>
      <c r="G65" s="1021"/>
      <c r="H65" s="2245"/>
      <c r="I65" s="2192"/>
      <c r="J65" s="2942"/>
      <c r="K65" s="2270" t="s">
        <v>1882</v>
      </c>
      <c r="L65" s="1842" t="e">
        <f>IF(M49&gt;1000,M49*0.1%,IF(AND(M49&gt;500,M49&lt;=1000),M49*0.5%,IF(AND(M49&gt;50,M49&lt;=500),M49*1%,IF(AND(M49&gt;1,M49&lt;=50),M49*1.5%))))</f>
        <v>#VALUE!</v>
      </c>
      <c r="M65" s="14" t="e">
        <f t="shared" si="2"/>
        <v>#VALUE!</v>
      </c>
      <c r="N65" s="1843" t="s">
        <v>1880</v>
      </c>
      <c r="O65" s="1843"/>
      <c r="P65" s="1843"/>
    </row>
    <row r="66" spans="1:35" ht="12.75" hidden="1">
      <c r="A66" s="120" t="s">
        <v>47</v>
      </c>
      <c r="B66" s="121" t="s">
        <v>1883</v>
      </c>
      <c r="C66" s="122"/>
      <c r="D66" s="123" t="s">
        <v>41</v>
      </c>
      <c r="E66" s="1859" t="s">
        <v>1884</v>
      </c>
      <c r="F66" s="1021"/>
      <c r="G66" s="1021"/>
      <c r="H66" s="2245"/>
      <c r="I66" s="2192"/>
      <c r="J66" s="2942"/>
      <c r="K66" s="2270" t="s">
        <v>1885</v>
      </c>
      <c r="L66" s="1842" t="e">
        <f>M49*0.5%</f>
        <v>#VALUE!</v>
      </c>
      <c r="M66" s="14" t="e">
        <f>IF(L66&gt;0.5,0.5,ROUND(L66,0))</f>
        <v>#VALUE!</v>
      </c>
      <c r="N66" s="1843" t="s">
        <v>1886</v>
      </c>
      <c r="O66" s="1843"/>
      <c r="P66" s="1843"/>
    </row>
    <row r="67" spans="1:35" ht="12.75" hidden="1">
      <c r="A67" s="120" t="s">
        <v>42</v>
      </c>
      <c r="B67" s="121" t="s">
        <v>1887</v>
      </c>
      <c r="C67" s="124">
        <f ca="1">C63-C66</f>
        <v>5807910</v>
      </c>
      <c r="D67" s="117" t="s">
        <v>41</v>
      </c>
      <c r="E67" s="118"/>
      <c r="F67" s="1021"/>
      <c r="G67" s="1021"/>
      <c r="H67" s="2245"/>
      <c r="I67" s="2192"/>
      <c r="J67" s="2942"/>
      <c r="K67" s="2270" t="s">
        <v>1888</v>
      </c>
      <c r="L67" s="1842"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3"/>
      <c r="O67" s="1843"/>
      <c r="P67" s="1843"/>
    </row>
    <row r="68" spans="1:35" ht="13.5" hidden="1" thickBot="1">
      <c r="A68" s="125" t="s">
        <v>46</v>
      </c>
      <c r="B68" s="126" t="s">
        <v>1889</v>
      </c>
      <c r="C68" s="127">
        <f ca="1">IF(C67&lt;=0,0,ROUND(C67*D68,0))</f>
        <v>325243</v>
      </c>
      <c r="D68" s="128">
        <f>'数据-取费表'!E29</f>
        <v>5.6000000000000001E-2</v>
      </c>
      <c r="E68" s="129"/>
      <c r="F68" s="1021"/>
      <c r="G68" s="1021"/>
      <c r="H68" s="2245"/>
      <c r="I68" s="2192"/>
      <c r="J68" s="2942"/>
      <c r="K68" s="2270" t="s">
        <v>1890</v>
      </c>
      <c r="L68" s="1842" t="e">
        <f>IF(M49&gt;10000,M49*0.5%,IF(AND(M49&gt;5000,M49&lt;=10000),M49*1%,IF(AND(M49&gt;1000,M49&lt;=5000),M49*2%,IF(AND(M49&gt;200,M49&lt;=1000),M49*3%,M49*5%))))</f>
        <v>#VALUE!</v>
      </c>
      <c r="M68" s="14" t="e">
        <f>ROUND(L68,1)</f>
        <v>#VALUE!</v>
      </c>
      <c r="N68" s="1843"/>
      <c r="O68" s="1843"/>
      <c r="P68" s="1843"/>
    </row>
    <row r="69" spans="1:35" s="2219" customFormat="1" ht="7.5" hidden="1" customHeight="1">
      <c r="A69" s="2271"/>
      <c r="B69" s="2272"/>
      <c r="C69" s="2273"/>
      <c r="D69" s="2274"/>
      <c r="E69" s="2275"/>
      <c r="F69" s="1021"/>
      <c r="G69" s="1021"/>
      <c r="H69" s="2245"/>
      <c r="I69" s="2192"/>
      <c r="J69" s="2942"/>
      <c r="K69" s="2270" t="s">
        <v>1891</v>
      </c>
      <c r="L69" s="2276"/>
      <c r="M69" s="14" t="e">
        <f>ROUND(SUM(M63:M68),0)</f>
        <v>#VALUE!</v>
      </c>
      <c r="N69" s="1839" t="e">
        <f>M69/M49</f>
        <v>#VALUE!</v>
      </c>
      <c r="O69" s="1843"/>
      <c r="P69" s="1843"/>
      <c r="Q69" s="798"/>
      <c r="R69" s="798"/>
      <c r="S69" s="798"/>
      <c r="T69" s="798"/>
      <c r="U69" s="798"/>
      <c r="V69" s="798"/>
      <c r="W69" s="798"/>
      <c r="X69" s="798"/>
      <c r="Y69" s="798"/>
      <c r="Z69" s="798"/>
      <c r="AA69" s="1843"/>
      <c r="AB69" s="1843"/>
      <c r="AC69" s="1843"/>
      <c r="AD69" s="1843"/>
      <c r="AE69" s="1843"/>
      <c r="AF69" s="1843"/>
      <c r="AG69" s="1843"/>
      <c r="AH69" s="1843"/>
      <c r="AI69" s="1843"/>
    </row>
    <row r="70" spans="1:35" s="2278" customFormat="1" ht="15" hidden="1" thickBot="1">
      <c r="A70" s="2914" t="s">
        <v>1892</v>
      </c>
      <c r="B70" s="2915"/>
      <c r="C70" s="2915"/>
      <c r="D70" s="2915"/>
      <c r="E70" s="2915"/>
      <c r="F70" s="2915"/>
      <c r="G70" s="2915"/>
      <c r="H70" s="2915"/>
      <c r="I70" s="2277"/>
      <c r="O70" s="1285"/>
      <c r="P70" s="1285"/>
      <c r="Q70" s="1285"/>
      <c r="R70" s="1285"/>
      <c r="S70" s="1285"/>
      <c r="T70" s="1285"/>
      <c r="U70" s="1285"/>
      <c r="V70" s="1285"/>
      <c r="W70" s="1285"/>
      <c r="X70" s="1285"/>
      <c r="Y70" s="1285"/>
      <c r="Z70" s="1285"/>
      <c r="AA70" s="2279"/>
      <c r="AB70" s="2279"/>
      <c r="AC70" s="2279"/>
      <c r="AD70" s="2279"/>
      <c r="AE70" s="2279"/>
      <c r="AF70" s="2279"/>
      <c r="AG70" s="2279"/>
      <c r="AH70" s="2279"/>
      <c r="AI70" s="2279"/>
    </row>
    <row r="71" spans="1:35" s="2278" customFormat="1" ht="14.25" hidden="1">
      <c r="A71" s="2910" t="s">
        <v>1872</v>
      </c>
      <c r="B71" s="2911"/>
      <c r="C71" s="1883"/>
      <c r="D71" s="1883" t="s">
        <v>1873</v>
      </c>
      <c r="E71" s="130" t="s">
        <v>1874</v>
      </c>
      <c r="F71" s="131"/>
      <c r="G71" s="131"/>
      <c r="H71" s="132"/>
      <c r="I71" s="2280"/>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hidden="1">
      <c r="A72" s="133">
        <v>1</v>
      </c>
      <c r="B72" s="121" t="s">
        <v>1893</v>
      </c>
      <c r="C72" s="124">
        <f ca="1">ROUND(D45/(1+'数据-取费表'!F30),0)</f>
        <v>5807910</v>
      </c>
      <c r="D72" s="117" t="s">
        <v>41</v>
      </c>
      <c r="E72" s="12" t="s">
        <v>1894</v>
      </c>
      <c r="F72" s="1887"/>
      <c r="G72" s="1887"/>
      <c r="H72" s="134"/>
      <c r="I72" s="2280"/>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hidden="1">
      <c r="A73" s="135">
        <v>2</v>
      </c>
      <c r="B73" s="89" t="s">
        <v>1895</v>
      </c>
      <c r="C73" s="124">
        <f ca="1">C74+C78</f>
        <v>34847</v>
      </c>
      <c r="D73" s="117" t="s">
        <v>41</v>
      </c>
      <c r="E73" s="1886"/>
      <c r="F73" s="1887"/>
      <c r="G73" s="1887"/>
      <c r="H73" s="134"/>
      <c r="I73" s="2280"/>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24" hidden="1">
      <c r="A74" s="136" t="s">
        <v>73</v>
      </c>
      <c r="B74" s="115" t="s">
        <v>1896</v>
      </c>
      <c r="C74" s="117">
        <f>ROUND(IF(G77="2016年5月1日后购买",C75/(1+'数据-取费表'!F30)+C76+C77,C75+C76+C77),0)</f>
        <v>0</v>
      </c>
      <c r="D74" s="117" t="s">
        <v>41</v>
      </c>
      <c r="E74" s="1886"/>
      <c r="F74" s="1887"/>
      <c r="G74" s="1887"/>
      <c r="H74" s="134"/>
      <c r="I74" s="2280"/>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hidden="1">
      <c r="A75" s="136" t="s">
        <v>74</v>
      </c>
      <c r="B75" s="115" t="s">
        <v>1897</v>
      </c>
      <c r="C75" s="137"/>
      <c r="D75" s="117" t="s">
        <v>41</v>
      </c>
      <c r="E75" s="138" t="s">
        <v>1898</v>
      </c>
      <c r="F75" s="2281" t="s">
        <v>1899</v>
      </c>
      <c r="G75" s="138" t="s">
        <v>1900</v>
      </c>
      <c r="H75" s="139"/>
      <c r="I75" s="9"/>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24.75" hidden="1" customHeight="1">
      <c r="A76" s="136" t="s">
        <v>75</v>
      </c>
      <c r="B76" s="140" t="s">
        <v>1901</v>
      </c>
      <c r="C76" s="117">
        <f>IF(F75="购房发票",ROUND(C75*H75*D76,0),0)</f>
        <v>0</v>
      </c>
      <c r="D76" s="141">
        <v>0.05</v>
      </c>
      <c r="E76" s="2891" t="s">
        <v>1902</v>
      </c>
      <c r="F76" s="2890"/>
      <c r="G76" s="2890"/>
      <c r="H76" s="2905"/>
      <c r="I76" s="2280"/>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hidden="1"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82" t="s">
        <v>1905</v>
      </c>
      <c r="H77" s="1888" t="str">
        <f>IF(G77="个人买卖住房","免征印花税"," ")</f>
        <v xml:space="preserve"> </v>
      </c>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hidden="1" customHeight="1">
      <c r="A78" s="136" t="s">
        <v>77</v>
      </c>
      <c r="B78" s="115" t="s">
        <v>1906</v>
      </c>
      <c r="C78" s="144">
        <f ca="1">ROUND(D45*D78/(1+'数据-取费表'!F30),0)</f>
        <v>34847</v>
      </c>
      <c r="D78" s="145">
        <f>'数据-取费表'!E31</f>
        <v>6.000000000000001E-3</v>
      </c>
      <c r="E78" s="2882" t="s">
        <v>1907</v>
      </c>
      <c r="F78" s="2883"/>
      <c r="G78" s="2883"/>
      <c r="H78" s="2884"/>
      <c r="I78" s="2283"/>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14.25" hidden="1">
      <c r="A79" s="146" t="s">
        <v>42</v>
      </c>
      <c r="B79" s="121" t="s">
        <v>1908</v>
      </c>
      <c r="C79" s="124">
        <f ca="1">C72-C73</f>
        <v>5773063</v>
      </c>
      <c r="D79" s="117" t="s">
        <v>41</v>
      </c>
      <c r="E79" s="1886"/>
      <c r="F79" s="1887"/>
      <c r="G79" s="1887"/>
      <c r="H79" s="134"/>
      <c r="I79" s="2280"/>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24" hidden="1">
      <c r="A80" s="146" t="s">
        <v>43</v>
      </c>
      <c r="B80" s="121" t="s">
        <v>1909</v>
      </c>
      <c r="C80" s="147">
        <f ca="1">IF(C79&lt;=0,0,C79/C73)</f>
        <v>165.6688667604098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7"/>
      <c r="G80" s="1887"/>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24.75" hidden="1" thickBot="1">
      <c r="A81" s="148" t="s">
        <v>44</v>
      </c>
      <c r="B81" s="126" t="s">
        <v>1910</v>
      </c>
      <c r="C81" s="149">
        <f ca="1">ROUND(IF(C79&lt;=0,0,IF(C80&gt;=200%,C79*60%-C73*35%,IF(C80&gt;=100%,C79*50%-C73*15%,IF(C80&gt;=50%,C79*40%-C73*5%,IF(C80&lt;50%,C79*30%,0))))),0)</f>
        <v>3451641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7.5" hidden="1" customHeight="1">
      <c r="A82" s="717"/>
      <c r="B82" s="718"/>
      <c r="C82" s="9"/>
      <c r="D82" s="9"/>
      <c r="E82" s="718"/>
      <c r="F82" s="718"/>
      <c r="G82" s="718"/>
      <c r="H82" s="719"/>
      <c r="I82" s="2283"/>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15" hidden="1" thickBot="1">
      <c r="A83" s="2914" t="s">
        <v>1911</v>
      </c>
      <c r="B83" s="2915"/>
      <c r="C83" s="2915"/>
      <c r="D83" s="2915"/>
      <c r="E83" s="2915"/>
      <c r="F83" s="2915"/>
      <c r="G83" s="2915"/>
      <c r="H83" s="2915"/>
      <c r="I83" s="9"/>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4.25" hidden="1">
      <c r="A84" s="2910" t="s">
        <v>1872</v>
      </c>
      <c r="B84" s="2911"/>
      <c r="C84" s="1883"/>
      <c r="D84" s="1883" t="s">
        <v>1873</v>
      </c>
      <c r="E84" s="130" t="s">
        <v>1874</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24" hidden="1">
      <c r="A85" s="133">
        <v>1</v>
      </c>
      <c r="B85" s="121" t="s">
        <v>1893</v>
      </c>
      <c r="C85" s="124">
        <f ca="1">ROUND(D45/(1+'数据-取费表'!F30),0)</f>
        <v>5807910</v>
      </c>
      <c r="D85" s="117" t="s">
        <v>41</v>
      </c>
      <c r="E85" s="1886" t="s">
        <v>1894</v>
      </c>
      <c r="F85" s="1887"/>
      <c r="G85" s="1887"/>
      <c r="H85" s="155"/>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hidden="1">
      <c r="A86" s="135">
        <v>2</v>
      </c>
      <c r="B86" s="89" t="s">
        <v>1895</v>
      </c>
      <c r="C86" s="124">
        <f ca="1">IF(H88="仅含出让金",C87+C90+C91+C92+C93+C94,C87+C91+C92+C93+C94)</f>
        <v>34847</v>
      </c>
      <c r="D86" s="156"/>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hidden="1">
      <c r="A87" s="136" t="s">
        <v>73</v>
      </c>
      <c r="B87" s="115" t="s">
        <v>1912</v>
      </c>
      <c r="C87" s="144">
        <f>C88+C89</f>
        <v>0</v>
      </c>
      <c r="D87" s="145"/>
      <c r="E87" s="1879"/>
      <c r="F87" s="1880"/>
      <c r="G87" s="1880"/>
      <c r="H87" s="1882"/>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hidden="1">
      <c r="A88" s="136" t="s">
        <v>74</v>
      </c>
      <c r="B88" s="115" t="s">
        <v>1913</v>
      </c>
      <c r="C88" s="157"/>
      <c r="D88" s="145"/>
      <c r="E88" s="158" t="s">
        <v>1914</v>
      </c>
      <c r="F88" s="1880"/>
      <c r="G88" s="159" t="s">
        <v>1915</v>
      </c>
      <c r="H88" s="2284"/>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hidden="1">
      <c r="A89" s="136" t="s">
        <v>75</v>
      </c>
      <c r="B89" s="115" t="s">
        <v>1903</v>
      </c>
      <c r="C89" s="144">
        <f>ROUND(C88*D89,0)</f>
        <v>0</v>
      </c>
      <c r="D89" s="145">
        <f>'数据-取费表'!E36+'数据-取费表'!E37</f>
        <v>3.0499999999999999E-2</v>
      </c>
      <c r="E89" s="158" t="s">
        <v>1916</v>
      </c>
      <c r="F89" s="1880"/>
      <c r="G89" s="1880"/>
      <c r="H89" s="1882"/>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hidden="1">
      <c r="A90" s="136" t="s">
        <v>77</v>
      </c>
      <c r="B90" s="115" t="s">
        <v>1917</v>
      </c>
      <c r="C90" s="157"/>
      <c r="D90" s="145"/>
      <c r="E90" s="158" t="str">
        <f>IF(H88="-","土地取得成本中已包含该笔费用"," ")</f>
        <v xml:space="preserve"> </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30.75" hidden="1" customHeight="1">
      <c r="A91" s="136" t="s">
        <v>78</v>
      </c>
      <c r="B91" s="115" t="s">
        <v>1918</v>
      </c>
      <c r="C91" s="144">
        <f>IF(H91="——",成本法!C33,I91)</f>
        <v>0</v>
      </c>
      <c r="D91" s="145"/>
      <c r="E91" s="2882" t="s">
        <v>1919</v>
      </c>
      <c r="F91" s="2883"/>
      <c r="G91" s="2883"/>
      <c r="H91" s="2285" t="s">
        <v>1920</v>
      </c>
      <c r="I91" s="2286"/>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25.5" hidden="1" customHeight="1">
      <c r="A92" s="136" t="s">
        <v>79</v>
      </c>
      <c r="B92" s="115" t="s">
        <v>1921</v>
      </c>
      <c r="C92" s="144">
        <f>ROUND((C87+C90+C91)*D92,0)</f>
        <v>0</v>
      </c>
      <c r="D92" s="145">
        <v>0.1</v>
      </c>
      <c r="E92" s="2882" t="s">
        <v>1922</v>
      </c>
      <c r="F92" s="2883"/>
      <c r="G92" s="2883"/>
      <c r="H92" s="2884"/>
      <c r="I92" s="9"/>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hidden="1" customHeight="1">
      <c r="A93" s="136" t="s">
        <v>80</v>
      </c>
      <c r="B93" s="115" t="s">
        <v>1906</v>
      </c>
      <c r="C93" s="144">
        <f ca="1">ROUND(D45*D93/(1+'数据-取费表'!F30),0)</f>
        <v>34847</v>
      </c>
      <c r="D93" s="145">
        <f>'数据-取费表'!E31</f>
        <v>6.000000000000001E-3</v>
      </c>
      <c r="E93" s="2882" t="s">
        <v>1907</v>
      </c>
      <c r="F93" s="2883"/>
      <c r="G93" s="2883"/>
      <c r="H93" s="2884"/>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hidden="1" customHeight="1">
      <c r="A94" s="136" t="s">
        <v>81</v>
      </c>
      <c r="B94" s="115" t="s">
        <v>1923</v>
      </c>
      <c r="C94" s="144">
        <f>ROUND((C87+C90+C91)*D94,0)</f>
        <v>0</v>
      </c>
      <c r="D94" s="145">
        <v>0.2</v>
      </c>
      <c r="E94" s="2882" t="s">
        <v>1924</v>
      </c>
      <c r="F94" s="2883"/>
      <c r="G94" s="2883"/>
      <c r="H94" s="2884"/>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14.25" hidden="1">
      <c r="A95" s="146" t="s">
        <v>42</v>
      </c>
      <c r="B95" s="121" t="s">
        <v>1908</v>
      </c>
      <c r="C95" s="124">
        <f ca="1">ROUND(C85-C86,0)</f>
        <v>5773063</v>
      </c>
      <c r="D95" s="117" t="s">
        <v>41</v>
      </c>
      <c r="E95" s="1886"/>
      <c r="F95" s="1887"/>
      <c r="G95" s="1887"/>
      <c r="H95" s="155"/>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24" hidden="1">
      <c r="A96" s="146" t="s">
        <v>43</v>
      </c>
      <c r="B96" s="121" t="s">
        <v>1909</v>
      </c>
      <c r="C96" s="147">
        <f ca="1">IF(C95&lt;=0,0,C95/C86)</f>
        <v>165.6688667604098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24.75" hidden="1" thickBot="1">
      <c r="A97" s="148" t="s">
        <v>44</v>
      </c>
      <c r="B97" s="126" t="s">
        <v>1910</v>
      </c>
      <c r="C97" s="149">
        <f ca="1">ROUND(IF(C95&lt;=0,0,IF(C96&gt;=200%,C95*60%-C86*35%,IF(C96&gt;=100%,C95*50%-C86*15%,IF(C96&gt;=50%,C95*40%-C86*5%,IF(C96&lt;50%,C95*30%,0))))),0)</f>
        <v>3451641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ht="21.75" customHeight="1" thickBot="1">
      <c r="A98" s="2248" t="s">
        <v>1925</v>
      </c>
      <c r="B98" s="2192"/>
      <c r="C98" s="2192"/>
      <c r="D98" s="2192"/>
      <c r="E98" s="1021"/>
      <c r="F98" s="1021"/>
      <c r="G98" s="1021"/>
      <c r="H98" s="2245"/>
      <c r="I98" s="2192"/>
    </row>
    <row r="99" spans="1:35" ht="15.75">
      <c r="A99" s="2937" t="s">
        <v>1926</v>
      </c>
      <c r="B99" s="2938"/>
      <c r="C99" s="2938"/>
      <c r="D99" s="2939"/>
      <c r="E99" s="2192"/>
      <c r="F99" s="2948" t="s">
        <v>1927</v>
      </c>
      <c r="G99" s="2949"/>
      <c r="H99" s="2949"/>
      <c r="I99" s="2950"/>
    </row>
    <row r="100" spans="1:35" ht="15.75">
      <c r="A100" s="2951" t="s">
        <v>1928</v>
      </c>
      <c r="B100" s="2952"/>
      <c r="C100" s="720" t="str">
        <f>C4</f>
        <v>比较法-办公</v>
      </c>
      <c r="D100" s="721" t="str">
        <f>D4</f>
        <v>收益法</v>
      </c>
      <c r="E100" s="2192"/>
      <c r="F100" s="2847" t="s">
        <v>1929</v>
      </c>
      <c r="G100" s="2848"/>
      <c r="H100" s="2847" t="s">
        <v>1930</v>
      </c>
      <c r="I100" s="2846"/>
    </row>
    <row r="101" spans="1:35" ht="15.75">
      <c r="A101" s="2929" t="s">
        <v>1931</v>
      </c>
      <c r="B101" s="2287" t="str">
        <f>IF(H19="元","总价（元）","总价（万元）")</f>
        <v>总价（元）</v>
      </c>
      <c r="C101" s="720">
        <f ca="1">C19</f>
        <v>8083978</v>
      </c>
      <c r="D101" s="721">
        <f ca="1">D19</f>
        <v>7525292</v>
      </c>
      <c r="E101" s="2192"/>
      <c r="F101" s="2847" t="str">
        <f>项目基本情况!I1</f>
        <v>北京市房地产</v>
      </c>
      <c r="G101" s="2848"/>
      <c r="H101" s="2845">
        <f>项目基本情况!C12</f>
        <v>218.48</v>
      </c>
      <c r="I101" s="2846"/>
    </row>
    <row r="102" spans="1:35" ht="15.75">
      <c r="A102" s="2929"/>
      <c r="B102" s="2287" t="s">
        <v>1932</v>
      </c>
      <c r="C102" s="722">
        <f ca="1">C20</f>
        <v>37001</v>
      </c>
      <c r="D102" s="723">
        <f ca="1">D20</f>
        <v>34444</v>
      </c>
      <c r="E102" s="2192"/>
      <c r="F102" s="2874" t="s">
        <v>1933</v>
      </c>
      <c r="G102" s="2875"/>
      <c r="H102" s="2288" t="str">
        <f>C106</f>
        <v>总价（元）</v>
      </c>
      <c r="I102" s="1860">
        <f ca="1">H121</f>
        <v>6098306</v>
      </c>
    </row>
    <row r="103" spans="1:35" ht="15">
      <c r="A103" s="2929" t="s">
        <v>1934</v>
      </c>
      <c r="B103" s="2289" t="str">
        <f>B101</f>
        <v>总价（元）</v>
      </c>
      <c r="C103" s="724">
        <f ca="1">H121</f>
        <v>6098306</v>
      </c>
      <c r="D103" s="725"/>
      <c r="E103" s="2192"/>
      <c r="F103" s="2874"/>
      <c r="G103" s="2875"/>
      <c r="H103" s="2288" t="s">
        <v>1932</v>
      </c>
      <c r="I103" s="1049">
        <f ca="1">I121</f>
        <v>27912</v>
      </c>
    </row>
    <row r="104" spans="1:35" ht="16.5" thickBot="1">
      <c r="A104" s="2930"/>
      <c r="B104" s="2290" t="s">
        <v>1932</v>
      </c>
      <c r="C104" s="726">
        <f ca="1">I121</f>
        <v>27912</v>
      </c>
      <c r="D104" s="727"/>
      <c r="E104" s="2192"/>
      <c r="F104" s="2946"/>
      <c r="G104" s="2947"/>
      <c r="H104" s="2931"/>
      <c r="I104" s="2932"/>
    </row>
    <row r="105" spans="1:35" ht="15.75">
      <c r="A105" s="2937" t="s">
        <v>1935</v>
      </c>
      <c r="B105" s="2938"/>
      <c r="C105" s="2938"/>
      <c r="D105" s="2939"/>
      <c r="E105" s="2192"/>
      <c r="F105" s="2935" t="s">
        <v>1936</v>
      </c>
      <c r="G105" s="2936"/>
      <c r="H105" s="2291" t="str">
        <f>C108</f>
        <v>总额（元）</v>
      </c>
      <c r="I105" s="1860">
        <f>SUMIF(I106:I108,"&lt;9E307")</f>
        <v>0</v>
      </c>
    </row>
    <row r="106" spans="1:35" ht="15">
      <c r="A106" s="2861" t="s">
        <v>1937</v>
      </c>
      <c r="B106" s="2862"/>
      <c r="C106" s="2288" t="str">
        <f>B101</f>
        <v>总价（元）</v>
      </c>
      <c r="D106" s="1050">
        <f ca="1">H121</f>
        <v>6098306</v>
      </c>
      <c r="E106" s="2192"/>
      <c r="F106" s="2863" t="s">
        <v>1938</v>
      </c>
      <c r="G106" s="2864"/>
      <c r="H106" s="2291" t="str">
        <f>C109</f>
        <v>总额（元）</v>
      </c>
      <c r="I106" s="1049">
        <f>IF(D36="同一抵押权人同一抵押物续贷",C36&amp;"（未扣减，详见特别提示）",C36)</f>
        <v>0</v>
      </c>
      <c r="K106" s="2202" t="str">
        <f>IF(D123=0,"本次评估不存在"&amp;A123&amp;"。","本次评估"&amp;A123&amp;"为"&amp;D123&amp;"元人民币。")</f>
        <v>本次评估不存在——。</v>
      </c>
    </row>
    <row r="107" spans="1:35" ht="15">
      <c r="A107" s="2861"/>
      <c r="B107" s="2862"/>
      <c r="C107" s="2288" t="s">
        <v>1932</v>
      </c>
      <c r="D107" s="1051">
        <f ca="1">I121</f>
        <v>27912</v>
      </c>
      <c r="E107" s="2192"/>
      <c r="F107" s="2863" t="s">
        <v>1939</v>
      </c>
      <c r="G107" s="2864"/>
      <c r="H107" s="2291" t="str">
        <f>C110</f>
        <v>总额（元）</v>
      </c>
      <c r="I107" s="1049">
        <f>C37</f>
        <v>0</v>
      </c>
      <c r="K107" s="2292"/>
    </row>
    <row r="108" spans="1:35" ht="15">
      <c r="A108" s="2868" t="s">
        <v>1940</v>
      </c>
      <c r="B108" s="2869"/>
      <c r="C108" s="2291" t="str">
        <f>IF(H19="元","总额（元）","总额（万元）")</f>
        <v>总额（元）</v>
      </c>
      <c r="D108" s="1050">
        <f>IF(D36="正常操作",I106+I107+I108,I107+I108)</f>
        <v>0</v>
      </c>
      <c r="E108" s="2192"/>
      <c r="F108" s="2863" t="s">
        <v>1941</v>
      </c>
      <c r="G108" s="2864"/>
      <c r="H108" s="2291" t="str">
        <f>C111</f>
        <v>总额（元）</v>
      </c>
      <c r="I108" s="1049">
        <f>C38</f>
        <v>0</v>
      </c>
    </row>
    <row r="109" spans="1:35" ht="15.75">
      <c r="A109" s="2863" t="s">
        <v>1938</v>
      </c>
      <c r="B109" s="2864"/>
      <c r="C109" s="2291" t="str">
        <f>C108</f>
        <v>总额（元）</v>
      </c>
      <c r="D109" s="637">
        <f>IF(D36="同一抵押权人同一抵押物续贷",C36&amp;"（未扣减，详见特别提示）",C36)</f>
        <v>0</v>
      </c>
      <c r="E109" s="2192"/>
      <c r="F109" s="2946"/>
      <c r="G109" s="2947"/>
      <c r="H109" s="2933"/>
      <c r="I109" s="2934"/>
    </row>
    <row r="110" spans="1:35" ht="28.5" customHeight="1">
      <c r="A110" s="2863" t="s">
        <v>1939</v>
      </c>
      <c r="B110" s="2864"/>
      <c r="C110" s="2291" t="str">
        <f>C108</f>
        <v>总额（元）</v>
      </c>
      <c r="D110" s="637">
        <f>C37</f>
        <v>0</v>
      </c>
      <c r="E110" s="2192"/>
      <c r="F110" s="2849" t="str">
        <f>IF(项目基本情况!F5="已注销","——","3.房地产抵押价值")</f>
        <v>3.房地产抵押价值</v>
      </c>
      <c r="G110" s="2850"/>
      <c r="H110" s="2293" t="str">
        <f>C112</f>
        <v>总价（元）</v>
      </c>
      <c r="I110" s="1861">
        <f ca="1">IF(F110="——","——",I102-I105)</f>
        <v>6098306</v>
      </c>
    </row>
    <row r="111" spans="1:35" ht="15">
      <c r="A111" s="2863" t="s">
        <v>1941</v>
      </c>
      <c r="B111" s="2864"/>
      <c r="C111" s="2291" t="str">
        <f>C108</f>
        <v>总额（元）</v>
      </c>
      <c r="D111" s="637">
        <f>C38</f>
        <v>0</v>
      </c>
      <c r="E111" s="2192"/>
      <c r="F111" s="2965"/>
      <c r="G111" s="2966"/>
      <c r="H111" s="2288" t="s">
        <v>1932</v>
      </c>
      <c r="I111" s="2294">
        <f ca="1">D113</f>
        <v>27912</v>
      </c>
    </row>
    <row r="112" spans="1:35" ht="26.25" customHeight="1">
      <c r="A112" s="2861" t="str">
        <f>IF(项目基本情况!F5="已注销","——","3.房地产抵押价值")</f>
        <v>3.房地产抵押价值</v>
      </c>
      <c r="B112" s="2862"/>
      <c r="C112" s="2288" t="str">
        <f>B101</f>
        <v>总价（元）</v>
      </c>
      <c r="D112" s="1050">
        <f ca="1">IF(A112="——","——",D106-D108)</f>
        <v>6098306</v>
      </c>
      <c r="E112" s="2192"/>
      <c r="F112" s="2849" t="str">
        <f>IF(项目基本情况!F5="已注销及未注销","4.抵押担保权已注销时的房地产抵押价值",IF(项目基本情况!F5="已注销","3.抵押担保权已注销时的房地产抵押价值","——"))</f>
        <v>——</v>
      </c>
      <c r="G112" s="2850"/>
      <c r="H112" s="2293" t="str">
        <f>C114</f>
        <v>总价（元）</v>
      </c>
      <c r="I112" s="1861" t="str">
        <f>IF(F112="——","——",I102-I107-I108)</f>
        <v>——</v>
      </c>
    </row>
    <row r="113" spans="1:15" ht="15">
      <c r="A113" s="2861"/>
      <c r="B113" s="2862"/>
      <c r="C113" s="2288" t="s">
        <v>1932</v>
      </c>
      <c r="D113" s="1051">
        <f ca="1">ROUND(IF(D112=D106,D107,IF(H19="元",D112/项目基本情况!C12,D112*10000/项目基本情况!C12)),0)</f>
        <v>27912</v>
      </c>
      <c r="E113" s="2192"/>
      <c r="F113" s="2965"/>
      <c r="G113" s="2966"/>
      <c r="H113" s="2288" t="s">
        <v>1932</v>
      </c>
      <c r="I113" s="2295" t="str">
        <f>D115</f>
        <v>——</v>
      </c>
    </row>
    <row r="114" spans="1:15" ht="15.75" hidden="1">
      <c r="A114" s="2861" t="str">
        <f>IF(项目基本情况!F5="已注销及未注销","4.抵押担保权已注销时的房地产抵押价值",IF(项目基本情况!F5="已注销","3.抵押担保权已注销时的房地产抵押价值","——"))</f>
        <v>——</v>
      </c>
      <c r="B114" s="2862"/>
      <c r="C114" s="2288" t="str">
        <f>B101</f>
        <v>总价（元）</v>
      </c>
      <c r="D114" s="1050" t="str">
        <f>IF(A114="——","——",D106-D110-D111)</f>
        <v>——</v>
      </c>
      <c r="E114" s="2192"/>
      <c r="F114" s="2849" t="str">
        <f>IF(项目基本情况!G5="抵押净值",IF(OR(项目基本情况!F5="已注销",项目基本情况!F5="房地产抵押价值"),"4.抵押净值","5.抵押净值"),"——")</f>
        <v>——</v>
      </c>
      <c r="G114" s="2850"/>
      <c r="H114" s="2288" t="str">
        <f>C116</f>
        <v>总价（元）</v>
      </c>
      <c r="I114" s="1860" t="str">
        <f>IF(F114="——","——",N59)</f>
        <v>——</v>
      </c>
    </row>
    <row r="115" spans="1:15" ht="15.75" hidden="1" thickBot="1">
      <c r="A115" s="2861"/>
      <c r="B115" s="2862"/>
      <c r="C115" s="2288" t="s">
        <v>1932</v>
      </c>
      <c r="D115" s="1051" t="str">
        <f>IF(A114="——","——",ROUND(IF(D114=D106,D107,IF(H19="元",D114/项目基本情况!C12,D114*10000/项目基本情况!C12)),0))</f>
        <v>——</v>
      </c>
      <c r="E115" s="2192"/>
      <c r="F115" s="2851"/>
      <c r="G115" s="2852"/>
      <c r="H115" s="2296" t="s">
        <v>1932</v>
      </c>
      <c r="I115" s="1862" t="str">
        <f ca="1">D117</f>
        <v>——</v>
      </c>
    </row>
    <row r="116" spans="1:15" ht="15.75" hidden="1">
      <c r="A116" s="2861" t="str">
        <f>IF(项目基本情况!G5="抵押净值",IF(OR(项目基本情况!F5="已注销",项目基本情况!F5="房地产抵押价值"),"4.抵押净值","5.抵押净值"),"——")</f>
        <v>——</v>
      </c>
      <c r="B116" s="2862"/>
      <c r="C116" s="2288" t="str">
        <f>B101</f>
        <v>总价（元）</v>
      </c>
      <c r="D116" s="1050" t="str">
        <f>IF(A116="——","——",N59)</f>
        <v>——</v>
      </c>
      <c r="E116" s="2192"/>
      <c r="F116" s="2961"/>
      <c r="G116" s="2961"/>
      <c r="H116" s="2917"/>
      <c r="I116" s="2917"/>
      <c r="N116" s="55"/>
      <c r="O116" s="55"/>
    </row>
    <row r="117" spans="1:15" ht="15.75" hidden="1" thickBot="1">
      <c r="A117" s="2866"/>
      <c r="B117" s="2867"/>
      <c r="C117" s="2296" t="s">
        <v>1932</v>
      </c>
      <c r="D117" s="1052" t="str">
        <f ca="1">IF(D116=D112,D113,IF(A116="——","——",N61))</f>
        <v>——</v>
      </c>
      <c r="E117" s="2192"/>
      <c r="F117" s="2841" t="str">
        <f>IF(B32="总价","（以上估价结果中单价为总价除以建筑面积得出）","（以上估价结果中总价为楼面单价乘以建筑面积得出）")</f>
        <v>（以上估价结果中单价为总价除以建筑面积得出）</v>
      </c>
      <c r="G117" s="2841"/>
      <c r="H117" s="2841"/>
      <c r="I117" s="2841"/>
      <c r="N117" s="55"/>
      <c r="O117" s="55"/>
    </row>
    <row r="118" spans="1:15" ht="15" hidden="1">
      <c r="A118" s="2918" t="s">
        <v>1942</v>
      </c>
      <c r="B118" s="2919"/>
      <c r="C118" s="2919"/>
      <c r="D118" s="2919"/>
      <c r="E118" s="2919"/>
      <c r="F118" s="2919"/>
      <c r="G118" s="2919"/>
      <c r="H118" s="2919"/>
      <c r="I118" s="2919"/>
    </row>
    <row r="119" spans="1:15" ht="14.25" hidden="1">
      <c r="A119" s="2842" t="s">
        <v>1943</v>
      </c>
      <c r="B119" s="2872" t="s">
        <v>1944</v>
      </c>
      <c r="C119" s="2872" t="s">
        <v>1945</v>
      </c>
      <c r="D119" s="2944" t="s">
        <v>1946</v>
      </c>
      <c r="E119" s="2945"/>
      <c r="F119" s="2843" t="s">
        <v>1804</v>
      </c>
      <c r="G119" s="2843"/>
      <c r="H119" s="2843" t="s">
        <v>1947</v>
      </c>
      <c r="I119" s="2943"/>
    </row>
    <row r="120" spans="1:15" ht="14.25" hidden="1">
      <c r="A120" s="2842"/>
      <c r="B120" s="2873"/>
      <c r="C120" s="2873"/>
      <c r="D120" s="1885" t="s">
        <v>1948</v>
      </c>
      <c r="E120" s="1885" t="s">
        <v>1949</v>
      </c>
      <c r="F120" s="1885" t="s">
        <v>1948</v>
      </c>
      <c r="G120" s="1885" t="s">
        <v>1950</v>
      </c>
      <c r="H120" s="1885" t="s">
        <v>1948</v>
      </c>
      <c r="I120" s="637" t="s">
        <v>1950</v>
      </c>
    </row>
    <row r="121" spans="1:15" ht="14.25" hidden="1">
      <c r="A121" s="2178" t="str">
        <f>项目基本情况!I1</f>
        <v>北京市房地产</v>
      </c>
      <c r="B121" s="1885">
        <f>项目基本情况!C12</f>
        <v>218.48</v>
      </c>
      <c r="C121" s="1885">
        <f>项目基本情况!C13</f>
        <v>0</v>
      </c>
      <c r="D121" s="1885">
        <f ca="1">ROUND(IF(B32="总价",C34,IF('数据-取费表'!B3="万元",E121*B121/10000,E121*B121)),0)</f>
        <v>5348214</v>
      </c>
      <c r="E121" s="1885">
        <f ca="1">ROUND(IF(B32="楼面单价",C34,IF(H19="元",D121/B121,D121*10000/B121)),0)</f>
        <v>24479</v>
      </c>
      <c r="F121" s="1885">
        <f ca="1">ROUND(IF(B32="总价",C35,IF('数据-取费表'!B3="万元",G121*B121/10000,G121*B121)),0)</f>
        <v>750092</v>
      </c>
      <c r="G121" s="1885">
        <f ca="1">ROUND(IF(B32="楼面单价",C35,IF(H19="元",F121/B121,F121*10000/B121)),0)</f>
        <v>3433</v>
      </c>
      <c r="H121" s="1885">
        <f ca="1">ROUND(IF(B32="总价",C32,IF('数据-取费表'!B3="万元",I121*B121/10000,I121*B121)),0)</f>
        <v>6098306</v>
      </c>
      <c r="I121" s="637">
        <f ca="1">ROUND(IF(B32="楼面单价",C32,IF(H19="元",H121/B121,H121*10000/B121)),0)</f>
        <v>27912</v>
      </c>
    </row>
    <row r="122" spans="1:15" ht="14.25" hidden="1">
      <c r="A122" s="2842" t="s">
        <v>1951</v>
      </c>
      <c r="B122" s="2843"/>
      <c r="C122" s="2843"/>
      <c r="D122" s="2876" t="str">
        <f ca="1">IF(H19="元",NUMBERSTRING(INT(D121),2)&amp;"元整",NUMBERSTRING(INT(D121*10000),2)&amp;"元整")</f>
        <v>伍佰叁拾肆万捌仟贰佰壹拾肆元整</v>
      </c>
      <c r="E122" s="2923"/>
      <c r="F122" s="2876" t="str">
        <f ca="1">IF(H19="元",NUMBERSTRING(INT(F121),2)&amp;"元整",NUMBERSTRING(INT(F121*10000),2)&amp;"元整")</f>
        <v>柒拾伍万零玖拾贰元整</v>
      </c>
      <c r="G122" s="2923"/>
      <c r="H122" s="2876" t="str">
        <f ca="1">IF(H19="元",NUMBERSTRING(INT(H121),2)&amp;"元整",NUMBERSTRING(INT(H121*10000),2)&amp;"元整")</f>
        <v>陆佰零玖万捌仟叁佰零陆元整</v>
      </c>
      <c r="I122" s="2877"/>
    </row>
    <row r="123" spans="1:15" ht="15" hidden="1">
      <c r="A123" s="2924" t="str">
        <f>IF(项目基本情况!D5="房地产市场价值","——",MID(A108,3,LEN(A108)-2))</f>
        <v>——</v>
      </c>
      <c r="B123" s="2854"/>
      <c r="C123" s="2925"/>
      <c r="D123" s="2853">
        <f>I105</f>
        <v>0</v>
      </c>
      <c r="E123" s="2854"/>
      <c r="F123" s="2854"/>
      <c r="G123" s="2854"/>
      <c r="H123" s="2854"/>
      <c r="I123" s="2855"/>
    </row>
    <row r="124" spans="1:15" ht="14.25" hidden="1">
      <c r="A124" s="2926" t="s">
        <v>1951</v>
      </c>
      <c r="B124" s="2927"/>
      <c r="C124" s="2928"/>
      <c r="D124" s="2856">
        <f>H109</f>
        <v>0</v>
      </c>
      <c r="E124" s="2857"/>
      <c r="F124" s="2857"/>
      <c r="G124" s="2857"/>
      <c r="H124" s="2857"/>
      <c r="I124" s="2858"/>
    </row>
    <row r="125" spans="1:15" ht="15" hidden="1">
      <c r="A125" s="2859" t="str">
        <f>IF(项目基本情况!D5="房地产市场价值","——",MID(A112,3,LEN(A112)-2))</f>
        <v>——</v>
      </c>
      <c r="B125" s="2860"/>
      <c r="C125" s="2860"/>
      <c r="D125" s="2853">
        <f ca="1">I110</f>
        <v>6098306</v>
      </c>
      <c r="E125" s="2854"/>
      <c r="F125" s="2854"/>
      <c r="G125" s="2854"/>
      <c r="H125" s="2854"/>
      <c r="I125" s="2855"/>
    </row>
    <row r="126" spans="1:15" ht="14.25" hidden="1">
      <c r="A126" s="2842" t="s">
        <v>1951</v>
      </c>
      <c r="B126" s="2843"/>
      <c r="C126" s="2843"/>
      <c r="D126" s="2856">
        <f ca="1">I111</f>
        <v>27912</v>
      </c>
      <c r="E126" s="2857"/>
      <c r="F126" s="2857"/>
      <c r="G126" s="2857"/>
      <c r="H126" s="2857"/>
      <c r="I126" s="2858"/>
    </row>
    <row r="127" spans="1:15" ht="15.75" hidden="1" thickBot="1">
      <c r="A127" s="2859" t="str">
        <f>IF(项目基本情况!D5="房地产市场价值","——",MID(A114,3,LEN(A114)-2))</f>
        <v>——</v>
      </c>
      <c r="B127" s="2860"/>
      <c r="C127" s="2860"/>
      <c r="D127" s="2958" t="str">
        <f>I112</f>
        <v>——</v>
      </c>
      <c r="E127" s="2959"/>
      <c r="F127" s="2959"/>
      <c r="G127" s="2959"/>
      <c r="H127" s="2959"/>
      <c r="I127" s="2960"/>
    </row>
    <row r="128" spans="1:15" ht="15.75" hidden="1" thickTop="1" thickBot="1">
      <c r="A128" s="2842" t="s">
        <v>1951</v>
      </c>
      <c r="B128" s="2843"/>
      <c r="C128" s="2844"/>
      <c r="D128" s="2916" t="str">
        <f>I113</f>
        <v>——</v>
      </c>
      <c r="E128" s="2916"/>
      <c r="F128" s="2916"/>
      <c r="G128" s="2916"/>
      <c r="H128" s="2916"/>
      <c r="I128" s="2916"/>
    </row>
    <row r="129" spans="1:9" ht="16.5" hidden="1" thickTop="1" thickBot="1">
      <c r="A129" s="2859" t="str">
        <f>IF(项目基本情况!D5="房地产市场价值","——",MID(F114,3,LEN(F114)-2))</f>
        <v>——</v>
      </c>
      <c r="B129" s="2860"/>
      <c r="C129" s="2853"/>
      <c r="D129" s="2865" t="str">
        <f>I114</f>
        <v>——</v>
      </c>
      <c r="E129" s="2865"/>
      <c r="F129" s="2865"/>
      <c r="G129" s="2865"/>
      <c r="H129" s="2865"/>
      <c r="I129" s="2865"/>
    </row>
    <row r="130" spans="1:9" ht="15.75" hidden="1" thickTop="1" thickBot="1">
      <c r="A130" s="2870" t="s">
        <v>1951</v>
      </c>
      <c r="B130" s="2871"/>
      <c r="C130" s="2871"/>
      <c r="D130" s="2878">
        <f>H116</f>
        <v>0</v>
      </c>
      <c r="E130" s="2879"/>
      <c r="F130" s="2879"/>
      <c r="G130" s="2879"/>
      <c r="H130" s="2879"/>
      <c r="I130" s="2880"/>
    </row>
    <row r="131" spans="1:9" ht="12.75" hidden="1">
      <c r="A131" s="2275" t="str">
        <f>IF(H19="元","单位：平方米、元、元/平方米（币种：人民币）","单位：平方米、万元、元/平方米（币种：人民币）")</f>
        <v>单位：平方米、元、元/平方米（币种：人民币）</v>
      </c>
      <c r="B131" s="2275"/>
      <c r="C131" s="2275"/>
      <c r="D131" s="2275"/>
      <c r="E131" s="2275"/>
      <c r="F131" s="2275"/>
      <c r="G131" s="2275"/>
      <c r="H131" s="2275"/>
      <c r="I131" s="2275"/>
    </row>
    <row r="132" spans="1:9" ht="13.5" hidden="1" thickBot="1">
      <c r="A132" s="2840" t="str">
        <f>IF(B32="总价","（以上估价结果中楼面单价为总价除以建筑面积得出）","（以上估价结果中总价为楼面单价乘以建筑面积得出）")</f>
        <v>（以上估价结果中楼面单价为总价除以建筑面积得出）</v>
      </c>
      <c r="B132" s="2840"/>
      <c r="C132" s="2840"/>
      <c r="D132" s="2840"/>
      <c r="E132" s="2840"/>
      <c r="F132" s="2840"/>
      <c r="G132" s="2840"/>
      <c r="H132" s="2840"/>
      <c r="I132" s="2840"/>
    </row>
    <row r="133" spans="1:9" ht="21.75" customHeight="1">
      <c r="A133" s="2297" t="s">
        <v>1952</v>
      </c>
      <c r="B133" s="2298"/>
      <c r="C133" s="2299" t="s">
        <v>1953</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1954</v>
      </c>
      <c r="G139" s="2311"/>
      <c r="H139" s="2311"/>
      <c r="I139" s="2312" t="s">
        <v>1955</v>
      </c>
    </row>
    <row r="140" spans="1:9" ht="21.75" customHeight="1">
      <c r="A140" s="798"/>
      <c r="B140" s="2313" t="s">
        <v>1956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1957</v>
      </c>
    </row>
    <row r="143" spans="1:9" ht="21.75" customHeight="1">
      <c r="A143" s="798"/>
      <c r="B143" s="2313" t="s">
        <v>1958</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1957</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3"/>
    <col min="36" max="16384" width="12.625" style="2193"/>
  </cols>
  <sheetData>
    <row r="1" spans="1:12" ht="21.75" customHeight="1">
      <c r="A1" s="2191" t="s">
        <v>1959</v>
      </c>
      <c r="B1" s="2192"/>
      <c r="C1" s="2192"/>
      <c r="D1" s="2192"/>
      <c r="E1" s="2192"/>
      <c r="F1" s="2192"/>
      <c r="G1" s="2192"/>
      <c r="H1" s="2192"/>
      <c r="I1" s="2192"/>
    </row>
    <row r="2" spans="1:12" ht="21.75" customHeight="1">
      <c r="A2" s="2977" t="s">
        <v>1960</v>
      </c>
      <c r="B2" s="2977"/>
      <c r="C2" s="2977"/>
      <c r="D2" s="2977"/>
      <c r="E2" s="2977"/>
      <c r="F2" s="2977"/>
      <c r="G2" s="2977"/>
      <c r="H2" s="2977"/>
      <c r="I2" s="2977"/>
    </row>
    <row r="3" spans="1:12" ht="12.75">
      <c r="A3" s="2907" t="s">
        <v>1764</v>
      </c>
      <c r="B3" s="2908"/>
      <c r="C3" s="2908"/>
      <c r="D3" s="2908"/>
      <c r="E3" s="2908"/>
      <c r="F3" s="2908"/>
      <c r="G3" s="2908"/>
      <c r="H3" s="2908"/>
      <c r="I3" s="2908"/>
    </row>
    <row r="4" spans="1:12" ht="14.25">
      <c r="A4" s="2194" t="s">
        <v>1765</v>
      </c>
      <c r="B4" s="2195" t="s">
        <v>1766</v>
      </c>
      <c r="C4" s="2196"/>
      <c r="D4" s="2196"/>
      <c r="E4" s="2888" t="s">
        <v>1961</v>
      </c>
      <c r="F4" s="2889"/>
      <c r="G4" s="2889"/>
      <c r="H4" s="2889"/>
      <c r="I4" s="2899"/>
      <c r="K4" s="184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1" t="s">
        <v>1768</v>
      </c>
      <c r="B5" s="2843">
        <v>25</v>
      </c>
      <c r="C5" s="2892"/>
      <c r="D5" s="2906"/>
      <c r="E5" s="56" t="s">
        <v>1769</v>
      </c>
      <c r="F5" s="2197"/>
      <c r="G5" s="2197"/>
      <c r="H5" s="2197"/>
      <c r="I5" s="2198"/>
    </row>
    <row r="6" spans="1:12" ht="12.75">
      <c r="A6" s="2881"/>
      <c r="B6" s="2843"/>
      <c r="C6" s="2909"/>
      <c r="D6" s="2906"/>
      <c r="E6" s="56" t="s">
        <v>1770</v>
      </c>
      <c r="F6" s="2197"/>
      <c r="G6" s="2197"/>
      <c r="H6" s="2197"/>
      <c r="I6" s="2198"/>
    </row>
    <row r="7" spans="1:12" ht="12.75">
      <c r="A7" s="2881"/>
      <c r="B7" s="2843"/>
      <c r="C7" s="2893"/>
      <c r="D7" s="2906"/>
      <c r="E7" s="56" t="s">
        <v>1771</v>
      </c>
      <c r="F7" s="2197"/>
      <c r="G7" s="2197"/>
      <c r="H7" s="2197"/>
      <c r="I7" s="2198"/>
    </row>
    <row r="8" spans="1:12" ht="12.75">
      <c r="A8" s="2881" t="s">
        <v>1772</v>
      </c>
      <c r="B8" s="2843">
        <v>15</v>
      </c>
      <c r="C8" s="2892"/>
      <c r="D8" s="2906"/>
      <c r="E8" s="56" t="s">
        <v>1773</v>
      </c>
      <c r="F8" s="2197"/>
      <c r="G8" s="2197"/>
      <c r="H8" s="2197"/>
      <c r="I8" s="2198"/>
    </row>
    <row r="9" spans="1:12" ht="12.75">
      <c r="A9" s="2881"/>
      <c r="B9" s="2843"/>
      <c r="C9" s="2893"/>
      <c r="D9" s="2906"/>
      <c r="E9" s="56" t="s">
        <v>1774</v>
      </c>
      <c r="F9" s="2197"/>
      <c r="G9" s="2197"/>
      <c r="H9" s="2197"/>
      <c r="I9" s="2198"/>
    </row>
    <row r="10" spans="1:12" ht="12.75">
      <c r="A10" s="2881" t="s">
        <v>1775</v>
      </c>
      <c r="B10" s="2843">
        <v>15</v>
      </c>
      <c r="C10" s="2892"/>
      <c r="D10" s="2906"/>
      <c r="E10" s="56" t="s">
        <v>1776</v>
      </c>
      <c r="F10" s="2197"/>
      <c r="G10" s="2197"/>
      <c r="H10" s="2197"/>
      <c r="I10" s="2198"/>
    </row>
    <row r="11" spans="1:12" ht="12.75">
      <c r="A11" s="2881"/>
      <c r="B11" s="2843"/>
      <c r="C11" s="2893"/>
      <c r="D11" s="2906"/>
      <c r="E11" s="56" t="s">
        <v>1777</v>
      </c>
      <c r="F11" s="2197"/>
      <c r="G11" s="2197"/>
      <c r="H11" s="2197"/>
      <c r="I11" s="2198"/>
    </row>
    <row r="12" spans="1:12" ht="12.75">
      <c r="A12" s="2881" t="s">
        <v>1778</v>
      </c>
      <c r="B12" s="2843">
        <v>15</v>
      </c>
      <c r="C12" s="2892"/>
      <c r="D12" s="2906"/>
      <c r="E12" s="56" t="s">
        <v>1779</v>
      </c>
      <c r="F12" s="2197"/>
      <c r="G12" s="2197"/>
      <c r="H12" s="2197"/>
      <c r="I12" s="2198"/>
    </row>
    <row r="13" spans="1:12" ht="12.75">
      <c r="A13" s="2881"/>
      <c r="B13" s="2843"/>
      <c r="C13" s="2893"/>
      <c r="D13" s="2906"/>
      <c r="E13" s="56" t="s">
        <v>1780</v>
      </c>
      <c r="F13" s="2197"/>
      <c r="G13" s="2197"/>
      <c r="H13" s="2197"/>
      <c r="I13" s="2198"/>
    </row>
    <row r="14" spans="1:12" ht="12.75">
      <c r="A14" s="2881" t="s">
        <v>1781</v>
      </c>
      <c r="B14" s="2843">
        <v>30</v>
      </c>
      <c r="C14" s="2892"/>
      <c r="D14" s="2906"/>
      <c r="E14" s="56" t="s">
        <v>1782</v>
      </c>
      <c r="F14" s="2197"/>
      <c r="G14" s="2197"/>
      <c r="H14" s="2197"/>
      <c r="I14" s="2198"/>
    </row>
    <row r="15" spans="1:12" ht="12.75">
      <c r="A15" s="2881"/>
      <c r="B15" s="2843"/>
      <c r="C15" s="2909"/>
      <c r="D15" s="2906"/>
      <c r="E15" s="56" t="s">
        <v>1783</v>
      </c>
      <c r="F15" s="2197"/>
      <c r="G15" s="2197"/>
      <c r="H15" s="2197"/>
      <c r="I15" s="2198"/>
    </row>
    <row r="16" spans="1:12" ht="12.75">
      <c r="A16" s="2881"/>
      <c r="B16" s="2843"/>
      <c r="C16" s="2893"/>
      <c r="D16" s="2906"/>
      <c r="E16" s="56" t="s">
        <v>1784</v>
      </c>
      <c r="F16" s="2197"/>
      <c r="G16" s="2197"/>
      <c r="H16" s="2197"/>
      <c r="I16" s="2198"/>
    </row>
    <row r="17" spans="1:35" ht="15">
      <c r="A17" s="2199" t="s">
        <v>1785</v>
      </c>
      <c r="B17" s="2200"/>
      <c r="C17" s="57">
        <f>SUM(C5:C16)</f>
        <v>0</v>
      </c>
      <c r="D17" s="57">
        <f>SUM(D5:D16)</f>
        <v>0</v>
      </c>
      <c r="E17" s="2192"/>
      <c r="F17" s="2192"/>
      <c r="G17" s="2192"/>
      <c r="H17" s="2192"/>
      <c r="I17" s="2192"/>
    </row>
    <row r="18" spans="1:35" ht="15.75" thickBot="1">
      <c r="A18" s="2201" t="s">
        <v>1786</v>
      </c>
      <c r="B18" s="2202"/>
      <c r="C18" s="58" t="e">
        <f>ROUND(C17/SUM(C17:D17),2)</f>
        <v>#DIV/0!</v>
      </c>
      <c r="D18" s="58" t="e">
        <f>1-C18</f>
        <v>#DIV/0!</v>
      </c>
      <c r="E18" s="2192"/>
      <c r="F18" s="2192"/>
      <c r="G18" s="2192"/>
      <c r="H18" s="2192"/>
      <c r="I18" s="2192"/>
    </row>
    <row r="19" spans="1:35" ht="15">
      <c r="A19" s="2203" t="s">
        <v>1787</v>
      </c>
      <c r="B19" s="2204" t="s">
        <v>1788</v>
      </c>
      <c r="C19" s="59" t="e">
        <f ca="1">SUMIF(INDIRECT("'"&amp;C4&amp;"'"&amp;"!A:A"),'结果表 (1修多)'!B19,INDIRECT("'"&amp;C4&amp;"'"&amp;"!B:B"))</f>
        <v>#REF!</v>
      </c>
      <c r="D19" s="60" t="e">
        <f ca="1">SUMIF(INDIRECT("'"&amp;D4&amp;"'"&amp;"!A:A"),'结果表 (1修多)'!B19,INDIRECT("'"&amp;D4&amp;"'"&amp;"!B:B"))</f>
        <v>#REF!</v>
      </c>
      <c r="E19" s="2203" t="s">
        <v>1789</v>
      </c>
      <c r="F19" s="2204" t="s">
        <v>1788</v>
      </c>
      <c r="G19" s="61" t="e">
        <f ca="1">ROUND(C19*$C$18+D19*$D$18,0)</f>
        <v>#REF!</v>
      </c>
      <c r="H19" s="2205" t="str">
        <f>'数据-取费表'!B3</f>
        <v>元</v>
      </c>
      <c r="I19" s="2192"/>
    </row>
    <row r="20" spans="1:35" ht="15">
      <c r="A20" s="2206"/>
      <c r="B20" s="2207" t="s">
        <v>1790</v>
      </c>
      <c r="C20" s="62" t="e">
        <f ca="1">SUMIF(INDIRECT("'"&amp;C4&amp;"'"&amp;"!A:A"),'结果表 (1修多)'!B20,INDIRECT("'"&amp;C4&amp;"'"&amp;"!B:B"))</f>
        <v>#REF!</v>
      </c>
      <c r="D20" s="63" t="e">
        <f ca="1">SUMIF(INDIRECT("'"&amp;D4&amp;"'"&amp;"!A:A"),'结果表 (1修多)'!B20,INDIRECT("'"&amp;D4&amp;"'"&amp;"!B:B"))</f>
        <v>#REF!</v>
      </c>
      <c r="E20" s="2206"/>
      <c r="F20" s="2207" t="s">
        <v>1790</v>
      </c>
      <c r="G20" s="64" t="e">
        <f ca="1">ROUND(C20*$C$18+D20*$D$18,0)</f>
        <v>#REF!</v>
      </c>
      <c r="H20" s="2208" t="s">
        <v>1791</v>
      </c>
      <c r="I20" s="2192"/>
    </row>
    <row r="21" spans="1:35" ht="15" customHeight="1" thickBot="1">
      <c r="A21" s="2209"/>
      <c r="B21" s="2210"/>
      <c r="C21" s="770"/>
      <c r="D21" s="771"/>
      <c r="E21" s="2209"/>
      <c r="F21" s="2210"/>
      <c r="G21" s="65"/>
      <c r="H21" s="2211"/>
      <c r="I21" s="2192"/>
    </row>
    <row r="22" spans="1:35" ht="15" thickBot="1">
      <c r="A22" s="2212" t="s">
        <v>1792</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12" t="s">
        <v>1793</v>
      </c>
      <c r="B24" s="2204" t="s">
        <v>1788</v>
      </c>
      <c r="C24" s="61">
        <f>D30</f>
        <v>0</v>
      </c>
      <c r="D24" s="994"/>
      <c r="E24" s="2192"/>
      <c r="F24" s="2192"/>
      <c r="G24" s="2192"/>
      <c r="H24" s="2192"/>
      <c r="I24" s="2192"/>
    </row>
    <row r="25" spans="1:35" ht="21.75" customHeight="1">
      <c r="A25" s="2913"/>
      <c r="B25" s="2207" t="s">
        <v>1790</v>
      </c>
      <c r="C25" s="66">
        <f>IF(B30=0,0,C30)</f>
        <v>0</v>
      </c>
      <c r="D25" s="2215"/>
      <c r="E25" s="2192"/>
      <c r="F25" s="2192"/>
      <c r="G25" s="2192"/>
      <c r="H25" s="2192"/>
      <c r="I25" s="2192"/>
    </row>
    <row r="26" spans="1:35" ht="13.5" customHeight="1">
      <c r="A26" s="2216" t="s">
        <v>1794</v>
      </c>
      <c r="B26" s="67" t="s">
        <v>1795</v>
      </c>
      <c r="C26" s="67" t="s">
        <v>1796</v>
      </c>
      <c r="D26" s="68" t="s">
        <v>1797</v>
      </c>
      <c r="E26" s="2192"/>
      <c r="F26" s="2192"/>
      <c r="G26" s="2192"/>
      <c r="H26" s="2192"/>
      <c r="I26" s="2192"/>
    </row>
    <row r="27" spans="1:35" ht="14.25">
      <c r="A27" s="2217" t="s">
        <v>1962</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1963</v>
      </c>
      <c r="B30" s="2715"/>
      <c r="C30" s="2715"/>
      <c r="D30" s="2715"/>
      <c r="E30" s="2713" t="s">
        <v>2801</v>
      </c>
      <c r="F30" s="2192"/>
      <c r="G30" s="2192"/>
      <c r="H30" s="2192"/>
      <c r="I30" s="2192"/>
    </row>
    <row r="31" spans="1:35" s="2219" customFormat="1" ht="15.75" thickBot="1">
      <c r="A31" s="2968" t="s">
        <v>1964</v>
      </c>
      <c r="B31" s="2968"/>
      <c r="C31" s="2968"/>
      <c r="D31" s="2968"/>
      <c r="E31" s="2968"/>
      <c r="F31" s="2968"/>
      <c r="G31" s="2968"/>
      <c r="H31" s="2968"/>
      <c r="I31" s="2968"/>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
      <c r="A32" s="2317"/>
      <c r="B32" s="2318" t="s">
        <v>1965</v>
      </c>
      <c r="C32" s="1307">
        <f>典型户型修正!R27</f>
        <v>0</v>
      </c>
      <c r="D32" s="2192" t="s">
        <v>1966</v>
      </c>
      <c r="E32" s="2192"/>
      <c r="F32" s="2192"/>
      <c r="G32" s="2192"/>
      <c r="H32" s="2192"/>
      <c r="I32" s="2192"/>
    </row>
    <row r="33" spans="1:16" ht="15">
      <c r="A33" s="2319" t="s">
        <v>1967</v>
      </c>
      <c r="B33" s="2320" t="s">
        <v>1968</v>
      </c>
      <c r="C33" s="1308">
        <f>典型户型修正!B2</f>
        <v>0</v>
      </c>
      <c r="D33" s="2321" t="str">
        <f>IF('数据-取费表'!B3="万元","万元","元")</f>
        <v>元</v>
      </c>
      <c r="E33" s="2192"/>
      <c r="F33" s="2192"/>
      <c r="G33" s="2192"/>
      <c r="H33" s="2192"/>
      <c r="I33" s="2192"/>
    </row>
    <row r="34" spans="1:16" ht="15.75" thickBot="1">
      <c r="A34" s="2322"/>
      <c r="B34" s="2323" t="s">
        <v>1969</v>
      </c>
      <c r="C34" s="771" t="e">
        <f>典型户型修正!B3</f>
        <v>#DIV/0!</v>
      </c>
      <c r="D34" s="2192" t="s">
        <v>1970</v>
      </c>
      <c r="E34" s="2192"/>
      <c r="F34" s="2192"/>
      <c r="G34" s="2192"/>
      <c r="H34" s="2192"/>
      <c r="I34" s="2192"/>
    </row>
    <row r="35" spans="1:16" ht="15">
      <c r="A35" s="2324"/>
      <c r="B35" s="2325" t="s">
        <v>1971</v>
      </c>
      <c r="C35" s="1315">
        <f>IF('数据-取费表'!B3="万元",典型户型修正!V25,典型户型修正!U25)</f>
        <v>0</v>
      </c>
      <c r="D35" s="2192" t="str">
        <f>D33</f>
        <v>元</v>
      </c>
      <c r="E35" s="2192"/>
      <c r="F35" s="2192"/>
      <c r="G35" s="2192"/>
      <c r="H35" s="2192"/>
      <c r="I35" s="2192"/>
    </row>
    <row r="36" spans="1:16" ht="15.75" thickBot="1">
      <c r="A36" s="2231"/>
      <c r="B36" s="2326" t="s">
        <v>1972</v>
      </c>
      <c r="C36" s="1316">
        <f>IF('数据-取费表'!B3="万元",典型户型修正!Y25,典型户型修正!X25)</f>
        <v>0</v>
      </c>
      <c r="D36" s="2192" t="str">
        <f>D33</f>
        <v>元</v>
      </c>
      <c r="E36" s="2192"/>
      <c r="F36" s="2192"/>
      <c r="G36" s="2192"/>
      <c r="H36" s="2192"/>
      <c r="I36" s="2192"/>
    </row>
    <row r="37" spans="1:16" ht="15.75" thickBot="1">
      <c r="A37" s="2894" t="s">
        <v>1973</v>
      </c>
      <c r="B37" s="2234" t="s">
        <v>1974</v>
      </c>
      <c r="C37" s="69"/>
      <c r="D37" s="2235"/>
      <c r="E37" s="2236"/>
      <c r="F37" s="2236"/>
      <c r="G37" s="2192"/>
      <c r="H37" s="2192"/>
      <c r="I37" s="2192"/>
    </row>
    <row r="38" spans="1:16" ht="15.75" thickBot="1">
      <c r="A38" s="2895"/>
      <c r="B38" s="2237" t="s">
        <v>1975</v>
      </c>
      <c r="C38" s="71"/>
      <c r="D38" s="2202"/>
      <c r="E38" s="2202"/>
      <c r="F38" s="2236"/>
      <c r="G38" s="2202"/>
      <c r="H38" s="2202"/>
      <c r="I38" s="2202"/>
    </row>
    <row r="39" spans="1:16" ht="15.75" thickBot="1">
      <c r="A39" s="2896"/>
      <c r="B39" s="2238" t="s">
        <v>1976</v>
      </c>
      <c r="C39" s="712"/>
      <c r="D39" s="2239" t="s">
        <v>1977</v>
      </c>
      <c r="E39" s="2202"/>
      <c r="F39" s="2236"/>
      <c r="G39" s="2202"/>
      <c r="H39" s="2202"/>
      <c r="I39" s="2202"/>
    </row>
    <row r="40" spans="1:16" ht="15">
      <c r="A40" s="2206" t="s">
        <v>1978</v>
      </c>
      <c r="B40" s="2240" t="s">
        <v>1979</v>
      </c>
      <c r="C40" s="2241" t="s">
        <v>1980</v>
      </c>
      <c r="D40" s="2241" t="s">
        <v>1981</v>
      </c>
      <c r="E40" s="2242" t="s">
        <v>1982</v>
      </c>
      <c r="F40" s="2236"/>
      <c r="G40" s="2202"/>
      <c r="H40" s="2202"/>
      <c r="I40" s="2202"/>
    </row>
    <row r="41" spans="1:16" ht="14.25">
      <c r="A41" s="2243" t="s">
        <v>1983</v>
      </c>
      <c r="B41" s="74"/>
      <c r="C41" s="75"/>
      <c r="D41" s="75"/>
      <c r="E41" s="76"/>
      <c r="F41" s="2236"/>
      <c r="G41" s="2202"/>
      <c r="H41" s="2202"/>
      <c r="I41" s="2202"/>
    </row>
    <row r="42" spans="1:16" ht="14.25">
      <c r="A42" s="2243" t="s">
        <v>1984</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1985</v>
      </c>
      <c r="B45" s="2249"/>
      <c r="C45" s="2249"/>
      <c r="D45" s="2250"/>
      <c r="E45" s="2250"/>
      <c r="F45" s="2251"/>
      <c r="G45" s="2251"/>
      <c r="H45" s="2251"/>
      <c r="I45" s="2251"/>
      <c r="J45" s="2252" t="s">
        <v>1816</v>
      </c>
      <c r="K45" s="2253"/>
      <c r="L45" s="2253"/>
      <c r="M45" s="2253"/>
      <c r="N45" s="2253"/>
      <c r="O45" s="2253"/>
      <c r="P45" s="1843"/>
    </row>
    <row r="46" spans="1:16" ht="14.25" customHeight="1" thickBot="1">
      <c r="A46" s="2900" t="s">
        <v>1986</v>
      </c>
      <c r="B46" s="2901"/>
      <c r="C46" s="2902"/>
      <c r="D46" s="80">
        <f>ROUND(I103*F46,0)</f>
        <v>0</v>
      </c>
      <c r="E46" s="81" t="s">
        <v>1987</v>
      </c>
      <c r="F46" s="82">
        <v>1</v>
      </c>
      <c r="G46" s="83" t="s">
        <v>1988</v>
      </c>
      <c r="H46" s="2192"/>
      <c r="I46" s="2192"/>
      <c r="J46" s="2962" t="s">
        <v>1820</v>
      </c>
      <c r="K46" s="2962"/>
      <c r="L46" s="2962"/>
      <c r="M46" s="2962"/>
      <c r="N46" s="2962"/>
      <c r="O46" s="2962"/>
      <c r="P46" s="1843"/>
    </row>
    <row r="47" spans="1:16" ht="14.25" customHeight="1">
      <c r="A47" s="2885" t="s">
        <v>1821</v>
      </c>
      <c r="B47" s="2886"/>
      <c r="C47" s="2886"/>
      <c r="D47" s="2886"/>
      <c r="E47" s="2886"/>
      <c r="F47" s="2886"/>
      <c r="G47" s="2887"/>
      <c r="H47" s="2254"/>
      <c r="I47" s="1143"/>
      <c r="J47" s="1881">
        <v>1</v>
      </c>
      <c r="K47" s="2962" t="s">
        <v>1822</v>
      </c>
      <c r="L47" s="2962"/>
      <c r="M47" s="2978"/>
      <c r="N47" s="2978"/>
      <c r="O47" s="2978"/>
      <c r="P47" s="1843"/>
    </row>
    <row r="48" spans="1:16" ht="12" customHeight="1">
      <c r="A48" s="85" t="s">
        <v>1823</v>
      </c>
      <c r="B48" s="86"/>
      <c r="C48" s="87"/>
      <c r="D48" s="88" t="s">
        <v>1824</v>
      </c>
      <c r="E48" s="14" t="s">
        <v>1825</v>
      </c>
      <c r="F48" s="89" t="s">
        <v>1826</v>
      </c>
      <c r="G48" s="90" t="s">
        <v>1827</v>
      </c>
      <c r="H48" s="2254"/>
      <c r="I48" s="1143"/>
      <c r="J48" s="1881">
        <v>2</v>
      </c>
      <c r="K48" s="2962" t="s">
        <v>1828</v>
      </c>
      <c r="L48" s="2962"/>
      <c r="M48" s="2964">
        <f>'数据-取费表'!B2</f>
        <v>43257</v>
      </c>
      <c r="N48" s="2964"/>
      <c r="O48" s="2964"/>
      <c r="P48" s="1843"/>
    </row>
    <row r="49" spans="1:16" ht="25.5">
      <c r="A49" s="2897" t="s">
        <v>1829</v>
      </c>
      <c r="B49" s="2898"/>
      <c r="C49" s="2898"/>
      <c r="D49" s="56">
        <f>IF(H49="情况1",0,IF(H49="情况2",D53,IF(H49="情况3",D54,IF(H49="情况4",D55))))</f>
        <v>0</v>
      </c>
      <c r="E49" s="1891" t="str">
        <f>IF(H49="情况4","(销售额-原购置价)×税（费）率","销售额×税（费）率")</f>
        <v>销售额×税（费）率</v>
      </c>
      <c r="F49" s="91">
        <f>IF(H49="情况1","免征",'数据-取费表'!E29)</f>
        <v>5.6000000000000001E-2</v>
      </c>
      <c r="G49" s="2255" t="s">
        <v>1830</v>
      </c>
      <c r="H49" s="2256" t="s">
        <v>1831</v>
      </c>
      <c r="I49" s="2254"/>
      <c r="J49" s="1881">
        <v>3</v>
      </c>
      <c r="K49" s="2962" t="s">
        <v>1832</v>
      </c>
      <c r="L49" s="2962"/>
      <c r="M49" s="2963">
        <f>I103</f>
        <v>0</v>
      </c>
      <c r="N49" s="2963"/>
      <c r="O49" s="2963"/>
      <c r="P49" s="1843"/>
    </row>
    <row r="50" spans="1:16" ht="25.5" customHeight="1">
      <c r="A50" s="92" t="s">
        <v>1833</v>
      </c>
      <c r="B50" s="2890" t="s">
        <v>1834</v>
      </c>
      <c r="C50" s="2890"/>
      <c r="D50" s="93">
        <v>0</v>
      </c>
      <c r="E50" s="13" t="s">
        <v>1835</v>
      </c>
      <c r="F50" s="18" t="s">
        <v>48</v>
      </c>
      <c r="G50" s="2955"/>
      <c r="H50" s="2192"/>
      <c r="I50" s="2257"/>
      <c r="J50" s="1881">
        <v>4</v>
      </c>
      <c r="K50" s="2962" t="str">
        <f>IF(项目基本情况!F5="房地产抵押价值","房地产抵押价值","抵押担保权已注销时的房地产抵押价值")</f>
        <v>抵押担保权已注销时的房地产抵押价值</v>
      </c>
      <c r="L50" s="2962"/>
      <c r="M50" s="2963" t="str">
        <f>IF(项目基本情况!F5="房地产抵押价值",I111,I113)</f>
        <v>——</v>
      </c>
      <c r="N50" s="2963"/>
      <c r="O50" s="2963"/>
      <c r="P50" s="1843"/>
    </row>
    <row r="51" spans="1:16" ht="25.5" customHeight="1">
      <c r="A51" s="94"/>
      <c r="B51" s="2890" t="s">
        <v>1836</v>
      </c>
      <c r="C51" s="2890"/>
      <c r="D51" s="95"/>
      <c r="E51" s="21"/>
      <c r="F51" s="96"/>
      <c r="G51" s="2956"/>
      <c r="H51" s="2192"/>
      <c r="I51" s="2257"/>
      <c r="J51" s="2962" t="s">
        <v>1837</v>
      </c>
      <c r="K51" s="2962"/>
      <c r="L51" s="2962"/>
      <c r="M51" s="2962"/>
      <c r="N51" s="2962"/>
      <c r="O51" s="2962"/>
      <c r="P51" s="1843"/>
    </row>
    <row r="52" spans="1:16" ht="12" customHeight="1">
      <c r="A52" s="97"/>
      <c r="B52" s="2890" t="s">
        <v>1838</v>
      </c>
      <c r="C52" s="2890"/>
      <c r="D52" s="98"/>
      <c r="E52" s="20"/>
      <c r="F52" s="96"/>
      <c r="G52" s="2957"/>
      <c r="H52" s="2192"/>
      <c r="I52" s="2257"/>
      <c r="J52" s="2258" t="s">
        <v>1839</v>
      </c>
      <c r="K52" s="2962" t="s">
        <v>1840</v>
      </c>
      <c r="L52" s="2962"/>
      <c r="M52" s="2258" t="s">
        <v>1841</v>
      </c>
      <c r="N52" s="2258" t="s">
        <v>1842</v>
      </c>
      <c r="O52" s="2258" t="s">
        <v>1843</v>
      </c>
      <c r="P52" s="1843"/>
    </row>
    <row r="53" spans="1:16" ht="24" customHeight="1">
      <c r="A53" s="99" t="s">
        <v>1844</v>
      </c>
      <c r="B53" s="2890" t="s">
        <v>1845</v>
      </c>
      <c r="C53" s="2890"/>
      <c r="D53" s="98">
        <f>ROUND(D46*'数据-取费表'!E29/(1+'数据-取费表'!F30),0)</f>
        <v>0</v>
      </c>
      <c r="E53" s="10" t="s">
        <v>1846</v>
      </c>
      <c r="F53" s="100">
        <f>'数据-取费表'!E29</f>
        <v>5.6000000000000001E-2</v>
      </c>
      <c r="G53" s="2259"/>
      <c r="H53" s="2192"/>
      <c r="I53" s="2257"/>
      <c r="J53" s="1881">
        <v>1</v>
      </c>
      <c r="K53" s="2922" t="s">
        <v>1847</v>
      </c>
      <c r="L53" s="2922"/>
      <c r="M53" s="778">
        <f>D49</f>
        <v>0</v>
      </c>
      <c r="N53" s="1881" t="str">
        <f>E49</f>
        <v>销售额×税（费）率</v>
      </c>
      <c r="O53" s="779">
        <f>F49</f>
        <v>5.6000000000000001E-2</v>
      </c>
      <c r="P53" s="1843"/>
    </row>
    <row r="54" spans="1:16" ht="12" customHeight="1">
      <c r="A54" s="99" t="s">
        <v>1848</v>
      </c>
      <c r="B54" s="2891" t="s">
        <v>1849</v>
      </c>
      <c r="C54" s="2821"/>
      <c r="D54" s="98">
        <f>ROUND(D46*'数据-取费表'!E29/(1+'数据-取费表'!F30),0)</f>
        <v>0</v>
      </c>
      <c r="E54" s="10" t="s">
        <v>1846</v>
      </c>
      <c r="F54" s="100">
        <f>'数据-取费表'!E29</f>
        <v>5.6000000000000001E-2</v>
      </c>
      <c r="G54" s="2259"/>
      <c r="H54" s="2192"/>
      <c r="I54" s="2257"/>
      <c r="J54" s="1881">
        <v>2</v>
      </c>
      <c r="K54" s="2922" t="s">
        <v>1850</v>
      </c>
      <c r="L54" s="2922"/>
      <c r="M54" s="778">
        <f t="shared" ref="M54:O55" si="1">D56</f>
        <v>0</v>
      </c>
      <c r="N54" s="1881" t="str">
        <f t="shared" si="1"/>
        <v>销售额×税（费）率</v>
      </c>
      <c r="O54" s="779">
        <f t="shared" si="1"/>
        <v>5.0000000000000001E-4</v>
      </c>
      <c r="P54" s="1843"/>
    </row>
    <row r="55" spans="1:16" ht="12" customHeight="1">
      <c r="A55" s="99" t="s">
        <v>1851</v>
      </c>
      <c r="B55" s="2891" t="s">
        <v>1852</v>
      </c>
      <c r="C55" s="2821"/>
      <c r="D55" s="98">
        <f>C69</f>
        <v>0</v>
      </c>
      <c r="E55" s="20" t="s">
        <v>1853</v>
      </c>
      <c r="F55" s="100">
        <f>'数据-取费表'!E29</f>
        <v>5.6000000000000001E-2</v>
      </c>
      <c r="G55" s="2259"/>
      <c r="H55" s="2260"/>
      <c r="I55" s="2257"/>
      <c r="J55" s="1881">
        <v>3</v>
      </c>
      <c r="K55" s="2922" t="s">
        <v>1854</v>
      </c>
      <c r="L55" s="2922"/>
      <c r="M55" s="778">
        <f t="shared" si="1"/>
        <v>0</v>
      </c>
      <c r="N55" s="1881" t="str">
        <f t="shared" si="1"/>
        <v>增值额×税（费）率</v>
      </c>
      <c r="O55" s="780" t="str">
        <f t="shared" si="1"/>
        <v>——</v>
      </c>
      <c r="P55" s="1843"/>
    </row>
    <row r="56" spans="1:16" ht="24" customHeight="1">
      <c r="A56" s="2813" t="s">
        <v>1855</v>
      </c>
      <c r="B56" s="2898"/>
      <c r="C56" s="2898"/>
      <c r="D56" s="101">
        <f>IF(H56="个人住宅",0,ROUND(D46*I56,0))</f>
        <v>0</v>
      </c>
      <c r="E56" s="10" t="s">
        <v>1856</v>
      </c>
      <c r="F56" s="100">
        <f>IF(H56="正常",I56,"免征")</f>
        <v>5.0000000000000001E-4</v>
      </c>
      <c r="G56" s="2259"/>
      <c r="H56" s="2256" t="s">
        <v>1857</v>
      </c>
      <c r="I56" s="102">
        <f>'数据-取费表'!E37</f>
        <v>5.0000000000000001E-4</v>
      </c>
      <c r="J56" s="1881" t="str">
        <f>IF(H60="非个人房产","",4)</f>
        <v/>
      </c>
      <c r="K56" s="2922" t="str">
        <f>IF(H60="非个人房产","——","个人所得税")</f>
        <v>——</v>
      </c>
      <c r="L56" s="2922"/>
      <c r="M56" s="781" t="str">
        <f>D60</f>
        <v>——</v>
      </c>
      <c r="N56" s="1884" t="str">
        <f>E60</f>
        <v>——</v>
      </c>
      <c r="O56" s="782" t="str">
        <f>F60</f>
        <v>——</v>
      </c>
      <c r="P56" s="1843"/>
    </row>
    <row r="57" spans="1:16" ht="24.75">
      <c r="A57" s="2813" t="s">
        <v>1858</v>
      </c>
      <c r="B57" s="2898"/>
      <c r="C57" s="2898"/>
      <c r="D57" s="101">
        <f>IF(H57="个人住宅",D58,D59)</f>
        <v>0</v>
      </c>
      <c r="E57" s="10" t="s">
        <v>1859</v>
      </c>
      <c r="F57" s="100" t="str">
        <f>IF(H57="正常",F59,"免征")</f>
        <v>——</v>
      </c>
      <c r="G57" s="2261" t="s">
        <v>1860</v>
      </c>
      <c r="H57" s="2262" t="s">
        <v>1857</v>
      </c>
      <c r="I57" s="1021"/>
      <c r="J57" s="1881" t="str">
        <f>IF(项目基本情况!I6="上海银行",IF(J56="",4,J56+1),"")</f>
        <v/>
      </c>
      <c r="K57" s="2940" t="str">
        <f>IF(项目基本情况!I6="上海银行","其他处置费用","")</f>
        <v/>
      </c>
      <c r="L57" s="2941"/>
      <c r="M57" s="778" t="str">
        <f>IF(项目基本情况!I6="上海银行",M70,"")</f>
        <v/>
      </c>
      <c r="N57" s="2953" t="str">
        <f>IF(项目基本情况!I6="上海银行","包含处置中涉及的律师、诉讼、拍卖、评估等费用","")</f>
        <v/>
      </c>
      <c r="O57" s="2954"/>
      <c r="P57" s="1843"/>
    </row>
    <row r="58" spans="1:16" ht="12.75">
      <c r="A58" s="99" t="s">
        <v>1833</v>
      </c>
      <c r="B58" s="2888" t="s">
        <v>1861</v>
      </c>
      <c r="C58" s="2899"/>
      <c r="D58" s="103">
        <v>0</v>
      </c>
      <c r="E58" s="13" t="s">
        <v>1835</v>
      </c>
      <c r="F58" s="70"/>
      <c r="G58" s="2259"/>
      <c r="H58" s="1021"/>
      <c r="I58" s="1021"/>
      <c r="J58" s="2922">
        <f>IF(AND(J56="",J57=""),4,IF(项目基本情况!I6="上海银行",J57+1,J56+1))</f>
        <v>4</v>
      </c>
      <c r="K58" s="2922" t="s">
        <v>1862</v>
      </c>
      <c r="L58" s="2263" t="s">
        <v>1863</v>
      </c>
      <c r="M58" s="783"/>
      <c r="N58" s="784">
        <f>SUMIF(M53:M57,"&lt;9e307")</f>
        <v>0</v>
      </c>
      <c r="O58" s="2264"/>
      <c r="P58" s="1839" t="e">
        <f>N58/M50</f>
        <v>#VALUE!</v>
      </c>
    </row>
    <row r="59" spans="1:16" ht="24.75">
      <c r="A59" s="99" t="s">
        <v>1844</v>
      </c>
      <c r="B59" s="2888" t="s">
        <v>1864</v>
      </c>
      <c r="C59" s="2889"/>
      <c r="D59" s="101">
        <f>IF(H59="转让取得",C82,C98)</f>
        <v>0</v>
      </c>
      <c r="E59" s="10" t="s">
        <v>1859</v>
      </c>
      <c r="F59" s="14" t="s">
        <v>48</v>
      </c>
      <c r="G59" s="2259"/>
      <c r="H59" s="2262" t="s">
        <v>1865</v>
      </c>
      <c r="I59" s="1021"/>
      <c r="J59" s="2922"/>
      <c r="K59" s="2922"/>
      <c r="L59" s="2263" t="s">
        <v>1866</v>
      </c>
      <c r="M59" s="785"/>
      <c r="N59" s="2265" t="str">
        <f>IF(H19="元",NUMBERSTRING(INT(N58),2)&amp;"元整",NUMBERSTRING(INT(N58*10000),2)&amp;"元整")</f>
        <v>零元整</v>
      </c>
      <c r="O59" s="2266"/>
      <c r="P59" s="1843"/>
    </row>
    <row r="60" spans="1:16" ht="24.75" thickBot="1">
      <c r="A60" s="2814" t="s">
        <v>1867</v>
      </c>
      <c r="B60" s="2817"/>
      <c r="C60" s="2817"/>
      <c r="D60" s="104" t="str">
        <f>IF(H60="非个人房产","——",IF(H60="个人住宅",0,ROUND(D46*I60,0)))</f>
        <v>——</v>
      </c>
      <c r="E60" s="105" t="str">
        <f>IF(H60="非个人房产","——","销售额×税（费）率")</f>
        <v>——</v>
      </c>
      <c r="F60" s="106" t="str">
        <f>IF(H60="非个人房产","——",IF(H60="个人住宅","免征",I60))</f>
        <v>——</v>
      </c>
      <c r="G60" s="2267" t="s">
        <v>1860</v>
      </c>
      <c r="H60" s="2262" t="s">
        <v>1989</v>
      </c>
      <c r="I60" s="107">
        <v>0.01</v>
      </c>
      <c r="J60" s="2920">
        <f>J58+1</f>
        <v>5</v>
      </c>
      <c r="K60" s="2922" t="s">
        <v>1869</v>
      </c>
      <c r="L60" s="1881" t="s">
        <v>1863</v>
      </c>
      <c r="M60" s="786"/>
      <c r="N60" s="787" t="e">
        <f>M50-N58</f>
        <v>#VALUE!</v>
      </c>
      <c r="O60" s="2268"/>
      <c r="P60" s="1843"/>
    </row>
    <row r="61" spans="1:16" ht="12" customHeight="1">
      <c r="A61" s="2064"/>
      <c r="B61" s="2192"/>
      <c r="C61" s="2192"/>
      <c r="D61" s="2192"/>
      <c r="E61" s="1021"/>
      <c r="F61" s="1021"/>
      <c r="G61" s="1021"/>
      <c r="H61" s="2245"/>
      <c r="I61" s="2192"/>
      <c r="J61" s="2921"/>
      <c r="K61" s="2922"/>
      <c r="L61" s="2263" t="s">
        <v>1866</v>
      </c>
      <c r="M61" s="785"/>
      <c r="N61" s="2265" t="e">
        <f>IF(H19="元",NUMBERSTRING(INT(N60),2)&amp;"元整",NUMBERSTRING(INT(N60*10000),2)&amp;"元整")</f>
        <v>#VALUE!</v>
      </c>
      <c r="O61" s="2266"/>
      <c r="P61" s="1843"/>
    </row>
    <row r="62" spans="1:16" ht="13.5" thickBot="1">
      <c r="A62" s="2903" t="s">
        <v>1870</v>
      </c>
      <c r="B62" s="2903"/>
      <c r="C62" s="2903"/>
      <c r="D62" s="2903"/>
      <c r="E62" s="2903"/>
      <c r="F62" s="1021"/>
      <c r="G62" s="1021"/>
      <c r="H62" s="2245"/>
      <c r="I62" s="2192"/>
      <c r="J62" s="1881">
        <f>J60+1</f>
        <v>6</v>
      </c>
      <c r="K62" s="2922" t="s">
        <v>1871</v>
      </c>
      <c r="L62" s="2922"/>
      <c r="M62" s="788"/>
      <c r="N62" s="789" t="e">
        <f>IF(H19="元",ROUND(N60/项目基本情况!C12,0),ROUND(N60*10000/项目基本情况!C12,0))</f>
        <v>#VALUE!</v>
      </c>
      <c r="O62" s="2269"/>
      <c r="P62" s="1843"/>
    </row>
    <row r="63" spans="1:16" ht="12.75">
      <c r="A63" s="2910" t="s">
        <v>1872</v>
      </c>
      <c r="B63" s="2911"/>
      <c r="C63" s="1883"/>
      <c r="D63" s="1883" t="s">
        <v>1873</v>
      </c>
      <c r="E63" s="108" t="s">
        <v>1874</v>
      </c>
      <c r="F63" s="1021"/>
      <c r="G63" s="1021"/>
      <c r="H63" s="2245"/>
      <c r="I63" s="2192"/>
      <c r="J63" s="1843"/>
      <c r="K63" s="1843"/>
      <c r="L63" s="1843"/>
      <c r="M63" s="1843"/>
      <c r="N63" s="1843"/>
      <c r="O63" s="1843"/>
      <c r="P63" s="1843"/>
    </row>
    <row r="64" spans="1:16" ht="12.75">
      <c r="A64" s="109">
        <v>1</v>
      </c>
      <c r="B64" s="110" t="s">
        <v>1875</v>
      </c>
      <c r="C64" s="111">
        <f>ROUND((C65+C66)/(1+'数据-取费表'!F30),0)</f>
        <v>0</v>
      </c>
      <c r="D64" s="112"/>
      <c r="E64" s="113"/>
      <c r="F64" s="1021"/>
      <c r="G64" s="1021"/>
      <c r="H64" s="2245"/>
      <c r="I64" s="2192"/>
      <c r="J64" s="2942" t="s">
        <v>1876</v>
      </c>
      <c r="K64" s="2270" t="s">
        <v>1877</v>
      </c>
      <c r="L64" s="1842" t="e">
        <f>IF(M50&gt;10000,M50*0.5%,IF(AND(M50&gt;1000,M50&lt;=10000),M50*1%,IF(AND(M50&gt;100,M50&lt;=1000),M50*3%,IF(AND(M50&gt;10,M50&lt;=100),M50*5%,M50*8%))))</f>
        <v>#VALUE!</v>
      </c>
      <c r="M64" s="14" t="e">
        <f>ROUND(L64,1)</f>
        <v>#VALUE!</v>
      </c>
      <c r="N64" s="1843"/>
      <c r="O64" s="1843"/>
      <c r="P64" s="1843"/>
    </row>
    <row r="65" spans="1:35" ht="12.75">
      <c r="A65" s="114" t="s">
        <v>71</v>
      </c>
      <c r="B65" s="115" t="s">
        <v>1878</v>
      </c>
      <c r="C65" s="116">
        <f>D46</f>
        <v>0</v>
      </c>
      <c r="D65" s="117" t="s">
        <v>41</v>
      </c>
      <c r="E65" s="118"/>
      <c r="F65" s="1021"/>
      <c r="G65" s="1021"/>
      <c r="H65" s="2245"/>
      <c r="I65" s="2192"/>
      <c r="J65" s="2942"/>
      <c r="K65" s="2270" t="s">
        <v>1879</v>
      </c>
      <c r="L65" s="1842"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3" t="s">
        <v>1880</v>
      </c>
      <c r="O65" s="1843"/>
      <c r="P65" s="1843"/>
    </row>
    <row r="66" spans="1:35" ht="12.75">
      <c r="A66" s="114" t="s">
        <v>72</v>
      </c>
      <c r="B66" s="115" t="s">
        <v>1881</v>
      </c>
      <c r="C66" s="119"/>
      <c r="D66" s="117"/>
      <c r="E66" s="118"/>
      <c r="F66" s="1021"/>
      <c r="G66" s="1021"/>
      <c r="H66" s="2245"/>
      <c r="I66" s="2192"/>
      <c r="J66" s="2942"/>
      <c r="K66" s="2270" t="s">
        <v>1882</v>
      </c>
      <c r="L66" s="1842" t="e">
        <f>IF(M50&gt;1000,M50*0.1%,IF(AND(M50&gt;500,M50&lt;=1000),M50*0.5%,IF(AND(M50&gt;50,M50&lt;=500),M50*1%,IF(AND(M50&gt;1,M50&lt;=50),M50*1.5%))))</f>
        <v>#VALUE!</v>
      </c>
      <c r="M66" s="14" t="e">
        <f t="shared" si="2"/>
        <v>#VALUE!</v>
      </c>
      <c r="N66" s="1843" t="s">
        <v>1880</v>
      </c>
      <c r="O66" s="1843"/>
      <c r="P66" s="1843"/>
    </row>
    <row r="67" spans="1:35" ht="12.75">
      <c r="A67" s="120" t="s">
        <v>47</v>
      </c>
      <c r="B67" s="121" t="s">
        <v>1883</v>
      </c>
      <c r="C67" s="122"/>
      <c r="D67" s="123" t="s">
        <v>41</v>
      </c>
      <c r="E67" s="1859" t="s">
        <v>1884</v>
      </c>
      <c r="F67" s="1021"/>
      <c r="G67" s="1021"/>
      <c r="H67" s="2245"/>
      <c r="I67" s="2192"/>
      <c r="J67" s="2942"/>
      <c r="K67" s="2270" t="s">
        <v>1885</v>
      </c>
      <c r="L67" s="1842" t="e">
        <f>M50*0.5%</f>
        <v>#VALUE!</v>
      </c>
      <c r="M67" s="14" t="e">
        <f>IF(L67&gt;0.5,0.5,ROUND(L67,0))</f>
        <v>#VALUE!</v>
      </c>
      <c r="N67" s="1843" t="s">
        <v>1886</v>
      </c>
      <c r="O67" s="1843"/>
      <c r="P67" s="1843"/>
    </row>
    <row r="68" spans="1:35" ht="12.75">
      <c r="A68" s="120" t="s">
        <v>42</v>
      </c>
      <c r="B68" s="121" t="s">
        <v>1887</v>
      </c>
      <c r="C68" s="124">
        <f>C64-C67</f>
        <v>0</v>
      </c>
      <c r="D68" s="117" t="s">
        <v>41</v>
      </c>
      <c r="E68" s="118"/>
      <c r="F68" s="1021"/>
      <c r="G68" s="1021"/>
      <c r="H68" s="2245"/>
      <c r="I68" s="2192"/>
      <c r="J68" s="2942"/>
      <c r="K68" s="2270" t="s">
        <v>1888</v>
      </c>
      <c r="L68" s="1842"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3"/>
      <c r="O68" s="1843"/>
      <c r="P68" s="1843"/>
    </row>
    <row r="69" spans="1:35" ht="13.5" thickBot="1">
      <c r="A69" s="125" t="s">
        <v>46</v>
      </c>
      <c r="B69" s="126" t="s">
        <v>1889</v>
      </c>
      <c r="C69" s="127">
        <f>IF(C68&lt;=0,0,ROUND(C68*D69,0))</f>
        <v>0</v>
      </c>
      <c r="D69" s="128">
        <f>'数据-取费表'!E29</f>
        <v>5.6000000000000001E-2</v>
      </c>
      <c r="E69" s="129"/>
      <c r="F69" s="1021"/>
      <c r="G69" s="1021"/>
      <c r="H69" s="2245"/>
      <c r="I69" s="2192"/>
      <c r="J69" s="2942"/>
      <c r="K69" s="2270" t="s">
        <v>1890</v>
      </c>
      <c r="L69" s="1842" t="e">
        <f>IF(M50&gt;10000,M50*0.5%,IF(AND(M50&gt;5000,M50&lt;=10000),M50*1%,IF(AND(M50&gt;1000,M50&lt;=5000),M50*2%,IF(AND(M50&gt;200,M50&lt;=1000),M50*3%,M50*5%))))</f>
        <v>#VALUE!</v>
      </c>
      <c r="M69" s="14" t="e">
        <f>ROUND(L69,1)</f>
        <v>#VALUE!</v>
      </c>
      <c r="N69" s="1843"/>
      <c r="O69" s="1843"/>
      <c r="P69" s="1843"/>
    </row>
    <row r="70" spans="1:35" s="2219" customFormat="1" ht="7.5" customHeight="1">
      <c r="A70" s="2271"/>
      <c r="B70" s="2272"/>
      <c r="C70" s="2273"/>
      <c r="D70" s="2274"/>
      <c r="E70" s="2275"/>
      <c r="F70" s="1021"/>
      <c r="G70" s="1021"/>
      <c r="H70" s="2245"/>
      <c r="I70" s="2192"/>
      <c r="J70" s="2942"/>
      <c r="K70" s="2270" t="s">
        <v>1891</v>
      </c>
      <c r="L70" s="2276"/>
      <c r="M70" s="14" t="e">
        <f>ROUND(SUM(M64:M69),0)</f>
        <v>#VALUE!</v>
      </c>
      <c r="N70" s="1839" t="e">
        <f>M70/M50</f>
        <v>#VALUE!</v>
      </c>
      <c r="O70" s="1843"/>
      <c r="P70" s="1843"/>
      <c r="Q70" s="798"/>
      <c r="R70" s="798"/>
      <c r="S70" s="798"/>
      <c r="T70" s="798"/>
      <c r="U70" s="798"/>
      <c r="V70" s="798"/>
      <c r="W70" s="798"/>
      <c r="X70" s="798"/>
      <c r="Y70" s="798"/>
      <c r="Z70" s="798"/>
      <c r="AA70" s="1843"/>
      <c r="AB70" s="1843"/>
      <c r="AC70" s="1843"/>
      <c r="AD70" s="1843"/>
      <c r="AE70" s="1843"/>
      <c r="AF70" s="1843"/>
      <c r="AG70" s="1843"/>
      <c r="AH70" s="1843"/>
      <c r="AI70" s="1843"/>
    </row>
    <row r="71" spans="1:35" s="2278" customFormat="1" ht="15" thickBot="1">
      <c r="A71" s="2914" t="s">
        <v>1892</v>
      </c>
      <c r="B71" s="2915"/>
      <c r="C71" s="2915"/>
      <c r="D71" s="2915"/>
      <c r="E71" s="2915"/>
      <c r="F71" s="2915"/>
      <c r="G71" s="2915"/>
      <c r="H71" s="2915"/>
      <c r="I71" s="2277"/>
      <c r="J71" s="1285"/>
      <c r="K71" s="1285"/>
      <c r="L71" s="1285"/>
      <c r="M71" s="1285"/>
      <c r="N71" s="1285"/>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2910" t="s">
        <v>1872</v>
      </c>
      <c r="B72" s="2911"/>
      <c r="C72" s="1883"/>
      <c r="D72" s="1883" t="s">
        <v>1873</v>
      </c>
      <c r="E72" s="130" t="s">
        <v>1874</v>
      </c>
      <c r="F72" s="131"/>
      <c r="G72" s="131"/>
      <c r="H72" s="132"/>
      <c r="I72" s="2280"/>
      <c r="J72" s="1285"/>
      <c r="K72" s="1285"/>
      <c r="L72" s="1285"/>
      <c r="M72" s="1285"/>
      <c r="N72" s="1285"/>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3">
        <v>1</v>
      </c>
      <c r="B73" s="121" t="s">
        <v>1893</v>
      </c>
      <c r="C73" s="124">
        <f>ROUND(D46/(1+'数据-取费表'!F30),0)</f>
        <v>0</v>
      </c>
      <c r="D73" s="117" t="s">
        <v>41</v>
      </c>
      <c r="E73" s="1886"/>
      <c r="F73" s="1887"/>
      <c r="G73" s="1887"/>
      <c r="H73" s="134"/>
      <c r="I73" s="2280"/>
      <c r="J73" s="1285"/>
      <c r="K73" s="1285"/>
      <c r="L73" s="1285"/>
      <c r="M73" s="1285"/>
      <c r="N73" s="1285"/>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14.25">
      <c r="A74" s="135">
        <v>2</v>
      </c>
      <c r="B74" s="89" t="s">
        <v>1895</v>
      </c>
      <c r="C74" s="124">
        <f>C75+C79</f>
        <v>0</v>
      </c>
      <c r="D74" s="117" t="s">
        <v>41</v>
      </c>
      <c r="E74" s="1886"/>
      <c r="F74" s="1887"/>
      <c r="G74" s="1887"/>
      <c r="H74" s="134"/>
      <c r="I74" s="2280"/>
      <c r="J74" s="1285"/>
      <c r="K74" s="1285"/>
      <c r="L74" s="1285"/>
      <c r="M74" s="1285"/>
      <c r="N74" s="1285"/>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73</v>
      </c>
      <c r="B75" s="115" t="s">
        <v>1896</v>
      </c>
      <c r="C75" s="117">
        <f>ROUND(IF(G78="2016年5月1日后购买",C76/(1+'数据-取费表'!F30)+C77+C78,C76+C77+C78),0)</f>
        <v>0</v>
      </c>
      <c r="D75" s="117" t="s">
        <v>41</v>
      </c>
      <c r="E75" s="1886"/>
      <c r="F75" s="1887"/>
      <c r="G75" s="1887"/>
      <c r="H75" s="134"/>
      <c r="I75" s="2280"/>
      <c r="J75" s="1285"/>
      <c r="K75" s="1285"/>
      <c r="L75" s="1285"/>
      <c r="M75" s="1285"/>
      <c r="N75" s="1285"/>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14.25">
      <c r="A76" s="136" t="s">
        <v>74</v>
      </c>
      <c r="B76" s="115" t="s">
        <v>1897</v>
      </c>
      <c r="C76" s="137"/>
      <c r="D76" s="117" t="s">
        <v>41</v>
      </c>
      <c r="E76" s="138" t="s">
        <v>1898</v>
      </c>
      <c r="F76" s="2281" t="s">
        <v>1899</v>
      </c>
      <c r="G76" s="138" t="s">
        <v>1900</v>
      </c>
      <c r="H76" s="139"/>
      <c r="I76" s="9"/>
      <c r="J76" s="1285"/>
      <c r="K76" s="1285"/>
      <c r="L76" s="1285"/>
      <c r="M76" s="1285"/>
      <c r="N76" s="1285"/>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75</v>
      </c>
      <c r="B77" s="140" t="s">
        <v>1901</v>
      </c>
      <c r="C77" s="117">
        <f>IF(F76="购房发票",ROUND(C76*H76*D77,0),0)</f>
        <v>0</v>
      </c>
      <c r="D77" s="141">
        <v>0.05</v>
      </c>
      <c r="E77" s="2891" t="s">
        <v>1902</v>
      </c>
      <c r="F77" s="2890"/>
      <c r="G77" s="2890"/>
      <c r="H77" s="2905"/>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82" t="s">
        <v>1905</v>
      </c>
      <c r="H78" s="1888" t="str">
        <f>IF(G78="个人买卖住房","免征印花税"," ")</f>
        <v xml:space="preserve"> </v>
      </c>
      <c r="I78" s="2280"/>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24.75" customHeight="1">
      <c r="A79" s="136" t="s">
        <v>77</v>
      </c>
      <c r="B79" s="115" t="s">
        <v>1906</v>
      </c>
      <c r="C79" s="144">
        <f>ROUND(D46*D79/(1+'数据-取费表'!F30),0)</f>
        <v>0</v>
      </c>
      <c r="D79" s="145">
        <f>'数据-取费表'!E31</f>
        <v>6.000000000000001E-3</v>
      </c>
      <c r="E79" s="2882" t="s">
        <v>1907</v>
      </c>
      <c r="F79" s="2883"/>
      <c r="G79" s="2883"/>
      <c r="H79" s="2884"/>
      <c r="I79" s="2283"/>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14.25">
      <c r="A80" s="146" t="s">
        <v>42</v>
      </c>
      <c r="B80" s="121" t="s">
        <v>1908</v>
      </c>
      <c r="C80" s="124">
        <f>C73-C74</f>
        <v>0</v>
      </c>
      <c r="D80" s="117" t="s">
        <v>41</v>
      </c>
      <c r="E80" s="1886"/>
      <c r="F80" s="1887"/>
      <c r="G80" s="1887"/>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14.25">
      <c r="A81" s="146" t="s">
        <v>43</v>
      </c>
      <c r="B81" s="121" t="s">
        <v>1909</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7"/>
      <c r="G81" s="1887"/>
      <c r="H81" s="134"/>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15" thickBot="1">
      <c r="A82" s="148" t="s">
        <v>44</v>
      </c>
      <c r="B82" s="126" t="s">
        <v>1910</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5" thickBot="1">
      <c r="A84" s="2914" t="s">
        <v>1911</v>
      </c>
      <c r="B84" s="2915"/>
      <c r="C84" s="2915"/>
      <c r="D84" s="2915"/>
      <c r="E84" s="2915"/>
      <c r="F84" s="2915"/>
      <c r="G84" s="2915"/>
      <c r="H84" s="2915"/>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14.25">
      <c r="A85" s="2910" t="s">
        <v>1872</v>
      </c>
      <c r="B85" s="2911"/>
      <c r="C85" s="1883"/>
      <c r="D85" s="1883" t="s">
        <v>1873</v>
      </c>
      <c r="E85" s="130" t="s">
        <v>1874</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3">
        <v>1</v>
      </c>
      <c r="B86" s="121" t="s">
        <v>1893</v>
      </c>
      <c r="C86" s="124">
        <f>ROUND(D46/(1+'数据-取费表'!F30),0)</f>
        <v>0</v>
      </c>
      <c r="D86" s="117" t="s">
        <v>41</v>
      </c>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5">
        <v>2</v>
      </c>
      <c r="B87" s="89" t="s">
        <v>1895</v>
      </c>
      <c r="C87" s="124">
        <f>IF(H89="仅含出让金",C88+C91+C92+C93+C94+C95,C88+C92+C93+C94+C95)</f>
        <v>0</v>
      </c>
      <c r="D87" s="156"/>
      <c r="E87" s="1886"/>
      <c r="F87" s="1887"/>
      <c r="G87" s="1887"/>
      <c r="H87" s="155"/>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73</v>
      </c>
      <c r="B88" s="115" t="s">
        <v>1912</v>
      </c>
      <c r="C88" s="144">
        <f>C89+C90</f>
        <v>0</v>
      </c>
      <c r="D88" s="145"/>
      <c r="E88" s="1879"/>
      <c r="F88" s="1880"/>
      <c r="G88" s="1880"/>
      <c r="H88" s="1882"/>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74</v>
      </c>
      <c r="B89" s="115" t="s">
        <v>1913</v>
      </c>
      <c r="C89" s="157"/>
      <c r="D89" s="145"/>
      <c r="E89" s="158" t="s">
        <v>1914</v>
      </c>
      <c r="F89" s="1880"/>
      <c r="G89" s="159" t="s">
        <v>1915</v>
      </c>
      <c r="H89" s="2284"/>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75</v>
      </c>
      <c r="B90" s="115" t="s">
        <v>1903</v>
      </c>
      <c r="C90" s="144">
        <f>ROUND(C89*D90,0)</f>
        <v>0</v>
      </c>
      <c r="D90" s="145">
        <f>'数据-取费表'!E36+'数据-取费表'!E37</f>
        <v>3.0499999999999999E-2</v>
      </c>
      <c r="E90" s="158" t="s">
        <v>1916</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14.25">
      <c r="A91" s="136" t="s">
        <v>77</v>
      </c>
      <c r="B91" s="115" t="s">
        <v>1917</v>
      </c>
      <c r="C91" s="157"/>
      <c r="D91" s="145"/>
      <c r="E91" s="158" t="str">
        <f>IF(H89="-","土地取得成本中已包含该笔费用"," ")</f>
        <v xml:space="preserve"> </v>
      </c>
      <c r="F91" s="1880"/>
      <c r="G91" s="1880"/>
      <c r="H91" s="1882"/>
      <c r="I91" s="9"/>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30.75" customHeight="1">
      <c r="A92" s="136" t="s">
        <v>78</v>
      </c>
      <c r="B92" s="115" t="s">
        <v>1918</v>
      </c>
      <c r="C92" s="144">
        <f>IF(H92="——",成本法!C33,I92)</f>
        <v>0</v>
      </c>
      <c r="D92" s="145"/>
      <c r="E92" s="2882" t="s">
        <v>1919</v>
      </c>
      <c r="F92" s="2883"/>
      <c r="G92" s="2883"/>
      <c r="H92" s="2285" t="s">
        <v>1920</v>
      </c>
      <c r="I92" s="2286"/>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79</v>
      </c>
      <c r="B93" s="115" t="s">
        <v>1921</v>
      </c>
      <c r="C93" s="144">
        <f>ROUND((C88+C91+C92)*D93,0)</f>
        <v>0</v>
      </c>
      <c r="D93" s="145">
        <v>0.1</v>
      </c>
      <c r="E93" s="2882" t="s">
        <v>1922</v>
      </c>
      <c r="F93" s="2883"/>
      <c r="G93" s="2883"/>
      <c r="H93" s="2884"/>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80</v>
      </c>
      <c r="B94" s="115" t="s">
        <v>1906</v>
      </c>
      <c r="C94" s="144">
        <f>ROUND(D46*D94/(1+'数据-取费表'!F30),0)</f>
        <v>0</v>
      </c>
      <c r="D94" s="145">
        <f>'数据-取费表'!E31</f>
        <v>6.000000000000001E-3</v>
      </c>
      <c r="E94" s="2882" t="s">
        <v>1907</v>
      </c>
      <c r="F94" s="2883"/>
      <c r="G94" s="2883"/>
      <c r="H94" s="2884"/>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25.5" customHeight="1">
      <c r="A95" s="136" t="s">
        <v>81</v>
      </c>
      <c r="B95" s="115" t="s">
        <v>1923</v>
      </c>
      <c r="C95" s="144">
        <f>ROUND((C88+C91+C92)*D95,0)</f>
        <v>0</v>
      </c>
      <c r="D95" s="145">
        <v>0.2</v>
      </c>
      <c r="E95" s="2882" t="s">
        <v>1924</v>
      </c>
      <c r="F95" s="2883"/>
      <c r="G95" s="2883"/>
      <c r="H95" s="2884"/>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14.25">
      <c r="A96" s="146" t="s">
        <v>42</v>
      </c>
      <c r="B96" s="121" t="s">
        <v>1908</v>
      </c>
      <c r="C96" s="124">
        <f>ROUND(C86-C87,0)</f>
        <v>0</v>
      </c>
      <c r="D96" s="117" t="s">
        <v>41</v>
      </c>
      <c r="E96" s="1886"/>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14.25">
      <c r="A97" s="146" t="s">
        <v>43</v>
      </c>
      <c r="B97" s="121" t="s">
        <v>1909</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7"/>
      <c r="G97" s="1887"/>
      <c r="H97" s="155"/>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s="2278" customFormat="1" ht="15" thickBot="1">
      <c r="A98" s="148" t="s">
        <v>44</v>
      </c>
      <c r="B98" s="126" t="s">
        <v>1910</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9"/>
      <c r="AB98" s="2279"/>
      <c r="AC98" s="2279"/>
      <c r="AD98" s="2279"/>
      <c r="AE98" s="2279"/>
      <c r="AF98" s="2279"/>
      <c r="AG98" s="2279"/>
      <c r="AH98" s="2279"/>
      <c r="AI98" s="2279"/>
    </row>
    <row r="99" spans="1:35" ht="21.75" customHeight="1" thickBot="1">
      <c r="A99" s="2248" t="s">
        <v>1925</v>
      </c>
      <c r="B99" s="2192"/>
      <c r="C99" s="2192"/>
      <c r="D99" s="2192"/>
      <c r="E99" s="1021"/>
      <c r="F99" s="1021"/>
      <c r="G99" s="1021"/>
      <c r="H99" s="2245"/>
      <c r="I99" s="2192"/>
    </row>
    <row r="100" spans="1:35" ht="15.75">
      <c r="A100" s="2937" t="s">
        <v>1926</v>
      </c>
      <c r="B100" s="2938"/>
      <c r="C100" s="2938"/>
      <c r="D100" s="2939"/>
      <c r="E100" s="2192"/>
      <c r="F100" s="2948" t="s">
        <v>1927</v>
      </c>
      <c r="G100" s="2949"/>
      <c r="H100" s="2949"/>
      <c r="I100" s="2950"/>
    </row>
    <row r="101" spans="1:35" ht="15.75">
      <c r="A101" s="2951" t="s">
        <v>1928</v>
      </c>
      <c r="B101" s="2952"/>
      <c r="C101" s="720">
        <f>C4</f>
        <v>0</v>
      </c>
      <c r="D101" s="721">
        <f>D4</f>
        <v>0</v>
      </c>
      <c r="E101" s="2192"/>
      <c r="F101" s="2847" t="s">
        <v>1929</v>
      </c>
      <c r="G101" s="2848"/>
      <c r="H101" s="2973" t="s">
        <v>1930</v>
      </c>
      <c r="I101" s="2846"/>
    </row>
    <row r="102" spans="1:35" ht="15.75">
      <c r="A102" s="2974" t="s">
        <v>1990</v>
      </c>
      <c r="B102" s="2287" t="str">
        <f>IF(H19="元","总价（元）","总价（万元）")</f>
        <v>总价（元）</v>
      </c>
      <c r="C102" s="720" t="e">
        <f ca="1">C19</f>
        <v>#REF!</v>
      </c>
      <c r="D102" s="721" t="e">
        <f ca="1">D19</f>
        <v>#REF!</v>
      </c>
      <c r="E102" s="2192"/>
      <c r="F102" s="2975"/>
      <c r="G102" s="2976"/>
      <c r="H102" s="2845">
        <f>典型户型修正!B25</f>
        <v>0</v>
      </c>
      <c r="I102" s="2846"/>
    </row>
    <row r="103" spans="1:35" ht="15.75">
      <c r="A103" s="2974"/>
      <c r="B103" s="2287" t="s">
        <v>1932</v>
      </c>
      <c r="C103" s="722" t="e">
        <f ca="1">C20</f>
        <v>#REF!</v>
      </c>
      <c r="D103" s="723" t="e">
        <f ca="1">D20</f>
        <v>#REF!</v>
      </c>
      <c r="E103" s="2192"/>
      <c r="F103" s="2874" t="s">
        <v>1933</v>
      </c>
      <c r="G103" s="2875"/>
      <c r="H103" s="2288" t="str">
        <f>C109</f>
        <v>总价（元）</v>
      </c>
      <c r="I103" s="1860">
        <f>H124</f>
        <v>0</v>
      </c>
    </row>
    <row r="104" spans="1:35" ht="15">
      <c r="A104" s="2974" t="s">
        <v>1991</v>
      </c>
      <c r="B104" s="2289" t="str">
        <f>B102</f>
        <v>总价（元）</v>
      </c>
      <c r="C104" s="1189" t="e">
        <f ca="1">ROUND(IF('数据-取费表'!B4="总价",G19,IF(H19="元",G20*'数据-取费表'!E5,G20*'数据-取费表'!E5/10000)),0)</f>
        <v>#REF!</v>
      </c>
      <c r="D104" s="725"/>
      <c r="E104" s="2192"/>
      <c r="F104" s="2874"/>
      <c r="G104" s="2875"/>
      <c r="H104" s="2288" t="s">
        <v>1932</v>
      </c>
      <c r="I104" s="1049" t="e">
        <f>I124</f>
        <v>#DIV/0!</v>
      </c>
    </row>
    <row r="105" spans="1:35" ht="15.75">
      <c r="A105" s="2974"/>
      <c r="B105" s="2287" t="s">
        <v>1932</v>
      </c>
      <c r="C105" s="1190" t="e">
        <f ca="1">ROUND(IF('数据-取费表'!B4="楼面单价",G20,IF(H19="元",G19/'数据-取费表'!E5,G19*10000/'数据-取费表'!E5)),0)</f>
        <v>#REF!</v>
      </c>
      <c r="D105" s="725"/>
      <c r="E105" s="2192"/>
      <c r="F105" s="2946"/>
      <c r="G105" s="2947"/>
      <c r="H105" s="2931"/>
      <c r="I105" s="2932"/>
    </row>
    <row r="106" spans="1:35" ht="15.75">
      <c r="A106" s="2967" t="s">
        <v>1992</v>
      </c>
      <c r="B106" s="2327" t="str">
        <f>B102</f>
        <v>总价（元）</v>
      </c>
      <c r="C106" s="724">
        <f>H124</f>
        <v>0</v>
      </c>
      <c r="D106" s="1188"/>
      <c r="E106" s="2192"/>
      <c r="F106" s="2935" t="s">
        <v>1936</v>
      </c>
      <c r="G106" s="2936"/>
      <c r="H106" s="2291" t="str">
        <f>C111</f>
        <v>总额（元）</v>
      </c>
      <c r="I106" s="1860">
        <f>SUMIF(I107:I109,"&lt;9E307")</f>
        <v>0</v>
      </c>
    </row>
    <row r="107" spans="1:35" ht="15.75" thickBot="1">
      <c r="A107" s="2930"/>
      <c r="B107" s="2290" t="s">
        <v>1932</v>
      </c>
      <c r="C107" s="726" t="e">
        <f>I124</f>
        <v>#DIV/0!</v>
      </c>
      <c r="D107" s="727"/>
      <c r="E107" s="2192"/>
      <c r="F107" s="2863" t="s">
        <v>1938</v>
      </c>
      <c r="G107" s="2864"/>
      <c r="H107" s="2291" t="str">
        <f>C112</f>
        <v>总额（元）</v>
      </c>
      <c r="I107" s="1049">
        <f>IF(D37="同一抵押权人同一抵押物续贷",C37&amp;"（未扣减，详见特别提示）",C37)</f>
        <v>0</v>
      </c>
      <c r="K107" s="2202" t="str">
        <f>IF(D126=0,"本次评估不存在"&amp;A126,"本次评估"&amp;A126&amp;"为"&amp;D126&amp;"元人民币。")</f>
        <v>本次评估不存在——</v>
      </c>
    </row>
    <row r="108" spans="1:35" ht="15">
      <c r="A108" s="2970" t="s">
        <v>1935</v>
      </c>
      <c r="B108" s="2971"/>
      <c r="C108" s="2971"/>
      <c r="D108" s="2972"/>
      <c r="E108" s="2192"/>
      <c r="F108" s="2863" t="s">
        <v>1939</v>
      </c>
      <c r="G108" s="2864"/>
      <c r="H108" s="2291" t="str">
        <f>C113</f>
        <v>总额（元）</v>
      </c>
      <c r="I108" s="1049">
        <f>C38</f>
        <v>0</v>
      </c>
      <c r="K108" s="2292"/>
    </row>
    <row r="109" spans="1:35" ht="15">
      <c r="A109" s="2861" t="s">
        <v>1993</v>
      </c>
      <c r="B109" s="2862"/>
      <c r="C109" s="2288" t="str">
        <f>B102</f>
        <v>总价（元）</v>
      </c>
      <c r="D109" s="1050">
        <f>H124</f>
        <v>0</v>
      </c>
      <c r="E109" s="2192"/>
      <c r="F109" s="2863" t="s">
        <v>1941</v>
      </c>
      <c r="G109" s="2864"/>
      <c r="H109" s="2291" t="str">
        <f>C114</f>
        <v>总额（元）</v>
      </c>
      <c r="I109" s="1049">
        <f>C39</f>
        <v>0</v>
      </c>
    </row>
    <row r="110" spans="1:35" ht="15.75">
      <c r="A110" s="2861"/>
      <c r="B110" s="2862"/>
      <c r="C110" s="2288" t="s">
        <v>1932</v>
      </c>
      <c r="D110" s="1051" t="e">
        <f>I124</f>
        <v>#DIV/0!</v>
      </c>
      <c r="E110" s="2192"/>
      <c r="F110" s="2946"/>
      <c r="G110" s="2947"/>
      <c r="H110" s="2933"/>
      <c r="I110" s="2934"/>
    </row>
    <row r="111" spans="1:35" ht="28.5" customHeight="1">
      <c r="A111" s="2868" t="s">
        <v>1940</v>
      </c>
      <c r="B111" s="2869"/>
      <c r="C111" s="2291" t="str">
        <f>IF(H19="元","总额（元）","总额（万元）")</f>
        <v>总额（元）</v>
      </c>
      <c r="D111" s="1050">
        <f>IF(D37="正常操作",I107+I108+I109,I108+I109)</f>
        <v>0</v>
      </c>
      <c r="E111" s="2192"/>
      <c r="F111" s="2849" t="str">
        <f>IF(项目基本情况!F5="已注销","——","3.房地产抵押价值")</f>
        <v>3.房地产抵押价值</v>
      </c>
      <c r="G111" s="2850"/>
      <c r="H111" s="2328" t="str">
        <f>C115</f>
        <v>总价（元）</v>
      </c>
      <c r="I111" s="1860">
        <f>IF(F111="——","——",I103-I106)</f>
        <v>0</v>
      </c>
    </row>
    <row r="112" spans="1:35" ht="15">
      <c r="A112" s="2863" t="s">
        <v>1938</v>
      </c>
      <c r="B112" s="2864"/>
      <c r="C112" s="2291" t="str">
        <f>C111</f>
        <v>总额（元）</v>
      </c>
      <c r="D112" s="637">
        <f>IF(D37="同一抵押权人同一抵押物续贷",C37&amp;"（未扣减，详见特别提示）",C37)</f>
        <v>0</v>
      </c>
      <c r="E112" s="2192"/>
      <c r="F112" s="2965"/>
      <c r="G112" s="2966"/>
      <c r="H112" s="2288" t="s">
        <v>1932</v>
      </c>
      <c r="I112" s="2294" t="e">
        <f>D116</f>
        <v>#DIV/0!</v>
      </c>
    </row>
    <row r="113" spans="1:26" ht="15.75">
      <c r="A113" s="2863" t="s">
        <v>1939</v>
      </c>
      <c r="B113" s="2864"/>
      <c r="C113" s="2291" t="str">
        <f>C111</f>
        <v>总额（元）</v>
      </c>
      <c r="D113" s="637">
        <f>C38</f>
        <v>0</v>
      </c>
      <c r="E113" s="2192"/>
      <c r="F113" s="2849" t="str">
        <f>IF(项目基本情况!F5="已注销及未注销","4.抵押担保权已注销时的房地产抵押价值",IF(项目基本情况!F5="已注销","3.抵押担保权已注销时的房地产抵押价值","——"))</f>
        <v>——</v>
      </c>
      <c r="G113" s="2850"/>
      <c r="H113" s="2328" t="str">
        <f>C117</f>
        <v>总价（元）</v>
      </c>
      <c r="I113" s="1860" t="str">
        <f>IF(F113="——","——",I103-I108-I109)</f>
        <v>——</v>
      </c>
    </row>
    <row r="114" spans="1:26" ht="15">
      <c r="A114" s="2863" t="s">
        <v>1941</v>
      </c>
      <c r="B114" s="2864"/>
      <c r="C114" s="2291" t="str">
        <f>C111</f>
        <v>总额（元）</v>
      </c>
      <c r="D114" s="637">
        <f>C39</f>
        <v>0</v>
      </c>
      <c r="E114" s="2192"/>
      <c r="F114" s="2965"/>
      <c r="G114" s="2966"/>
      <c r="H114" s="2288" t="s">
        <v>1932</v>
      </c>
      <c r="I114" s="1049" t="str">
        <f>D118</f>
        <v>——</v>
      </c>
    </row>
    <row r="115" spans="1:26" ht="15.75">
      <c r="A115" s="2861" t="str">
        <f>IF(项目基本情况!F5="已注销","——","3.房地产抵押价值")</f>
        <v>3.房地产抵押价值</v>
      </c>
      <c r="B115" s="2862"/>
      <c r="C115" s="2288" t="str">
        <f>B102</f>
        <v>总价（元）</v>
      </c>
      <c r="D115" s="1050">
        <f>IF(A115="——","——",D109-D111)</f>
        <v>0</v>
      </c>
      <c r="E115" s="2192"/>
      <c r="F115" s="2849" t="str">
        <f>IF(项目基本情况!G5="抵押净值",IF(OR(项目基本情况!F5="已注销",项目基本情况!F5="房地产抵押价值"),"4.抵押净值","5.抵押净值"),"——")</f>
        <v>——</v>
      </c>
      <c r="G115" s="2850"/>
      <c r="H115" s="2288" t="str">
        <f>C119</f>
        <v>总价（元）</v>
      </c>
      <c r="I115" s="1860" t="str">
        <f>IF(F115="——","——",N60)</f>
        <v>——</v>
      </c>
    </row>
    <row r="116" spans="1:26" ht="15.75" thickBot="1">
      <c r="A116" s="2861"/>
      <c r="B116" s="2862"/>
      <c r="C116" s="2288" t="s">
        <v>1994</v>
      </c>
      <c r="D116" s="1051" t="e">
        <f>ROUND(IF(D115=D109,D110,IF(H19="元",D115/B124,D115*10000/B124)),0)</f>
        <v>#DIV/0!</v>
      </c>
      <c r="E116" s="2192"/>
      <c r="F116" s="2851"/>
      <c r="G116" s="2852"/>
      <c r="H116" s="2296" t="s">
        <v>1994</v>
      </c>
      <c r="I116" s="1862" t="str">
        <f>D120</f>
        <v>——</v>
      </c>
    </row>
    <row r="117" spans="1:26" ht="15.75">
      <c r="A117" s="2861" t="str">
        <f>IF(项目基本情况!F5="已注销及未注销","4.抵押担保权已注销时的房地产抵押价值",IF(项目基本情况!F5="已注销","3.抵押担保权已注销时的房地产抵押价值","——"))</f>
        <v>——</v>
      </c>
      <c r="B117" s="2862"/>
      <c r="C117" s="2288" t="str">
        <f>B102</f>
        <v>总价（元）</v>
      </c>
      <c r="D117" s="1050" t="str">
        <f>IF(A117="——","——",D109-D113-D114)</f>
        <v>——</v>
      </c>
      <c r="E117" s="2192"/>
      <c r="F117" s="2961"/>
      <c r="G117" s="2961"/>
      <c r="H117" s="2917"/>
      <c r="I117" s="2917"/>
      <c r="N117" s="55"/>
      <c r="O117" s="55"/>
    </row>
    <row r="118" spans="1:26" s="1843" customFormat="1" ht="15">
      <c r="A118" s="2861"/>
      <c r="B118" s="2862"/>
      <c r="C118" s="2288" t="s">
        <v>1994</v>
      </c>
      <c r="D118" s="1051" t="str">
        <f>IF(A117="——","——",IF(H19="元",ROUND(D117/B124,0),ROUND(D117*10000/B124,0)))</f>
        <v>——</v>
      </c>
      <c r="E118" s="2192"/>
      <c r="F118" s="2969" t="str">
        <f>IF(B32="总价","（以上估价结果中楼面单价为总价除以建筑面积得出）","（以上估价结果中总价为楼面单价乘以建筑面积得出）")</f>
        <v>（以上估价结果中总价为楼面单价乘以建筑面积得出）</v>
      </c>
      <c r="G118" s="2969"/>
      <c r="H118" s="2969"/>
      <c r="I118" s="2969"/>
      <c r="J118" s="798"/>
      <c r="K118" s="798"/>
      <c r="L118" s="798"/>
      <c r="M118" s="798"/>
      <c r="N118" s="55"/>
      <c r="O118" s="55"/>
      <c r="P118" s="798"/>
      <c r="Q118" s="798"/>
      <c r="R118" s="798"/>
      <c r="S118" s="798"/>
      <c r="T118" s="798"/>
      <c r="U118" s="798"/>
      <c r="V118" s="798"/>
      <c r="W118" s="798"/>
      <c r="X118" s="798"/>
      <c r="Y118" s="798"/>
      <c r="Z118" s="798"/>
    </row>
    <row r="119" spans="1:26" s="1843" customFormat="1" ht="15">
      <c r="A119" s="2861" t="str">
        <f>IF(项目基本情况!G5="抵押净值",IF(OR(项目基本情况!F5="已注销",项目基本情况!F5="房地产抵押价值"),"4.抵押净值","5.抵押净值"),"——")</f>
        <v>——</v>
      </c>
      <c r="B119" s="2862"/>
      <c r="C119" s="2288" t="str">
        <f>B102</f>
        <v>总价（元）</v>
      </c>
      <c r="D119" s="1050"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3" customFormat="1" ht="15.75" thickBot="1">
      <c r="A120" s="2866"/>
      <c r="B120" s="2867"/>
      <c r="C120" s="2296" t="s">
        <v>1994</v>
      </c>
      <c r="D120" s="1052"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3" customFormat="1" ht="15">
      <c r="A121" s="2918" t="s">
        <v>1995</v>
      </c>
      <c r="B121" s="2919"/>
      <c r="C121" s="2919"/>
      <c r="D121" s="2919"/>
      <c r="E121" s="2919"/>
      <c r="F121" s="2919"/>
      <c r="G121" s="2919"/>
      <c r="H121" s="2919"/>
      <c r="I121" s="2919"/>
      <c r="J121" s="798"/>
      <c r="K121" s="798"/>
      <c r="L121" s="798"/>
      <c r="M121" s="798"/>
      <c r="N121" s="798"/>
      <c r="O121" s="798"/>
      <c r="P121" s="798"/>
      <c r="Q121" s="798"/>
      <c r="R121" s="798"/>
      <c r="S121" s="798"/>
      <c r="T121" s="798"/>
      <c r="U121" s="798"/>
      <c r="V121" s="798"/>
      <c r="W121" s="798"/>
      <c r="X121" s="798"/>
      <c r="Y121" s="798"/>
      <c r="Z121" s="798"/>
    </row>
    <row r="122" spans="1:26" s="1843" customFormat="1" ht="14.25">
      <c r="A122" s="2842" t="s">
        <v>1943</v>
      </c>
      <c r="B122" s="2872" t="s">
        <v>1996</v>
      </c>
      <c r="C122" s="2872" t="s">
        <v>1997</v>
      </c>
      <c r="D122" s="2944" t="s">
        <v>1946</v>
      </c>
      <c r="E122" s="2945"/>
      <c r="F122" s="2843" t="s">
        <v>1998</v>
      </c>
      <c r="G122" s="2843"/>
      <c r="H122" s="2843" t="s">
        <v>1947</v>
      </c>
      <c r="I122" s="2943"/>
      <c r="J122" s="798"/>
      <c r="K122" s="798"/>
      <c r="L122" s="798"/>
      <c r="M122" s="798"/>
      <c r="N122" s="798"/>
      <c r="O122" s="798"/>
      <c r="P122" s="798"/>
      <c r="Q122" s="798"/>
      <c r="R122" s="798"/>
      <c r="S122" s="798"/>
      <c r="T122" s="798"/>
      <c r="U122" s="798"/>
      <c r="V122" s="798"/>
      <c r="W122" s="798"/>
      <c r="X122" s="798"/>
      <c r="Y122" s="798"/>
      <c r="Z122" s="798"/>
    </row>
    <row r="123" spans="1:26" s="1843" customFormat="1" ht="14.25">
      <c r="A123" s="2842"/>
      <c r="B123" s="2873"/>
      <c r="C123" s="2873"/>
      <c r="D123" s="1885" t="s">
        <v>1948</v>
      </c>
      <c r="E123" s="1885" t="s">
        <v>1949</v>
      </c>
      <c r="F123" s="1885" t="s">
        <v>1948</v>
      </c>
      <c r="G123" s="1885" t="s">
        <v>1950</v>
      </c>
      <c r="H123" s="1885" t="s">
        <v>1948</v>
      </c>
      <c r="I123" s="637" t="s">
        <v>1950</v>
      </c>
      <c r="J123" s="798"/>
      <c r="K123" s="798"/>
      <c r="L123" s="798"/>
      <c r="M123" s="798"/>
      <c r="N123" s="798"/>
      <c r="O123" s="798"/>
      <c r="P123" s="798"/>
      <c r="Q123" s="798"/>
      <c r="R123" s="798"/>
      <c r="S123" s="798"/>
      <c r="T123" s="798"/>
      <c r="U123" s="798"/>
      <c r="V123" s="798"/>
      <c r="W123" s="798"/>
      <c r="X123" s="798"/>
      <c r="Y123" s="798"/>
      <c r="Z123" s="798"/>
    </row>
    <row r="124" spans="1:26" s="1843" customFormat="1" ht="14.25">
      <c r="A124" s="2178" t="str">
        <f>项目基本情况!I1</f>
        <v>北京市房地产</v>
      </c>
      <c r="B124" s="1885">
        <f>典型户型修正!B25</f>
        <v>0</v>
      </c>
      <c r="C124" s="400"/>
      <c r="D124" s="1885">
        <f>C35</f>
        <v>0</v>
      </c>
      <c r="E124" s="1885" t="e">
        <f>ROUND(IF(H19="元",D124/B124,D124*10000/B124),0)</f>
        <v>#DIV/0!</v>
      </c>
      <c r="F124" s="1885">
        <f>C36</f>
        <v>0</v>
      </c>
      <c r="G124" s="1885" t="e">
        <f>ROUND(IF(H19="元",F124/B124,F124*10000/B124),0)</f>
        <v>#DIV/0!</v>
      </c>
      <c r="H124" s="1885">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3" customFormat="1" ht="14.25">
      <c r="A125" s="2842" t="s">
        <v>1951</v>
      </c>
      <c r="B125" s="2843"/>
      <c r="C125" s="2843"/>
      <c r="D125" s="2876" t="str">
        <f>IF(H19="元",NUMBERSTRING(INT(D124),2)&amp;"元整",NUMBERSTRING(INT(D124*10000),2)&amp;"元整")</f>
        <v>零元整</v>
      </c>
      <c r="E125" s="2923"/>
      <c r="F125" s="2876" t="str">
        <f>IF(H19="元",NUMBERSTRING(INT(F124),2)&amp;"元整",NUMBERSTRING(INT(F124*10000),2)&amp;"元整")</f>
        <v>零元整</v>
      </c>
      <c r="G125" s="2923"/>
      <c r="H125" s="2876" t="str">
        <f>IF(H19="元",NUMBERSTRING(INT(H124),2)&amp;"元整",NUMBERSTRING(INT(H124*10000),2)&amp;"元整")</f>
        <v>零元整</v>
      </c>
      <c r="I125" s="2877"/>
      <c r="J125" s="798"/>
      <c r="K125" s="798"/>
      <c r="L125" s="798"/>
      <c r="M125" s="798"/>
      <c r="N125" s="798"/>
      <c r="O125" s="798"/>
      <c r="P125" s="798"/>
      <c r="Q125" s="798"/>
      <c r="R125" s="798"/>
      <c r="S125" s="798"/>
      <c r="T125" s="798"/>
      <c r="U125" s="798"/>
      <c r="V125" s="798"/>
      <c r="W125" s="798"/>
      <c r="X125" s="798"/>
      <c r="Y125" s="798"/>
      <c r="Z125" s="798"/>
    </row>
    <row r="126" spans="1:26" s="1843" customFormat="1" ht="15">
      <c r="A126" s="2924" t="str">
        <f>IF(项目基本情况!D5="房地产市场价值","——",MID(A111,3,LEN(A111)-2))</f>
        <v>——</v>
      </c>
      <c r="B126" s="2854"/>
      <c r="C126" s="2925"/>
      <c r="D126" s="2853">
        <f>I106</f>
        <v>0</v>
      </c>
      <c r="E126" s="2854"/>
      <c r="F126" s="2854"/>
      <c r="G126" s="2854"/>
      <c r="H126" s="2854"/>
      <c r="I126" s="2855"/>
      <c r="J126" s="798"/>
      <c r="K126" s="798"/>
      <c r="L126" s="798"/>
      <c r="M126" s="798"/>
      <c r="N126" s="798"/>
      <c r="O126" s="798"/>
      <c r="P126" s="798"/>
      <c r="Q126" s="798"/>
      <c r="R126" s="798"/>
      <c r="S126" s="798"/>
      <c r="T126" s="798"/>
      <c r="U126" s="798"/>
      <c r="V126" s="798"/>
      <c r="W126" s="798"/>
      <c r="X126" s="798"/>
      <c r="Y126" s="798"/>
      <c r="Z126" s="798"/>
    </row>
    <row r="127" spans="1:26" s="1843" customFormat="1" ht="14.25">
      <c r="A127" s="2926" t="s">
        <v>1951</v>
      </c>
      <c r="B127" s="2927"/>
      <c r="C127" s="2928"/>
      <c r="D127" s="2856">
        <f>H110</f>
        <v>0</v>
      </c>
      <c r="E127" s="2857"/>
      <c r="F127" s="2857"/>
      <c r="G127" s="2857"/>
      <c r="H127" s="2857"/>
      <c r="I127" s="2858"/>
      <c r="J127" s="798"/>
      <c r="K127" s="798"/>
      <c r="L127" s="798"/>
      <c r="M127" s="798"/>
      <c r="N127" s="798"/>
      <c r="O127" s="798"/>
      <c r="P127" s="798"/>
      <c r="Q127" s="798"/>
      <c r="R127" s="798"/>
      <c r="S127" s="798"/>
      <c r="T127" s="798"/>
      <c r="U127" s="798"/>
      <c r="V127" s="798"/>
      <c r="W127" s="798"/>
      <c r="X127" s="798"/>
      <c r="Y127" s="798"/>
      <c r="Z127" s="798"/>
    </row>
    <row r="128" spans="1:26" s="1843" customFormat="1" ht="15">
      <c r="A128" s="2859" t="str">
        <f>IF(项目基本情况!D5="房地产市场价值","——",MID(A115,3,LEN(A115)-2))</f>
        <v>——</v>
      </c>
      <c r="B128" s="2860"/>
      <c r="C128" s="2860"/>
      <c r="D128" s="2853">
        <f>I111</f>
        <v>0</v>
      </c>
      <c r="E128" s="2854"/>
      <c r="F128" s="2854"/>
      <c r="G128" s="2854"/>
      <c r="H128" s="2854"/>
      <c r="I128" s="2855"/>
      <c r="J128" s="798"/>
      <c r="K128" s="798"/>
      <c r="L128" s="798"/>
      <c r="M128" s="798"/>
      <c r="N128" s="798"/>
      <c r="O128" s="798"/>
      <c r="P128" s="798"/>
      <c r="Q128" s="798"/>
      <c r="R128" s="798"/>
      <c r="S128" s="798"/>
      <c r="T128" s="798"/>
      <c r="U128" s="798"/>
      <c r="V128" s="798"/>
      <c r="W128" s="798"/>
      <c r="X128" s="798"/>
      <c r="Y128" s="798"/>
      <c r="Z128" s="798"/>
    </row>
    <row r="129" spans="1:26" s="1843" customFormat="1" ht="14.25">
      <c r="A129" s="2842" t="s">
        <v>1951</v>
      </c>
      <c r="B129" s="2843"/>
      <c r="C129" s="2843"/>
      <c r="D129" s="2856" t="e">
        <f>I112</f>
        <v>#DIV/0!</v>
      </c>
      <c r="E129" s="2857"/>
      <c r="F129" s="2857"/>
      <c r="G129" s="2857"/>
      <c r="H129" s="2857"/>
      <c r="I129" s="2858"/>
      <c r="J129" s="798"/>
      <c r="K129" s="798"/>
      <c r="L129" s="798"/>
      <c r="M129" s="798"/>
      <c r="N129" s="798"/>
      <c r="O129" s="798"/>
      <c r="P129" s="798"/>
      <c r="Q129" s="798"/>
      <c r="R129" s="798"/>
      <c r="S129" s="798"/>
      <c r="T129" s="798"/>
      <c r="U129" s="798"/>
      <c r="V129" s="798"/>
      <c r="W129" s="798"/>
      <c r="X129" s="798"/>
      <c r="Y129" s="798"/>
      <c r="Z129" s="798"/>
    </row>
    <row r="130" spans="1:26" s="1843" customFormat="1" ht="15.75" thickBot="1">
      <c r="A130" s="2859" t="str">
        <f>IF(项目基本情况!D5="房地产市场价值","——",MID(A117,3,LEN(A117)-2))</f>
        <v>——</v>
      </c>
      <c r="B130" s="2860"/>
      <c r="C130" s="2860"/>
      <c r="D130" s="2958" t="str">
        <f>I113</f>
        <v>——</v>
      </c>
      <c r="E130" s="2959"/>
      <c r="F130" s="2959"/>
      <c r="G130" s="2959"/>
      <c r="H130" s="2959"/>
      <c r="I130" s="2960"/>
      <c r="J130" s="798"/>
      <c r="K130" s="798"/>
      <c r="L130" s="798"/>
      <c r="M130" s="798"/>
      <c r="N130" s="798"/>
      <c r="O130" s="798"/>
      <c r="P130" s="798"/>
      <c r="Q130" s="798"/>
      <c r="R130" s="798"/>
      <c r="S130" s="798"/>
      <c r="T130" s="798"/>
      <c r="U130" s="798"/>
      <c r="V130" s="798"/>
      <c r="W130" s="798"/>
      <c r="X130" s="798"/>
      <c r="Y130" s="798"/>
      <c r="Z130" s="798"/>
    </row>
    <row r="131" spans="1:26" s="1843" customFormat="1" ht="15.75" thickTop="1" thickBot="1">
      <c r="A131" s="2842" t="s">
        <v>1951</v>
      </c>
      <c r="B131" s="2843"/>
      <c r="C131" s="2844"/>
      <c r="D131" s="2916" t="str">
        <f>I114</f>
        <v>——</v>
      </c>
      <c r="E131" s="2916"/>
      <c r="F131" s="2916"/>
      <c r="G131" s="2916"/>
      <c r="H131" s="2916"/>
      <c r="I131" s="2916"/>
      <c r="J131" s="798"/>
      <c r="K131" s="798"/>
      <c r="L131" s="798"/>
      <c r="M131" s="798"/>
      <c r="N131" s="798"/>
      <c r="O131" s="798"/>
      <c r="P131" s="798"/>
      <c r="Q131" s="798"/>
      <c r="R131" s="798"/>
      <c r="S131" s="798"/>
      <c r="T131" s="798"/>
      <c r="U131" s="798"/>
      <c r="V131" s="798"/>
      <c r="W131" s="798"/>
      <c r="X131" s="798"/>
      <c r="Y131" s="798"/>
      <c r="Z131" s="798"/>
    </row>
    <row r="132" spans="1:26" s="1843" customFormat="1" ht="16.5" thickTop="1" thickBot="1">
      <c r="A132" s="2859" t="str">
        <f>IF(项目基本情况!D5="房地产市场价值","——",MID(F115,3,LEN(F115)-2))</f>
        <v>——</v>
      </c>
      <c r="B132" s="2860"/>
      <c r="C132" s="2853"/>
      <c r="D132" s="2865" t="str">
        <f>I115</f>
        <v>——</v>
      </c>
      <c r="E132" s="2865"/>
      <c r="F132" s="2865"/>
      <c r="G132" s="2865"/>
      <c r="H132" s="2865"/>
      <c r="I132" s="2865"/>
      <c r="J132" s="798"/>
      <c r="K132" s="798"/>
      <c r="L132" s="798"/>
      <c r="M132" s="798"/>
      <c r="N132" s="798"/>
      <c r="O132" s="798"/>
      <c r="P132" s="798"/>
      <c r="Q132" s="798"/>
      <c r="R132" s="798"/>
      <c r="S132" s="798"/>
      <c r="T132" s="798"/>
      <c r="U132" s="798"/>
      <c r="V132" s="798"/>
      <c r="W132" s="798"/>
      <c r="X132" s="798"/>
      <c r="Y132" s="798"/>
      <c r="Z132" s="798"/>
    </row>
    <row r="133" spans="1:26" s="1843" customFormat="1" ht="15.75" thickTop="1" thickBot="1">
      <c r="A133" s="2870" t="s">
        <v>1951</v>
      </c>
      <c r="B133" s="2871"/>
      <c r="C133" s="2871"/>
      <c r="D133" s="2878">
        <f>H117</f>
        <v>0</v>
      </c>
      <c r="E133" s="2879"/>
      <c r="F133" s="2879"/>
      <c r="G133" s="2879"/>
      <c r="H133" s="2879"/>
      <c r="I133" s="2880"/>
      <c r="J133" s="798"/>
      <c r="K133" s="798"/>
      <c r="L133" s="798"/>
      <c r="M133" s="798"/>
      <c r="N133" s="798"/>
      <c r="O133" s="798"/>
      <c r="P133" s="798"/>
      <c r="Q133" s="798"/>
      <c r="R133" s="798"/>
      <c r="S133" s="798"/>
      <c r="T133" s="798"/>
      <c r="U133" s="798"/>
      <c r="V133" s="798"/>
      <c r="W133" s="798"/>
      <c r="X133" s="798"/>
      <c r="Y133" s="798"/>
      <c r="Z133" s="798"/>
    </row>
    <row r="134" spans="1:26" s="1843" customFormat="1" ht="12.75">
      <c r="A134" s="2275" t="str">
        <f>IF(H19="元","单位：平方米、元、元/平方米（币种：人民币）","单位：平方米、万元、元/平方米（币种：人民币）")</f>
        <v>单位：平方米、元、元/平方米（币种：人民币）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3" customFormat="1" ht="13.5" thickBot="1">
      <c r="A135" s="2840" t="str">
        <f>IF(B32="总价","（以上估价结果中楼面单价为总价除以建筑面积得出）","（以上估价结果中总价为楼面单价乘以建筑面积得出）")</f>
        <v>（以上估价结果中总价为楼面单价乘以建筑面积得出）</v>
      </c>
      <c r="B135" s="2840"/>
      <c r="C135" s="2840"/>
      <c r="D135" s="2840"/>
      <c r="E135" s="2840"/>
      <c r="F135" s="2840"/>
      <c r="G135" s="2840"/>
      <c r="H135" s="2840"/>
      <c r="I135" s="2840"/>
      <c r="J135" s="798"/>
      <c r="K135" s="798"/>
      <c r="L135" s="798"/>
      <c r="M135" s="798"/>
      <c r="N135" s="798"/>
      <c r="O135" s="798"/>
      <c r="P135" s="798"/>
      <c r="Q135" s="798"/>
      <c r="R135" s="798"/>
      <c r="S135" s="798"/>
      <c r="T135" s="798"/>
      <c r="U135" s="798"/>
      <c r="V135" s="798"/>
      <c r="W135" s="798"/>
      <c r="X135" s="798"/>
      <c r="Y135" s="798"/>
      <c r="Z135" s="798"/>
    </row>
    <row r="136" spans="1:26" s="1843" customFormat="1" ht="21.75" customHeight="1">
      <c r="A136" s="2297" t="s">
        <v>1952</v>
      </c>
      <c r="B136" s="2298"/>
      <c r="C136" s="2299" t="s">
        <v>1953</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3"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3"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3"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3"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3"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3" customFormat="1" ht="21.75" customHeight="1">
      <c r="A142" s="798"/>
      <c r="B142" s="798"/>
      <c r="C142" s="798"/>
      <c r="D142" s="798"/>
      <c r="E142" s="798"/>
      <c r="F142" s="2310" t="s">
        <v>1954</v>
      </c>
      <c r="G142" s="2311"/>
      <c r="H142" s="2311"/>
      <c r="I142" s="2312" t="s">
        <v>1955</v>
      </c>
      <c r="J142" s="798"/>
      <c r="K142" s="798"/>
      <c r="L142" s="798"/>
      <c r="M142" s="798"/>
      <c r="N142" s="798"/>
      <c r="O142" s="798"/>
      <c r="P142" s="798"/>
      <c r="Q142" s="798"/>
      <c r="R142" s="798"/>
      <c r="S142" s="798"/>
      <c r="T142" s="798"/>
      <c r="U142" s="798"/>
      <c r="V142" s="798"/>
      <c r="W142" s="798"/>
      <c r="X142" s="798"/>
      <c r="Y142" s="798"/>
      <c r="Z142" s="798"/>
    </row>
    <row r="143" spans="1:26" s="1843" customFormat="1" ht="21.75" customHeight="1">
      <c r="A143" s="798"/>
      <c r="B143" s="2313" t="s">
        <v>1956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3"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3" customFormat="1" ht="21.75" customHeight="1">
      <c r="A145" s="798"/>
      <c r="B145" s="2311"/>
      <c r="C145" s="2311"/>
      <c r="D145" s="2311"/>
      <c r="E145" s="2311"/>
      <c r="F145" s="2311"/>
      <c r="G145" s="2311"/>
      <c r="H145" s="2311"/>
      <c r="I145" s="2312" t="s">
        <v>1957</v>
      </c>
      <c r="J145" s="798"/>
      <c r="K145" s="798"/>
      <c r="L145" s="798"/>
      <c r="M145" s="798"/>
      <c r="N145" s="798"/>
      <c r="O145" s="798"/>
      <c r="P145" s="798"/>
      <c r="Q145" s="798"/>
      <c r="R145" s="798"/>
      <c r="S145" s="798"/>
      <c r="T145" s="798"/>
      <c r="U145" s="798"/>
      <c r="V145" s="798"/>
      <c r="W145" s="798"/>
      <c r="X145" s="798"/>
      <c r="Y145" s="798"/>
      <c r="Z145" s="798"/>
    </row>
    <row r="146" spans="1:26" s="1843" customFormat="1" ht="21.75" customHeight="1">
      <c r="A146" s="798"/>
      <c r="B146" s="2313" t="s">
        <v>1958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3"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3" customFormat="1" ht="21.75" customHeight="1">
      <c r="A148" s="798"/>
      <c r="B148" s="2311"/>
      <c r="C148" s="2311"/>
      <c r="D148" s="2311"/>
      <c r="E148" s="2311"/>
      <c r="F148" s="2311"/>
      <c r="G148" s="2311"/>
      <c r="H148" s="2311"/>
      <c r="I148" s="2312" t="s">
        <v>1957</v>
      </c>
      <c r="J148" s="798"/>
      <c r="K148" s="798"/>
      <c r="L148" s="798"/>
      <c r="M148" s="798"/>
      <c r="N148" s="798"/>
      <c r="O148" s="798"/>
      <c r="P148" s="798"/>
      <c r="Q148" s="798"/>
      <c r="R148" s="798"/>
      <c r="S148" s="798"/>
      <c r="T148" s="798"/>
      <c r="U148" s="798"/>
      <c r="V148" s="798"/>
      <c r="W148" s="798"/>
      <c r="X148" s="798"/>
      <c r="Y148" s="798"/>
      <c r="Z148" s="798"/>
    </row>
    <row r="149" spans="1:26" s="1843"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3"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3"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3"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3"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3"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3"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3"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3"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3"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3"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3"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3"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3"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3"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3"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3"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3"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3"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3"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3"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3"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3"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3"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3"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2"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1999</v>
      </c>
      <c r="B1" s="1320"/>
      <c r="C1" s="162"/>
      <c r="D1" s="162"/>
      <c r="E1" s="162"/>
      <c r="F1" s="162"/>
      <c r="G1" s="163"/>
    </row>
    <row r="2" spans="1:7" s="164" customFormat="1" ht="18" customHeight="1">
      <c r="A2" s="165" t="s">
        <v>2000</v>
      </c>
      <c r="B2" s="166">
        <f ca="1">IF(D2="——",IF(C2="元",C52,ROUND(C52/10000,0)),IF(C2="元",C52,ROUND(C52/10000,0))-E2)</f>
        <v>2464977</v>
      </c>
      <c r="C2" s="163" t="str">
        <f>'数据-取费表'!B3</f>
        <v>元</v>
      </c>
      <c r="D2" s="2330" t="s">
        <v>1253</v>
      </c>
      <c r="E2" s="1544" t="e">
        <f ca="1">SUMIF(INDIRECT("'"&amp;G2&amp;"'"&amp;"!A:A"),"承租人权益价值",INDIRECT("'"&amp;G2&amp;"'"&amp;"!c:c"))</f>
        <v>#REF!</v>
      </c>
      <c r="F2" s="2331" t="str">
        <f>C2</f>
        <v>元</v>
      </c>
      <c r="G2" s="1904"/>
    </row>
    <row r="3" spans="1:7" s="164" customFormat="1" ht="18" customHeight="1" thickBot="1">
      <c r="A3" s="167" t="s">
        <v>2001</v>
      </c>
      <c r="B3" s="168">
        <f ca="1">ROUND(C52/IF(B1="仅计算典型户型",'数据-取费表'!E5,'数据-取费表'!B5),0)</f>
        <v>11282</v>
      </c>
      <c r="C3" s="163" t="s">
        <v>2002</v>
      </c>
      <c r="D3" s="163"/>
      <c r="E3" s="163"/>
      <c r="F3" s="163"/>
      <c r="G3" s="163"/>
    </row>
    <row r="4" spans="1:7" s="172" customFormat="1" ht="15.75">
      <c r="A4" s="169" t="s">
        <v>2003</v>
      </c>
      <c r="B4" s="170"/>
      <c r="C4" s="170"/>
      <c r="D4" s="170"/>
      <c r="E4" s="170"/>
      <c r="F4" s="170"/>
      <c r="G4" s="171"/>
    </row>
    <row r="5" spans="1:7" s="175" customFormat="1" ht="13.5" customHeight="1">
      <c r="A5" s="204" t="s">
        <v>2004</v>
      </c>
      <c r="B5" s="173" t="s">
        <v>2005</v>
      </c>
      <c r="C5" s="195">
        <f>C6+C7+C8</f>
        <v>1030504.37</v>
      </c>
      <c r="D5" s="195" t="s">
        <v>2006</v>
      </c>
      <c r="E5" s="1530" t="s">
        <v>2007</v>
      </c>
      <c r="F5" s="1530" t="s">
        <v>2008</v>
      </c>
      <c r="G5" s="174"/>
    </row>
    <row r="6" spans="1:7" s="175" customFormat="1" ht="13.5" customHeight="1">
      <c r="A6" s="176" t="s">
        <v>2009</v>
      </c>
      <c r="B6" s="177" t="s">
        <v>2010</v>
      </c>
      <c r="C6" s="1529">
        <v>1000000</v>
      </c>
      <c r="D6" s="1531"/>
      <c r="E6" s="1532"/>
      <c r="F6" s="1532"/>
      <c r="G6" s="179"/>
    </row>
    <row r="7" spans="1:7" s="175" customFormat="1" ht="13.5" customHeight="1">
      <c r="A7" s="176" t="s">
        <v>2011</v>
      </c>
      <c r="B7" s="177" t="s">
        <v>2012</v>
      </c>
      <c r="C7" s="199">
        <f>ROUND(C6*F7,0)</f>
        <v>30500</v>
      </c>
      <c r="D7" s="199"/>
      <c r="E7" s="1532"/>
      <c r="F7" s="1533">
        <f>'数据-取费表'!E36+'数据-取费表'!E37</f>
        <v>3.0499999999999999E-2</v>
      </c>
      <c r="G7" s="179"/>
    </row>
    <row r="8" spans="1:7" s="180" customFormat="1">
      <c r="A8" s="176" t="s">
        <v>2013</v>
      </c>
      <c r="B8" s="177" t="s">
        <v>2014</v>
      </c>
      <c r="C8" s="199">
        <f>IF(G8="已包含在土地购买价格中","0",'数据-取费表'!E13)</f>
        <v>4.37</v>
      </c>
      <c r="D8" s="1534"/>
      <c r="E8" s="199"/>
      <c r="F8" s="1533"/>
      <c r="G8" s="2332"/>
    </row>
    <row r="9" spans="1:7" s="175" customFormat="1" ht="13.5" customHeight="1">
      <c r="A9" s="1303" t="s">
        <v>953</v>
      </c>
      <c r="B9" s="181" t="s">
        <v>2015</v>
      </c>
      <c r="C9" s="1535">
        <f>ROUND(D9*E9,0)</f>
        <v>0</v>
      </c>
      <c r="D9" s="1536">
        <f>IF('数据-取费表'!B10="住宅",IF(B1="仅计算典型户型",'数据-取费表'!E5,'数据-取费表'!B5),0)</f>
        <v>0</v>
      </c>
      <c r="E9" s="1535">
        <f>'数据-取费表'!E11</f>
        <v>0</v>
      </c>
      <c r="F9" s="1533"/>
      <c r="G9" s="182"/>
    </row>
    <row r="10" spans="1:7" s="175" customFormat="1" ht="13.5" customHeight="1">
      <c r="A10" s="1303" t="s">
        <v>954</v>
      </c>
      <c r="B10" s="181" t="s">
        <v>2016</v>
      </c>
      <c r="C10" s="1535">
        <f>ROUND(D10*E10,0)</f>
        <v>43696</v>
      </c>
      <c r="D10" s="1536">
        <f>IF('数据-取费表'!B10&lt;&gt;"住宅",IF(B1="仅计算典型户型",'数据-取费表'!E5,'数据-取费表'!B5),0)</f>
        <v>218.48</v>
      </c>
      <c r="E10" s="1535">
        <f>'数据-取费表'!E12</f>
        <v>200</v>
      </c>
      <c r="F10" s="1533"/>
      <c r="G10" s="182"/>
    </row>
    <row r="11" spans="1:7" s="175" customFormat="1" ht="13.5" hidden="1" customHeight="1">
      <c r="A11" s="176" t="s">
        <v>4</v>
      </c>
      <c r="B11" s="177" t="s">
        <v>2017</v>
      </c>
      <c r="C11" s="195"/>
      <c r="D11" s="199"/>
      <c r="E11" s="1532"/>
      <c r="F11" s="1532"/>
      <c r="G11" s="179"/>
    </row>
    <row r="12" spans="1:7" s="175" customFormat="1" ht="13.5" hidden="1" customHeight="1">
      <c r="A12" s="176" t="s">
        <v>5</v>
      </c>
      <c r="B12" s="177" t="s">
        <v>2018</v>
      </c>
      <c r="C12" s="195">
        <v>0</v>
      </c>
      <c r="D12" s="199"/>
      <c r="E12" s="1537"/>
      <c r="F12" s="1533">
        <v>3.0499999999999999E-2</v>
      </c>
      <c r="G12" s="179"/>
    </row>
    <row r="13" spans="1:7" s="175" customFormat="1" ht="13.5" hidden="1" customHeight="1">
      <c r="A13" s="176" t="s">
        <v>6</v>
      </c>
      <c r="B13" s="177" t="s">
        <v>2019</v>
      </c>
      <c r="C13" s="195"/>
      <c r="D13" s="199"/>
      <c r="E13" s="1532"/>
      <c r="F13" s="1532"/>
      <c r="G13" s="179"/>
    </row>
    <row r="14" spans="1:7" s="175" customFormat="1" ht="13.5" hidden="1" customHeight="1">
      <c r="A14" s="176" t="s">
        <v>7</v>
      </c>
      <c r="B14" s="177" t="s">
        <v>2014</v>
      </c>
      <c r="C14" s="195"/>
      <c r="D14" s="199"/>
      <c r="E14" s="1532"/>
      <c r="F14" s="1532"/>
      <c r="G14" s="179" t="s">
        <v>2020</v>
      </c>
    </row>
    <row r="15" spans="1:7" s="175" customFormat="1" ht="13.5" hidden="1" customHeight="1">
      <c r="A15" s="176" t="s">
        <v>8</v>
      </c>
      <c r="B15" s="177" t="s">
        <v>2021</v>
      </c>
      <c r="C15" s="199"/>
      <c r="D15" s="199"/>
      <c r="E15" s="1532"/>
      <c r="F15" s="1532"/>
      <c r="G15" s="179" t="s">
        <v>2022</v>
      </c>
    </row>
    <row r="16" spans="1:7" s="175" customFormat="1" ht="13.5" hidden="1" customHeight="1">
      <c r="A16" s="176" t="s">
        <v>9</v>
      </c>
      <c r="B16" s="177" t="s">
        <v>2014</v>
      </c>
      <c r="C16" s="199"/>
      <c r="D16" s="199"/>
      <c r="E16" s="1532"/>
      <c r="F16" s="1532"/>
      <c r="G16" s="179"/>
    </row>
    <row r="17" spans="1:7" s="175" customFormat="1" ht="13.5" hidden="1" customHeight="1">
      <c r="A17" s="176" t="s">
        <v>10</v>
      </c>
      <c r="B17" s="177" t="s">
        <v>2023</v>
      </c>
      <c r="C17" s="1538"/>
      <c r="D17" s="1538"/>
      <c r="E17" s="1538"/>
      <c r="F17" s="1538"/>
      <c r="G17" s="179" t="s">
        <v>2022</v>
      </c>
    </row>
    <row r="18" spans="1:7" s="175" customFormat="1" ht="13.5" hidden="1" customHeight="1">
      <c r="A18" s="176" t="s">
        <v>11</v>
      </c>
      <c r="B18" s="177" t="s">
        <v>2024</v>
      </c>
      <c r="C18" s="199">
        <v>0</v>
      </c>
      <c r="D18" s="199"/>
      <c r="E18" s="1532"/>
      <c r="F18" s="1533">
        <v>3.0499999999999999E-2</v>
      </c>
      <c r="G18" s="179" t="s">
        <v>2025</v>
      </c>
    </row>
    <row r="19" spans="1:7" s="180" customFormat="1" ht="13.5" customHeight="1">
      <c r="A19" s="204" t="s">
        <v>2026</v>
      </c>
      <c r="B19" s="173" t="s">
        <v>2027</v>
      </c>
      <c r="C19" s="195">
        <f>IF(G19="已包含在土地取得成本中","0",ROUND(D19*E19,0))</f>
        <v>43696</v>
      </c>
      <c r="D19" s="1539">
        <f>IF(B1="仅计算典型户型",'数据-取费表'!E5,'数据-取费表'!B5)</f>
        <v>218.48</v>
      </c>
      <c r="E19" s="195">
        <f>'数据-取费表'!E15</f>
        <v>200</v>
      </c>
      <c r="F19" s="196"/>
      <c r="G19" s="2332"/>
    </row>
    <row r="20" spans="1:7" s="175" customFormat="1" ht="13.5" customHeight="1">
      <c r="A20" s="204" t="s">
        <v>2028</v>
      </c>
      <c r="B20" s="173" t="s">
        <v>2029</v>
      </c>
      <c r="C20" s="183">
        <f>ROUND((C5+C19)*F20,0)</f>
        <v>21484</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f ca="1">ROUND(SUM(C23:C25),0)</f>
        <v>105493</v>
      </c>
      <c r="D22" s="185">
        <f ca="1">C26</f>
        <v>1E-3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53">
        <f ca="1">ROUND(IF('数据-取费表'!B23&lt;=1,C5*F22*'数据-取费表'!B24,C5*(POWER((1+F22),'数据-取费表'!B24)-1)),0)</f>
        <v>100223</v>
      </c>
      <c r="D23" s="188"/>
      <c r="E23" s="188"/>
      <c r="F23" s="189"/>
      <c r="G23" s="190" t="s">
        <v>2039</v>
      </c>
    </row>
    <row r="24" spans="1:7" s="175" customFormat="1" ht="13.5" customHeight="1">
      <c r="A24" s="176" t="s">
        <v>2011</v>
      </c>
      <c r="B24" s="177" t="s">
        <v>2040</v>
      </c>
      <c r="C24" s="1453">
        <f ca="1">ROUND(IF('数据-取费表'!B23&lt;=1,C19*F22*('数据-取费表'!B20/2+'数据-取费表'!B22),C19*(POWER((1+F22),('数据-取费表'!B20/2+'数据-取费表'!B22))-1)),0)</f>
        <v>4250</v>
      </c>
      <c r="D24" s="188"/>
      <c r="E24" s="188"/>
      <c r="F24" s="189"/>
      <c r="G24" s="190" t="s">
        <v>2041</v>
      </c>
    </row>
    <row r="25" spans="1:7" s="175" customFormat="1" ht="24">
      <c r="A25" s="176" t="s">
        <v>2013</v>
      </c>
      <c r="B25" s="177" t="s">
        <v>2042</v>
      </c>
      <c r="C25" s="1453">
        <f ca="1">ROUND(IF('数据-取费表'!B23&lt;=1,C20*F22*'数据-取费表'!B24/2,C20*(POWER((1+F22),'数据-取费表'!B24/2)-1)),0)</f>
        <v>1020</v>
      </c>
      <c r="D25" s="188"/>
      <c r="E25" s="191"/>
      <c r="F25" s="189"/>
      <c r="G25" s="192" t="s">
        <v>2043</v>
      </c>
    </row>
    <row r="26" spans="1:7" s="175" customFormat="1">
      <c r="A26" s="176" t="s">
        <v>2044</v>
      </c>
      <c r="B26" s="177" t="s">
        <v>2045</v>
      </c>
      <c r="C26" s="188">
        <f ca="1">ROUND(IF('数据-取费表'!B23&lt;=1,F21*F22*'数据-取费表'!B24/2,F21*(POWER((1+F22),'数据-取费表'!B24/2)-1)),4)</f>
        <v>1E-3</v>
      </c>
      <c r="D26" s="188"/>
      <c r="E26" s="191"/>
      <c r="F26" s="189"/>
      <c r="G26" s="193"/>
    </row>
    <row r="27" spans="1:7" s="175" customFormat="1" ht="25.5">
      <c r="A27" s="1304" t="s">
        <v>2046</v>
      </c>
      <c r="B27" s="194" t="s">
        <v>2047</v>
      </c>
      <c r="C27" s="195">
        <f>C28</f>
        <v>219137</v>
      </c>
      <c r="D27" s="185">
        <f>C29</f>
        <v>4.0000000000000001E-3</v>
      </c>
      <c r="E27" s="186" t="s">
        <v>2033</v>
      </c>
      <c r="F27" s="196">
        <f>'数据-取费表'!E28</f>
        <v>0.2</v>
      </c>
      <c r="G27" s="197" t="s">
        <v>2048</v>
      </c>
    </row>
    <row r="28" spans="1:7" s="175" customFormat="1" ht="13.5" customHeight="1">
      <c r="A28" s="176" t="s">
        <v>2037</v>
      </c>
      <c r="B28" s="198" t="s">
        <v>2049</v>
      </c>
      <c r="C28" s="199">
        <f>ROUND((C5+C19+C20)*F27*'数据-取费表'!B22/'数据-取费表'!B21,0)</f>
        <v>219137</v>
      </c>
      <c r="D28" s="185"/>
      <c r="E28" s="186"/>
      <c r="F28" s="196"/>
      <c r="G28" s="197"/>
    </row>
    <row r="29" spans="1:7" s="175" customFormat="1" ht="13.5" customHeight="1">
      <c r="A29" s="176" t="s">
        <v>2011</v>
      </c>
      <c r="B29" s="198" t="s">
        <v>2050</v>
      </c>
      <c r="C29" s="188">
        <f>ROUND(C21*F27*'数据-取费表'!B22/'数据-取费表'!B21,4)</f>
        <v>4.0000000000000001E-3</v>
      </c>
      <c r="D29" s="185"/>
      <c r="E29" s="186"/>
      <c r="F29" s="196"/>
      <c r="G29" s="197"/>
    </row>
    <row r="30" spans="1:7" s="175" customFormat="1" ht="13.5" customHeight="1">
      <c r="A30" s="1304"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f ca="1">ROUND((C5+C19+C20+C22+C27)/(1-C21-D22-D27-C30),0)</f>
        <v>1540973</v>
      </c>
      <c r="D31" s="1539"/>
      <c r="E31" s="195"/>
      <c r="F31" s="1540"/>
      <c r="G31" s="184" t="s">
        <v>2055</v>
      </c>
    </row>
    <row r="32" spans="1:7" s="172" customFormat="1" ht="15.75">
      <c r="A32" s="201" t="s">
        <v>2056</v>
      </c>
      <c r="B32" s="202"/>
      <c r="C32" s="1541"/>
      <c r="D32" s="1541"/>
      <c r="E32" s="1541"/>
      <c r="F32" s="1541"/>
      <c r="G32" s="203"/>
    </row>
    <row r="33" spans="1:7" s="175" customFormat="1" ht="13.5" customHeight="1">
      <c r="A33" s="204" t="s">
        <v>2057</v>
      </c>
      <c r="B33" s="173" t="s">
        <v>2058</v>
      </c>
      <c r="C33" s="205">
        <f>SUM(C34:C38)</f>
        <v>858080</v>
      </c>
      <c r="D33" s="183"/>
      <c r="E33" s="1530"/>
      <c r="F33" s="191"/>
      <c r="G33" s="184"/>
    </row>
    <row r="34" spans="1:7" s="206" customFormat="1" ht="13.5" customHeight="1">
      <c r="A34" s="176" t="s">
        <v>2037</v>
      </c>
      <c r="B34" s="177" t="s">
        <v>2059</v>
      </c>
      <c r="C34" s="199">
        <f>IF(B1="仅计算典型户型",'数据-取费表'!F18,'数据-取费表'!E18)</f>
        <v>764680</v>
      </c>
      <c r="D34" s="1531"/>
      <c r="E34" s="199"/>
      <c r="F34" s="1542" t="str">
        <f>IF('数据-取费表'!B25=0,"",'数据-取费表'!E20)</f>
        <v/>
      </c>
      <c r="G34" s="179"/>
    </row>
    <row r="35" spans="1:7" ht="13.5" customHeight="1">
      <c r="A35" s="176" t="s">
        <v>2011</v>
      </c>
      <c r="B35" s="177" t="s">
        <v>2060</v>
      </c>
      <c r="C35" s="199">
        <f>ROUND(C34*F35,0)</f>
        <v>38234</v>
      </c>
      <c r="D35" s="199"/>
      <c r="E35" s="199"/>
      <c r="F35" s="1543">
        <f>'数据-取费表'!E21</f>
        <v>0.05</v>
      </c>
      <c r="G35" s="179" t="s">
        <v>2061</v>
      </c>
    </row>
    <row r="36" spans="1:7" ht="24">
      <c r="A36" s="176" t="s">
        <v>2013</v>
      </c>
      <c r="B36" s="177" t="s">
        <v>2062</v>
      </c>
      <c r="C36" s="199">
        <f>ROUND(IF('数据-取费表'!B10="住宅",C34*F36,0),0)</f>
        <v>0</v>
      </c>
      <c r="D36" s="199"/>
      <c r="E36" s="199"/>
      <c r="F36" s="1543">
        <f>'数据-取费表'!E22</f>
        <v>0</v>
      </c>
      <c r="G36" s="207" t="s">
        <v>2063</v>
      </c>
    </row>
    <row r="37" spans="1:7" s="206" customFormat="1" ht="13.5" customHeight="1">
      <c r="A37" s="176" t="s">
        <v>2044</v>
      </c>
      <c r="B37" s="177" t="s">
        <v>2064</v>
      </c>
      <c r="C37" s="199">
        <f>ROUND(E37*D37,0)</f>
        <v>43696</v>
      </c>
      <c r="D37" s="1531">
        <f>IF(B1="仅计算典型户型",'数据-取费表'!E5,'数据-取费表'!B5)</f>
        <v>218.48</v>
      </c>
      <c r="E37" s="199">
        <f>'数据-取费表'!E23</f>
        <v>200</v>
      </c>
      <c r="F37" s="1543"/>
      <c r="G37" s="208" t="s">
        <v>2065</v>
      </c>
    </row>
    <row r="38" spans="1:7" ht="13.5" customHeight="1">
      <c r="A38" s="176" t="s">
        <v>2066</v>
      </c>
      <c r="B38" s="177" t="s">
        <v>2067</v>
      </c>
      <c r="C38" s="199">
        <f>ROUND(C34*F38,0)</f>
        <v>11470</v>
      </c>
      <c r="D38" s="199"/>
      <c r="E38" s="199"/>
      <c r="F38" s="1543">
        <f>'数据-取费表'!E24</f>
        <v>1.4999999999999999E-2</v>
      </c>
      <c r="G38" s="179" t="s">
        <v>2061</v>
      </c>
    </row>
    <row r="39" spans="1:7" s="175" customFormat="1" ht="13.5" customHeight="1">
      <c r="A39" s="204" t="s">
        <v>2026</v>
      </c>
      <c r="B39" s="173" t="s">
        <v>2029</v>
      </c>
      <c r="C39" s="183">
        <f>ROUND(C33*F20,0)</f>
        <v>17162</v>
      </c>
      <c r="D39" s="183"/>
      <c r="E39" s="183"/>
      <c r="F39" s="187"/>
      <c r="G39" s="184" t="s">
        <v>2068</v>
      </c>
    </row>
    <row r="40" spans="1:7" s="175" customFormat="1" ht="13.5" customHeight="1">
      <c r="A40" s="204" t="s">
        <v>2028</v>
      </c>
      <c r="B40" s="173" t="s">
        <v>2032</v>
      </c>
      <c r="C40" s="1817">
        <f>F21</f>
        <v>0.02</v>
      </c>
      <c r="D40" s="186" t="s">
        <v>2069</v>
      </c>
      <c r="E40" s="183"/>
      <c r="F40" s="187"/>
      <c r="G40" s="184" t="s">
        <v>2070</v>
      </c>
    </row>
    <row r="41" spans="1:7" s="175" customFormat="1" ht="13.5" customHeight="1">
      <c r="A41" s="204" t="s">
        <v>2031</v>
      </c>
      <c r="B41" s="173" t="s">
        <v>2036</v>
      </c>
      <c r="C41" s="183">
        <f ca="1">ROUND(SUM(C42:C43),0)</f>
        <v>41574</v>
      </c>
      <c r="D41" s="185">
        <f ca="1">C44</f>
        <v>1E-3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40759</v>
      </c>
      <c r="D42" s="188"/>
      <c r="E42" s="188"/>
      <c r="F42" s="189"/>
      <c r="G42" s="2979" t="s">
        <v>2071</v>
      </c>
    </row>
    <row r="43" spans="1:7" ht="13.5" customHeight="1">
      <c r="A43" s="176" t="s">
        <v>2011</v>
      </c>
      <c r="B43" s="177" t="s">
        <v>2040</v>
      </c>
      <c r="C43" s="188">
        <f ca="1">ROUND(IF('数据-取费表'!B23&lt;=1,C39*F22*'数据-取费表'!B22/2,C39*(POWER((1+F22),'数据-取费表'!B22/2)-1)),0)</f>
        <v>815</v>
      </c>
      <c r="D43" s="188"/>
      <c r="E43" s="188"/>
      <c r="F43" s="189"/>
      <c r="G43" s="2980"/>
    </row>
    <row r="44" spans="1:7" ht="13.5" customHeight="1">
      <c r="A44" s="176" t="s">
        <v>2013</v>
      </c>
      <c r="B44" s="177" t="s">
        <v>2042</v>
      </c>
      <c r="C44" s="188">
        <f ca="1">ROUND(IF('数据-取费表'!B23&lt;=1,C40*F22*'数据-取费表'!B22/2,C40*(POWER((1+F22),'数据-取费表'!B22/2)-1)),4)</f>
        <v>1E-3</v>
      </c>
      <c r="D44" s="188"/>
      <c r="E44" s="188"/>
      <c r="F44" s="189"/>
      <c r="G44" s="2981"/>
    </row>
    <row r="45" spans="1:7" s="175" customFormat="1" ht="13.5" customHeight="1">
      <c r="A45" s="204" t="s">
        <v>2035</v>
      </c>
      <c r="B45" s="194" t="s">
        <v>2047</v>
      </c>
      <c r="C45" s="195">
        <f>C46</f>
        <v>175048</v>
      </c>
      <c r="D45" s="185">
        <f>C47</f>
        <v>4.0000000000000001E-3</v>
      </c>
      <c r="E45" s="186" t="s">
        <v>2069</v>
      </c>
      <c r="F45" s="196"/>
      <c r="G45" s="197" t="s">
        <v>2072</v>
      </c>
    </row>
    <row r="46" spans="1:7" s="175" customFormat="1" ht="13.5" customHeight="1">
      <c r="A46" s="176" t="s">
        <v>2037</v>
      </c>
      <c r="B46" s="198" t="s">
        <v>2073</v>
      </c>
      <c r="C46" s="199">
        <f>ROUND((C33+C39)*F27,0)</f>
        <v>175048</v>
      </c>
      <c r="D46" s="209"/>
      <c r="E46" s="186"/>
      <c r="F46" s="196"/>
      <c r="G46" s="197"/>
    </row>
    <row r="47" spans="1:7" s="175" customFormat="1" ht="13.5" customHeight="1">
      <c r="A47" s="176" t="s">
        <v>2011</v>
      </c>
      <c r="B47" s="198" t="s">
        <v>2074</v>
      </c>
      <c r="C47" s="188">
        <f>ROUND(C40*F27,4)</f>
        <v>4.0000000000000001E-3</v>
      </c>
      <c r="D47" s="209"/>
      <c r="E47" s="186"/>
      <c r="F47" s="196"/>
      <c r="G47" s="197"/>
    </row>
    <row r="48" spans="1:7" s="175" customFormat="1" ht="13.5" customHeight="1">
      <c r="A48" s="1304" t="s">
        <v>2046</v>
      </c>
      <c r="B48" s="173" t="s">
        <v>2075</v>
      </c>
      <c r="C48" s="1817">
        <f>ROUND(F30/(1+'数据-取费表'!F30),4)</f>
        <v>5.33E-2</v>
      </c>
      <c r="D48" s="186" t="s">
        <v>2069</v>
      </c>
      <c r="E48" s="183"/>
      <c r="F48" s="187"/>
      <c r="G48" s="184" t="s">
        <v>2076</v>
      </c>
    </row>
    <row r="49" spans="1:7" ht="16.5" customHeight="1">
      <c r="A49" s="1304" t="s">
        <v>2077</v>
      </c>
      <c r="B49" s="173" t="s">
        <v>2078</v>
      </c>
      <c r="C49" s="183">
        <f ca="1">ROUND((C33+C39+C41+C45)/(1-C40-D41-D45-C48),0)</f>
        <v>1184620</v>
      </c>
      <c r="D49" s="183"/>
      <c r="E49" s="183"/>
      <c r="F49" s="210"/>
      <c r="G49" s="184" t="s">
        <v>2079</v>
      </c>
    </row>
    <row r="50" spans="1:7" s="206" customFormat="1" ht="24">
      <c r="A50" s="1304" t="s">
        <v>2080</v>
      </c>
      <c r="B50" s="173" t="s">
        <v>2081</v>
      </c>
      <c r="C50" s="183"/>
      <c r="D50" s="183"/>
      <c r="E50" s="183"/>
      <c r="F50" s="210">
        <f>IF('数据-取费表'!B25=0,'数据-取费表'!E20,1)</f>
        <v>0.78</v>
      </c>
      <c r="G50" s="197" t="s">
        <v>2082</v>
      </c>
    </row>
    <row r="51" spans="1:7" ht="16.5" customHeight="1">
      <c r="A51" s="1304" t="s">
        <v>2083</v>
      </c>
      <c r="B51" s="173" t="s">
        <v>2084</v>
      </c>
      <c r="C51" s="183">
        <f ca="1">ROUND(C49*F50,0)</f>
        <v>924004</v>
      </c>
      <c r="D51" s="183"/>
      <c r="E51" s="183"/>
      <c r="F51" s="210"/>
      <c r="G51" s="184" t="s">
        <v>2085</v>
      </c>
    </row>
    <row r="52" spans="1:7" s="172" customFormat="1" ht="16.5" thickBot="1">
      <c r="A52" s="211" t="s">
        <v>2086</v>
      </c>
      <c r="B52" s="212"/>
      <c r="C52" s="213">
        <f ca="1">C31+C51</f>
        <v>2464977</v>
      </c>
      <c r="D52" s="212"/>
      <c r="E52" s="212"/>
      <c r="F52" s="212"/>
      <c r="G52" s="214"/>
    </row>
    <row r="55" spans="1:7" ht="15">
      <c r="B55" s="216" t="s">
        <v>2087</v>
      </c>
      <c r="C55" s="217"/>
    </row>
    <row r="56" spans="1:7">
      <c r="B56" s="219" t="s">
        <v>2088</v>
      </c>
      <c r="C56" s="220">
        <f ca="1">ROUND(C51/C52,3)</f>
        <v>0.375</v>
      </c>
    </row>
    <row r="57" spans="1:7">
      <c r="B57" s="219" t="s">
        <v>2089</v>
      </c>
      <c r="C57" s="221">
        <f ca="1">1-C56</f>
        <v>0.625</v>
      </c>
    </row>
  </sheetData>
  <sheetProtection password="C66D" sheet="1" objects="1" scenarios="1" formatCells="0" formatColumns="0" formatRows="0"/>
  <mergeCells count="1">
    <mergeCell ref="G42:G44"/>
  </mergeCells>
  <phoneticPr fontId="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0" t="s">
        <v>1302</v>
      </c>
      <c r="D1" s="1450"/>
      <c r="E1" s="1210"/>
      <c r="F1" s="1210"/>
      <c r="G1" s="1210"/>
      <c r="H1" s="1210"/>
      <c r="I1" s="1210"/>
      <c r="J1" s="1210"/>
      <c r="K1" s="1210"/>
    </row>
    <row r="2" spans="1:33" s="223" customFormat="1" ht="18" customHeight="1">
      <c r="A2" s="165" t="s">
        <v>1303</v>
      </c>
      <c r="B2" s="168">
        <f ca="1">IF(C2="元",C32,ROUND(C32/10000,0))</f>
        <v>4</v>
      </c>
      <c r="C2" s="1967" t="str">
        <f>'数据-取费表'!B3</f>
        <v>元</v>
      </c>
      <c r="D2" s="1210"/>
      <c r="E2" s="1210"/>
      <c r="F2" s="1210"/>
      <c r="G2" s="1210"/>
      <c r="H2" s="1210"/>
      <c r="I2" s="1210"/>
      <c r="J2" s="1210"/>
      <c r="K2" s="1210"/>
    </row>
    <row r="3" spans="1:33" s="223" customFormat="1" ht="18" customHeight="1" thickBot="1">
      <c r="A3" s="167" t="s">
        <v>1304</v>
      </c>
      <c r="B3" s="168" t="e">
        <f ca="1">ROUND(C32/IF(C1="仅计算典型户型",'数据-取费表'!E5,'数据-取费表'!B5),0)</f>
        <v>#DIV/0!</v>
      </c>
      <c r="C3" s="1967" t="s">
        <v>1305</v>
      </c>
      <c r="D3" s="1210"/>
      <c r="E3" s="1210"/>
      <c r="F3" s="1210"/>
      <c r="G3" s="1210"/>
      <c r="H3" s="1210"/>
      <c r="I3" s="1210"/>
      <c r="J3" s="1210"/>
      <c r="K3" s="1210"/>
    </row>
    <row r="4" spans="1:33" s="227" customFormat="1" ht="16.5" customHeight="1">
      <c r="A4" s="224" t="s">
        <v>1306</v>
      </c>
      <c r="B4" s="225"/>
      <c r="C4" s="1449">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1309</v>
      </c>
      <c r="B6" s="231" t="s">
        <v>1310</v>
      </c>
      <c r="C6" s="232">
        <v>35000</v>
      </c>
      <c r="D6" s="1446"/>
      <c r="E6" s="1446"/>
      <c r="F6" s="1446"/>
      <c r="G6" s="1446"/>
      <c r="H6" s="1446"/>
      <c r="I6" s="1446"/>
      <c r="J6" s="1446"/>
      <c r="K6" s="1447"/>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8" t="s">
        <v>1313</v>
      </c>
      <c r="B8" s="231" t="s">
        <v>1314</v>
      </c>
      <c r="C8" s="728">
        <f>C6*C7</f>
        <v>0</v>
      </c>
      <c r="D8" s="1448"/>
      <c r="E8" s="1448"/>
      <c r="F8" s="1446"/>
      <c r="G8" s="1446"/>
      <c r="H8" s="1446"/>
      <c r="I8" s="1446"/>
      <c r="J8" s="1446"/>
      <c r="K8" s="1447"/>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1220</v>
      </c>
      <c r="B11" s="246" t="s">
        <v>1320</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1221</v>
      </c>
      <c r="B12" s="246" t="s">
        <v>1321</v>
      </c>
      <c r="C12" s="14">
        <f>ROUND(C11*F12,0)</f>
        <v>0</v>
      </c>
      <c r="D12" s="248"/>
      <c r="E12" s="70"/>
      <c r="F12" s="251">
        <f>'数据-取费表'!E21</f>
        <v>0.05</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1222</v>
      </c>
      <c r="B13" s="246" t="s">
        <v>1323</v>
      </c>
      <c r="C13" s="14">
        <f>ROUND(IF('数据-取费表'!B10="住宅",C11*F13,0),0)</f>
        <v>0</v>
      </c>
      <c r="D13" s="248"/>
      <c r="E13" s="70"/>
      <c r="F13" s="251">
        <f>'数据-取费表'!E22</f>
        <v>0</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1334</v>
      </c>
      <c r="B18" s="246" t="s">
        <v>1335</v>
      </c>
      <c r="C18" s="14">
        <f>C19+C20-'数据-取费表'!E13</f>
        <v>-4.37</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956</v>
      </c>
      <c r="B20" s="246" t="s">
        <v>1338</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1309</v>
      </c>
      <c r="B21" s="261" t="s">
        <v>1339</v>
      </c>
      <c r="C21" s="262">
        <f>C16+C17+C18</f>
        <v>-4.37</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5"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5"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5"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6"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5" t="s">
        <v>1355</v>
      </c>
      <c r="B28" s="282" t="s">
        <v>1356</v>
      </c>
      <c r="C28" s="283">
        <f>C30</f>
        <v>-1</v>
      </c>
      <c r="D28" s="267">
        <f>C29</f>
        <v>0.20580000000000001</v>
      </c>
      <c r="E28" s="273" t="s">
        <v>12</v>
      </c>
      <c r="F28" s="284">
        <f>'数据-取费表'!E28</f>
        <v>0.2</v>
      </c>
      <c r="G28" s="269"/>
      <c r="H28" s="270"/>
      <c r="I28" s="270"/>
      <c r="J28" s="270"/>
      <c r="K28" s="271"/>
    </row>
    <row r="29" spans="1:33" s="288" customFormat="1" ht="13.5" customHeight="1">
      <c r="A29" s="1306" t="s">
        <v>1357</v>
      </c>
      <c r="B29" s="286" t="s">
        <v>1358</v>
      </c>
      <c r="C29" s="277">
        <f>ROUND((1+C24)*F28,4)</f>
        <v>0.20580000000000001</v>
      </c>
      <c r="D29" s="277"/>
      <c r="E29" s="278"/>
      <c r="F29" s="287"/>
      <c r="G29" s="231" t="s">
        <v>1359</v>
      </c>
      <c r="H29" s="254"/>
      <c r="I29" s="254"/>
      <c r="J29" s="254"/>
      <c r="K29" s="255"/>
    </row>
    <row r="30" spans="1:33" s="288" customFormat="1" ht="13.5" customHeight="1">
      <c r="A30" s="1306" t="s">
        <v>1360</v>
      </c>
      <c r="B30" s="286" t="s">
        <v>1361</v>
      </c>
      <c r="C30" s="289">
        <f>ROUND((C21+C22+C23)*F28,0)</f>
        <v>-1</v>
      </c>
      <c r="D30" s="277"/>
      <c r="E30" s="290"/>
      <c r="F30" s="287"/>
      <c r="G30" s="231"/>
      <c r="H30" s="254"/>
      <c r="I30" s="254"/>
      <c r="J30" s="254"/>
      <c r="K30" s="255"/>
    </row>
    <row r="31" spans="1:33" s="266" customFormat="1" ht="13.5" customHeight="1" thickBot="1">
      <c r="A31" s="1969"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4</v>
      </c>
      <c r="D32" s="298"/>
      <c r="E32" s="298"/>
      <c r="F32" s="298"/>
      <c r="G32" s="300" t="s">
        <v>1366</v>
      </c>
      <c r="H32" s="298"/>
      <c r="I32" s="298"/>
      <c r="J32" s="298"/>
      <c r="K32" s="301"/>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8" zoomScale="90" zoomScaleNormal="90" workbookViewId="0">
      <selection activeCell="L53" sqref="L53"/>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2330</v>
      </c>
      <c r="B1" s="1732" t="s">
        <v>2472</v>
      </c>
      <c r="C1" s="1724" t="s">
        <v>2828</v>
      </c>
      <c r="D1" s="1737"/>
      <c r="E1" s="2380" t="s">
        <v>2834</v>
      </c>
      <c r="F1" s="1738" t="s">
        <v>2332</v>
      </c>
      <c r="G1" s="1737"/>
      <c r="H1" s="1737"/>
      <c r="I1" s="1737"/>
      <c r="J1" s="1737"/>
      <c r="K1" s="1739"/>
      <c r="L1" s="1731"/>
      <c r="M1" s="1732"/>
      <c r="N1" s="1732"/>
      <c r="O1" s="1732"/>
      <c r="P1" s="1732"/>
      <c r="Q1" s="1732"/>
      <c r="R1" s="1732"/>
      <c r="S1" s="1732"/>
      <c r="T1" s="1732"/>
      <c r="U1" s="1732"/>
      <c r="V1" s="1732"/>
      <c r="W1" s="1732"/>
      <c r="X1" s="1732"/>
      <c r="Y1" s="1732"/>
      <c r="Z1" s="1732"/>
      <c r="AA1" s="1732"/>
      <c r="AB1" s="2461"/>
      <c r="AC1" s="1734"/>
    </row>
    <row r="2" spans="1:29" s="377" customFormat="1" ht="28.5" customHeight="1" thickTop="1">
      <c r="A2" s="1725" t="s">
        <v>2000</v>
      </c>
      <c r="B2" s="1723">
        <f>IF(D2="——",IF(C2="元",ROUND(C50*D3,0),ROUND(C50*D3/10000,0)),IF(C2="元",ROUND(C50*D3,0),ROUND(C50*D3/10000,0))-E2)</f>
        <v>8083978</v>
      </c>
      <c r="C2" s="163" t="str">
        <f>'数据-取费表'!B3</f>
        <v>元</v>
      </c>
      <c r="D2" s="2382" t="s">
        <v>1253</v>
      </c>
      <c r="E2" s="1840" t="e">
        <f ca="1">SUMIF(INDIRECT("'"&amp;G2&amp;"'"&amp;"!A:A"),"承租人权益价值",INDIRECT("'"&amp;G2&amp;"'"&amp;"!c:c"))</f>
        <v>#REF!</v>
      </c>
      <c r="F2" s="2383" t="str">
        <f>C2</f>
        <v>元</v>
      </c>
      <c r="G2" s="2384"/>
      <c r="H2" s="981"/>
      <c r="I2" s="981"/>
      <c r="J2" s="981"/>
      <c r="K2" s="981"/>
      <c r="L2" s="1240"/>
      <c r="M2" s="1241"/>
      <c r="N2" s="1241"/>
      <c r="O2" s="1241"/>
      <c r="P2" s="747"/>
      <c r="Q2" s="747"/>
      <c r="R2" s="747"/>
      <c r="S2" s="747"/>
      <c r="T2" s="747"/>
      <c r="U2" s="747"/>
      <c r="V2" s="747"/>
      <c r="W2" s="747"/>
      <c r="X2" s="747"/>
      <c r="Y2" s="747"/>
      <c r="Z2" s="747"/>
      <c r="AA2" s="747"/>
      <c r="AB2" s="2462"/>
      <c r="AC2" s="761"/>
    </row>
    <row r="3" spans="1:29" s="377" customFormat="1" ht="28.5" customHeight="1" thickBot="1">
      <c r="A3" s="167" t="s">
        <v>2001</v>
      </c>
      <c r="B3" s="593">
        <f>ROUND(IF(D2="——",C50,IF(C2="万元",B2*10000/D3,B2/D3)),0)</f>
        <v>37001</v>
      </c>
      <c r="C3" s="379" t="s">
        <v>2333</v>
      </c>
      <c r="D3" s="378">
        <f>IF(C1="仅计算典型户型",'数据-取费表'!E5,'数据-取费表'!B5)</f>
        <v>218.48</v>
      </c>
      <c r="E3" s="2454"/>
      <c r="F3" s="982"/>
      <c r="G3" s="981"/>
      <c r="H3" s="981"/>
      <c r="I3" s="981"/>
      <c r="J3" s="981"/>
      <c r="K3" s="983"/>
      <c r="L3" s="1240"/>
      <c r="M3" s="1241"/>
      <c r="N3" s="1241"/>
      <c r="O3" s="1241"/>
      <c r="P3" s="737"/>
      <c r="Q3" s="737"/>
      <c r="R3" s="737"/>
      <c r="S3" s="737"/>
      <c r="T3" s="737"/>
      <c r="U3" s="737"/>
      <c r="V3" s="737"/>
      <c r="W3" s="737"/>
      <c r="X3" s="747"/>
      <c r="Y3" s="737"/>
      <c r="Z3" s="737"/>
      <c r="AA3" s="737"/>
      <c r="AB3" s="2463"/>
      <c r="AC3" s="761"/>
    </row>
    <row r="4" spans="1:29" ht="15">
      <c r="A4" s="380" t="s">
        <v>2334</v>
      </c>
      <c r="B4" s="381"/>
      <c r="C4" s="3008" t="s">
        <v>2335</v>
      </c>
      <c r="D4" s="3009"/>
      <c r="E4" s="3010" t="s">
        <v>2336</v>
      </c>
      <c r="F4" s="3011"/>
      <c r="G4" s="3008" t="s">
        <v>2337</v>
      </c>
      <c r="H4" s="3009"/>
      <c r="I4" s="3008" t="s">
        <v>2338</v>
      </c>
      <c r="J4" s="3009"/>
      <c r="K4" s="594" t="s">
        <v>2339</v>
      </c>
      <c r="L4" s="1242"/>
      <c r="M4" s="1243"/>
      <c r="N4" s="1243"/>
      <c r="O4" s="1243"/>
      <c r="P4" s="3012" t="s">
        <v>2340</v>
      </c>
      <c r="Q4" s="3001"/>
      <c r="R4" s="2994" t="s">
        <v>2336</v>
      </c>
      <c r="S4" s="2995"/>
      <c r="T4" s="2994" t="s">
        <v>2337</v>
      </c>
      <c r="U4" s="2995"/>
      <c r="V4" s="3016" t="s">
        <v>2338</v>
      </c>
      <c r="W4" s="3016"/>
      <c r="X4" s="1898"/>
      <c r="Y4" s="2994" t="s">
        <v>2340</v>
      </c>
      <c r="Z4" s="2995"/>
      <c r="AA4" s="3005" t="s">
        <v>2336</v>
      </c>
      <c r="AB4" s="3005" t="s">
        <v>2337</v>
      </c>
      <c r="AC4" s="3005" t="s">
        <v>2338</v>
      </c>
    </row>
    <row r="5" spans="1:29" ht="15">
      <c r="A5" s="383"/>
      <c r="B5" s="384"/>
      <c r="C5" s="3019" t="s">
        <v>2854</v>
      </c>
      <c r="D5" s="3020"/>
      <c r="E5" s="3017" t="str">
        <f>案例!L12</f>
        <v>大恒科技大厦</v>
      </c>
      <c r="F5" s="3018"/>
      <c r="G5" s="3023" t="str">
        <f>案例!L13</f>
        <v>银科大厦</v>
      </c>
      <c r="H5" s="3020"/>
      <c r="I5" s="3023" t="str">
        <f>案例!L14</f>
        <v>1+1大厦</v>
      </c>
      <c r="J5" s="3020"/>
      <c r="K5" s="594"/>
      <c r="L5" s="1242"/>
      <c r="M5" s="1243"/>
      <c r="N5" s="1243"/>
      <c r="O5" s="1243"/>
      <c r="P5" s="3013"/>
      <c r="Q5" s="3002"/>
      <c r="R5" s="2996"/>
      <c r="S5" s="2997"/>
      <c r="T5" s="2996"/>
      <c r="U5" s="2997"/>
      <c r="V5" s="3016"/>
      <c r="W5" s="3016"/>
      <c r="X5" s="1898"/>
      <c r="Y5" s="2996"/>
      <c r="Z5" s="2997"/>
      <c r="AA5" s="3006"/>
      <c r="AB5" s="3006"/>
      <c r="AC5" s="3006"/>
    </row>
    <row r="6" spans="1:29" ht="15.75" thickBot="1">
      <c r="A6" s="385"/>
      <c r="B6" s="386"/>
      <c r="C6" s="3021" t="s">
        <v>2345</v>
      </c>
      <c r="D6" s="3022"/>
      <c r="E6" s="3024" t="s">
        <v>2345</v>
      </c>
      <c r="F6" s="3025"/>
      <c r="G6" s="3021" t="s">
        <v>2345</v>
      </c>
      <c r="H6" s="3022"/>
      <c r="I6" s="3021" t="s">
        <v>2345</v>
      </c>
      <c r="J6" s="3022"/>
      <c r="K6" s="594" t="s">
        <v>2346</v>
      </c>
      <c r="L6" s="1242"/>
      <c r="M6" s="1243"/>
      <c r="N6" s="1243"/>
      <c r="O6" s="1243"/>
      <c r="P6" s="3014"/>
      <c r="Q6" s="3015"/>
      <c r="R6" s="2996"/>
      <c r="S6" s="2997"/>
      <c r="T6" s="2998"/>
      <c r="U6" s="2999"/>
      <c r="V6" s="3016"/>
      <c r="W6" s="3016"/>
      <c r="X6" s="1898"/>
      <c r="Y6" s="2998"/>
      <c r="Z6" s="2999"/>
      <c r="AA6" s="3007"/>
      <c r="AB6" s="3007"/>
      <c r="AC6" s="3007"/>
    </row>
    <row r="7" spans="1:29" s="35" customFormat="1" ht="15.75" thickBot="1">
      <c r="A7" s="387" t="s">
        <v>2347</v>
      </c>
      <c r="B7" s="388"/>
      <c r="C7" s="389">
        <f>'数据-取费表'!B2</f>
        <v>43257</v>
      </c>
      <c r="D7" s="390">
        <v>100</v>
      </c>
      <c r="E7" s="391">
        <v>43252</v>
      </c>
      <c r="F7" s="392">
        <f>SUMIF(59:59,YEAR(E7)&amp;"-"&amp;MONTH(E7),60:60)</f>
        <v>100</v>
      </c>
      <c r="G7" s="2464">
        <f>E7</f>
        <v>43252</v>
      </c>
      <c r="H7" s="390">
        <f>SUMIF(59:59,YEAR(G7)&amp;"-"&amp;MONTH(G7),60:60)</f>
        <v>100</v>
      </c>
      <c r="I7" s="2464">
        <f>E7</f>
        <v>43252</v>
      </c>
      <c r="J7" s="390">
        <f>SUMIF(59:59,YEAR(I7)&amp;"-"&amp;MONTH(I7),60:60)</f>
        <v>100</v>
      </c>
      <c r="K7" s="595"/>
      <c r="L7" s="1244"/>
      <c r="M7" s="1245"/>
      <c r="N7" s="1245"/>
      <c r="O7" s="1245"/>
      <c r="P7" s="3000" t="s">
        <v>2348</v>
      </c>
      <c r="Q7" s="3000"/>
      <c r="R7" s="749" t="s">
        <v>25</v>
      </c>
      <c r="S7" s="750">
        <f t="shared" ref="S7:S15" si="0">F7</f>
        <v>100</v>
      </c>
      <c r="T7" s="749" t="s">
        <v>25</v>
      </c>
      <c r="U7" s="750">
        <f t="shared" ref="U7:U15" si="1">H7</f>
        <v>100</v>
      </c>
      <c r="V7" s="749" t="s">
        <v>25</v>
      </c>
      <c r="W7" s="750">
        <f t="shared" ref="W7:W15" si="2">J7</f>
        <v>100</v>
      </c>
      <c r="X7" s="751"/>
      <c r="Y7" s="2992" t="s">
        <v>2348</v>
      </c>
      <c r="Z7" s="2993"/>
      <c r="AA7" s="752">
        <f>D7/F7</f>
        <v>1</v>
      </c>
      <c r="AB7" s="752">
        <f>D7/H7</f>
        <v>1</v>
      </c>
      <c r="AC7" s="752">
        <f>D7/J7</f>
        <v>1</v>
      </c>
    </row>
    <row r="8" spans="1:29" s="35" customFormat="1" ht="15.75" thickBot="1">
      <c r="A8" s="387" t="s">
        <v>2349</v>
      </c>
      <c r="B8" s="388"/>
      <c r="C8" s="394" t="s">
        <v>2350</v>
      </c>
      <c r="D8" s="390">
        <v>100</v>
      </c>
      <c r="E8" s="394" t="s">
        <v>2350</v>
      </c>
      <c r="F8" s="392">
        <f>SUMIF(62:62,E8,63:63)-SUMIF(62:62,C8,63:63)+100</f>
        <v>100</v>
      </c>
      <c r="G8" s="394" t="s">
        <v>2350</v>
      </c>
      <c r="H8" s="390">
        <f>SUMIF(62:62,G8,63:63)-SUMIF(62:62,C8,63:63)+100</f>
        <v>100</v>
      </c>
      <c r="I8" s="394" t="s">
        <v>2350</v>
      </c>
      <c r="J8" s="390">
        <f>SUMIF(62:62,I8,63:63)-SUMIF(62:62,C8,63:63)+100</f>
        <v>100</v>
      </c>
      <c r="K8" s="595"/>
      <c r="L8" s="1244"/>
      <c r="M8" s="1245"/>
      <c r="N8" s="1245"/>
      <c r="O8" s="1245"/>
      <c r="P8" s="3000" t="s">
        <v>2351</v>
      </c>
      <c r="Q8" s="2993"/>
      <c r="R8" s="749" t="s">
        <v>25</v>
      </c>
      <c r="S8" s="750">
        <f t="shared" si="0"/>
        <v>100</v>
      </c>
      <c r="T8" s="749" t="s">
        <v>25</v>
      </c>
      <c r="U8" s="750">
        <f t="shared" si="1"/>
        <v>100</v>
      </c>
      <c r="V8" s="749" t="s">
        <v>25</v>
      </c>
      <c r="W8" s="750">
        <f t="shared" si="2"/>
        <v>100</v>
      </c>
      <c r="X8" s="751"/>
      <c r="Y8" s="2992" t="s">
        <v>2351</v>
      </c>
      <c r="Z8" s="2993"/>
      <c r="AA8" s="752">
        <f t="shared" ref="AA8:AA47" si="3">D8/F8</f>
        <v>1</v>
      </c>
      <c r="AB8" s="752">
        <f t="shared" ref="AB8:AB47" si="4">D8/H8</f>
        <v>1</v>
      </c>
      <c r="AC8" s="752">
        <f t="shared" ref="AC8:AC47" si="5">D8/J8</f>
        <v>1</v>
      </c>
    </row>
    <row r="9" spans="1:29" s="35" customFormat="1">
      <c r="A9" s="395" t="s">
        <v>2352</v>
      </c>
      <c r="B9" s="28" t="s">
        <v>2353</v>
      </c>
      <c r="C9" s="2745" t="s">
        <v>2855</v>
      </c>
      <c r="D9" s="51">
        <v>100</v>
      </c>
      <c r="E9" s="399" t="s">
        <v>2817</v>
      </c>
      <c r="F9" s="51">
        <f>SUMIF(64:64,E9,65:65)-SUMIF(64:64,C9,65:65)+100</f>
        <v>100</v>
      </c>
      <c r="G9" s="399" t="s">
        <v>2817</v>
      </c>
      <c r="H9" s="51">
        <f>SUMIF(64:64,G9,65:65)-SUMIF(64:64,C9,65:65)+100</f>
        <v>100</v>
      </c>
      <c r="I9" s="399" t="s">
        <v>2817</v>
      </c>
      <c r="J9" s="51">
        <f>SUMIF(64:64,I9,65:65)-SUMIF(64:64,C9,65:65)+100</f>
        <v>100</v>
      </c>
      <c r="K9" s="595"/>
      <c r="L9" s="1244"/>
      <c r="M9" s="1245"/>
      <c r="N9" s="1245"/>
      <c r="O9" s="1245"/>
      <c r="P9" s="2982" t="s">
        <v>2354</v>
      </c>
      <c r="Q9" s="1885" t="str">
        <f t="shared" ref="Q9:Q15" si="6">B9</f>
        <v>用途</v>
      </c>
      <c r="R9" s="749" t="s">
        <v>25</v>
      </c>
      <c r="S9" s="750">
        <f t="shared" si="0"/>
        <v>100</v>
      </c>
      <c r="T9" s="749" t="s">
        <v>25</v>
      </c>
      <c r="U9" s="750">
        <f t="shared" si="1"/>
        <v>100</v>
      </c>
      <c r="V9" s="749" t="s">
        <v>25</v>
      </c>
      <c r="W9" s="750">
        <f t="shared" si="2"/>
        <v>100</v>
      </c>
      <c r="X9" s="751"/>
      <c r="Y9" s="2843" t="s">
        <v>2355</v>
      </c>
      <c r="Z9" s="23" t="str">
        <f t="shared" ref="Z9:Z15" si="7">Q9</f>
        <v>用途</v>
      </c>
      <c r="AA9" s="752">
        <f t="shared" si="3"/>
        <v>1</v>
      </c>
      <c r="AB9" s="752">
        <f t="shared" si="4"/>
        <v>1</v>
      </c>
      <c r="AC9" s="752">
        <f t="shared" si="5"/>
        <v>1</v>
      </c>
    </row>
    <row r="10" spans="1:29" s="407" customFormat="1" ht="27">
      <c r="A10" s="401"/>
      <c r="B10" s="402" t="s">
        <v>2356</v>
      </c>
      <c r="C10" s="403" t="s">
        <v>2905</v>
      </c>
      <c r="D10" s="52">
        <v>100</v>
      </c>
      <c r="E10" s="403" t="s">
        <v>2856</v>
      </c>
      <c r="F10" s="52">
        <f>SUMIF(66:66,E10,67:67)-SUMIF(66:66,C10,67:67)+100</f>
        <v>98</v>
      </c>
      <c r="G10" s="403" t="s">
        <v>2856</v>
      </c>
      <c r="H10" s="52">
        <f>SUMIF(66:66,G10,67:67)-SUMIF(66:66,C10,67:67)+100</f>
        <v>98</v>
      </c>
      <c r="I10" s="403" t="s">
        <v>2856</v>
      </c>
      <c r="J10" s="52">
        <f>SUMIF(66:66,I10,67:67)-SUMIF(66:66,C10,67:67)+100</f>
        <v>98</v>
      </c>
      <c r="K10" s="596">
        <v>2</v>
      </c>
      <c r="L10" s="1247"/>
      <c r="M10" s="1248"/>
      <c r="N10" s="1248"/>
      <c r="O10" s="1248"/>
      <c r="P10" s="2982"/>
      <c r="Q10" s="1885" t="str">
        <f t="shared" si="6"/>
        <v>土地使用年限（年）</v>
      </c>
      <c r="R10" s="749" t="s">
        <v>25</v>
      </c>
      <c r="S10" s="750">
        <f t="shared" si="0"/>
        <v>98</v>
      </c>
      <c r="T10" s="749" t="s">
        <v>25</v>
      </c>
      <c r="U10" s="750">
        <f t="shared" si="1"/>
        <v>98</v>
      </c>
      <c r="V10" s="749" t="s">
        <v>25</v>
      </c>
      <c r="W10" s="750">
        <f t="shared" si="2"/>
        <v>98</v>
      </c>
      <c r="X10" s="751"/>
      <c r="Y10" s="2843"/>
      <c r="Z10" s="23" t="str">
        <f t="shared" si="7"/>
        <v>土地使用年限（年）</v>
      </c>
      <c r="AA10" s="752">
        <f t="shared" si="3"/>
        <v>1.0204081632653061</v>
      </c>
      <c r="AB10" s="752">
        <f t="shared" si="4"/>
        <v>1.0204081632653061</v>
      </c>
      <c r="AC10" s="752">
        <f t="shared" si="5"/>
        <v>1.0204081632653061</v>
      </c>
    </row>
    <row r="11" spans="1:29" ht="15">
      <c r="A11" s="408"/>
      <c r="B11" s="402" t="s">
        <v>2357</v>
      </c>
      <c r="C11" s="409">
        <f>项目基本情况!C15</f>
        <v>3.6</v>
      </c>
      <c r="D11" s="52">
        <v>100</v>
      </c>
      <c r="E11" s="2741">
        <f>C11</f>
        <v>3.6</v>
      </c>
      <c r="F11" s="52">
        <f>LOOKUP(E11,69:69,70:70)-LOOKUP(C11,69:69,70:70)+100</f>
        <v>100</v>
      </c>
      <c r="G11" s="2744">
        <f>C11</f>
        <v>3.6</v>
      </c>
      <c r="H11" s="52">
        <f>LOOKUP(G11,69:69,70:70)-LOOKUP(C11,69:69,70:70)+100</f>
        <v>100</v>
      </c>
      <c r="I11" s="2741">
        <f>C11</f>
        <v>3.6</v>
      </c>
      <c r="J11" s="52">
        <f>LOOKUP(I11,69:69,70:70)-LOOKUP(C11,69:69,70:70)+100</f>
        <v>100</v>
      </c>
      <c r="K11" s="2740"/>
      <c r="L11" s="1250"/>
      <c r="M11" s="1243"/>
      <c r="N11" s="1243"/>
      <c r="O11" s="1243"/>
      <c r="P11" s="2982"/>
      <c r="Q11" s="1885" t="str">
        <f t="shared" si="6"/>
        <v>容积率</v>
      </c>
      <c r="R11" s="749" t="s">
        <v>25</v>
      </c>
      <c r="S11" s="750">
        <f t="shared" si="0"/>
        <v>100</v>
      </c>
      <c r="T11" s="749" t="s">
        <v>25</v>
      </c>
      <c r="U11" s="750">
        <f t="shared" si="1"/>
        <v>100</v>
      </c>
      <c r="V11" s="749" t="s">
        <v>25</v>
      </c>
      <c r="W11" s="750">
        <f t="shared" si="2"/>
        <v>100</v>
      </c>
      <c r="X11" s="751"/>
      <c r="Y11" s="2843"/>
      <c r="Z11" s="23" t="str">
        <f t="shared" si="7"/>
        <v>容积率</v>
      </c>
      <c r="AA11" s="752">
        <f t="shared" si="3"/>
        <v>1</v>
      </c>
      <c r="AB11" s="752">
        <f t="shared" si="4"/>
        <v>1</v>
      </c>
      <c r="AC11" s="752">
        <f t="shared" si="5"/>
        <v>1</v>
      </c>
    </row>
    <row r="12" spans="1:29" s="35" customFormat="1" ht="15.75" thickBot="1">
      <c r="A12" s="411"/>
      <c r="B12" s="2750" t="s">
        <v>2906</v>
      </c>
      <c r="C12" s="2751" t="s">
        <v>2907</v>
      </c>
      <c r="D12" s="413">
        <v>100</v>
      </c>
      <c r="E12" s="2751" t="s">
        <v>2908</v>
      </c>
      <c r="F12" s="52">
        <f>SUMIF(71:71,E12,72:72)-SUMIF(71:71,C12,72:72)+100</f>
        <v>105</v>
      </c>
      <c r="G12" s="2751" t="s">
        <v>2908</v>
      </c>
      <c r="H12" s="52">
        <f>SUMIF(71:71,G12,72:72)-SUMIF(71:71,C12,72:72)+100</f>
        <v>105</v>
      </c>
      <c r="I12" s="2751" t="s">
        <v>2908</v>
      </c>
      <c r="J12" s="52">
        <f>SUMIF(71:71,I12,72:72)-SUMIF(71:71,C12,72:72)+100</f>
        <v>105</v>
      </c>
      <c r="K12" s="597"/>
      <c r="L12" s="1244"/>
      <c r="M12" s="1245"/>
      <c r="N12" s="1245"/>
      <c r="O12" s="1245"/>
      <c r="P12" s="2982"/>
      <c r="Q12" s="1885" t="str">
        <f t="shared" si="6"/>
        <v>权属不清</v>
      </c>
      <c r="R12" s="749" t="s">
        <v>25</v>
      </c>
      <c r="S12" s="750">
        <f t="shared" si="0"/>
        <v>105</v>
      </c>
      <c r="T12" s="749" t="s">
        <v>25</v>
      </c>
      <c r="U12" s="750">
        <f t="shared" si="1"/>
        <v>105</v>
      </c>
      <c r="V12" s="749" t="s">
        <v>25</v>
      </c>
      <c r="W12" s="750">
        <f t="shared" si="2"/>
        <v>105</v>
      </c>
      <c r="X12" s="751"/>
      <c r="Y12" s="2843"/>
      <c r="Z12" s="23" t="str">
        <f t="shared" si="7"/>
        <v>权属不清</v>
      </c>
      <c r="AA12" s="752">
        <f>D12/F12</f>
        <v>0.95238095238095233</v>
      </c>
      <c r="AB12" s="752">
        <f>D12/H12</f>
        <v>0.95238095238095233</v>
      </c>
      <c r="AC12" s="752">
        <f>D12/J12</f>
        <v>0.95238095238095233</v>
      </c>
    </row>
    <row r="13" spans="1:29" ht="15" hidden="1">
      <c r="A13" s="408"/>
      <c r="B13" s="2397">
        <v>111</v>
      </c>
      <c r="C13" s="414"/>
      <c r="D13" s="415">
        <v>100</v>
      </c>
      <c r="E13" s="412"/>
      <c r="F13" s="52">
        <f>SUMIF(73:73,E13,74:74)-SUMIF(73:73,C13,74:74)+100</f>
        <v>100</v>
      </c>
      <c r="G13" s="1471"/>
      <c r="H13" s="415">
        <f>SUMIF(73:73,G13,74:74)-SUMIF(73:73,C13,74:74)+100</f>
        <v>100</v>
      </c>
      <c r="I13" s="412"/>
      <c r="J13" s="415">
        <f>SUMIF(73:73,I13,74:74)-SUMIF(73:73,C13,74:74)+100</f>
        <v>100</v>
      </c>
      <c r="K13" s="597"/>
      <c r="L13" s="1252"/>
      <c r="M13" s="1243"/>
      <c r="N13" s="1243"/>
      <c r="O13" s="1243"/>
      <c r="P13" s="2982"/>
      <c r="Q13" s="1885">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hidden="1" thickBot="1">
      <c r="A14" s="416"/>
      <c r="B14" s="2399">
        <v>111</v>
      </c>
      <c r="C14" s="2400"/>
      <c r="D14" s="417">
        <v>100</v>
      </c>
      <c r="E14" s="612"/>
      <c r="F14" s="417">
        <f>SUMIF(75:75,E14,76:76)-SUMIF(75:75,C14,76:76)+100</f>
        <v>100</v>
      </c>
      <c r="G14" s="1471"/>
      <c r="H14" s="417">
        <f>SUMIF(75:75,G14,76:76)-SUMIF(75:75,C14,76:76)+100</f>
        <v>100</v>
      </c>
      <c r="I14" s="412"/>
      <c r="J14" s="417">
        <f>SUMIF(75:75,I14,76:76)-SUMIF(75:75,C14,76:76)+100</f>
        <v>100</v>
      </c>
      <c r="K14" s="597"/>
      <c r="L14" s="1252"/>
      <c r="M14" s="1243"/>
      <c r="N14" s="1243"/>
      <c r="O14" s="1243"/>
      <c r="P14" s="2982"/>
      <c r="Q14" s="1885">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15">
      <c r="A15" s="419" t="s">
        <v>2358</v>
      </c>
      <c r="B15" s="613" t="s">
        <v>2473</v>
      </c>
      <c r="C15" s="2465" t="str">
        <f>估价对象房地状况!C5</f>
        <v>较好</v>
      </c>
      <c r="D15" s="420">
        <v>100</v>
      </c>
      <c r="E15" s="423"/>
      <c r="F15" s="420">
        <f>SUMIF(77:77,E16,78:78)-SUMIF(77:77,C16,78:78)+100</f>
        <v>100</v>
      </c>
      <c r="G15" s="421"/>
      <c r="H15" s="420">
        <f>SUMIF(77:77,G16,78:78)-SUMIF(77:77,C16,78:78)+100</f>
        <v>100</v>
      </c>
      <c r="I15" s="421"/>
      <c r="J15" s="420">
        <f>SUMIF(77:77,I16,78:78)-SUMIF(77:77,C16,78:78)+100</f>
        <v>100</v>
      </c>
      <c r="K15" s="598">
        <v>2</v>
      </c>
      <c r="L15" s="1252"/>
      <c r="M15" s="1243"/>
      <c r="N15" s="1243"/>
      <c r="O15" s="1243"/>
      <c r="P15" s="3001" t="s">
        <v>2359</v>
      </c>
      <c r="Q15" s="1897" t="str">
        <f t="shared" si="6"/>
        <v>办公集聚程度</v>
      </c>
      <c r="R15" s="753" t="s">
        <v>25</v>
      </c>
      <c r="S15" s="754">
        <f t="shared" si="0"/>
        <v>100</v>
      </c>
      <c r="T15" s="753" t="s">
        <v>25</v>
      </c>
      <c r="U15" s="754">
        <f t="shared" si="1"/>
        <v>100</v>
      </c>
      <c r="V15" s="753" t="s">
        <v>25</v>
      </c>
      <c r="W15" s="754">
        <f t="shared" si="2"/>
        <v>100</v>
      </c>
      <c r="X15" s="1898"/>
      <c r="Y15" s="3003" t="s">
        <v>2359</v>
      </c>
      <c r="Z15" s="1900" t="str">
        <f t="shared" si="7"/>
        <v>办公集聚程度</v>
      </c>
      <c r="AA15" s="1901">
        <f t="shared" si="3"/>
        <v>1</v>
      </c>
      <c r="AB15" s="1901">
        <f t="shared" si="4"/>
        <v>1</v>
      </c>
      <c r="AC15" s="1901">
        <f t="shared" si="5"/>
        <v>1</v>
      </c>
    </row>
    <row r="16" spans="1:29" ht="15">
      <c r="A16" s="408"/>
      <c r="B16" s="614"/>
      <c r="C16" s="1470" t="s">
        <v>30</v>
      </c>
      <c r="D16" s="427"/>
      <c r="E16" s="1470" t="s">
        <v>30</v>
      </c>
      <c r="F16" s="427"/>
      <c r="G16" s="1470" t="s">
        <v>30</v>
      </c>
      <c r="H16" s="430"/>
      <c r="I16" s="1470" t="s">
        <v>30</v>
      </c>
      <c r="J16" s="427"/>
      <c r="K16" s="599"/>
      <c r="L16" s="1252"/>
      <c r="M16" s="1243"/>
      <c r="N16" s="1243"/>
      <c r="O16" s="1243"/>
      <c r="P16" s="3002"/>
      <c r="Q16" s="1897"/>
      <c r="R16" s="753"/>
      <c r="S16" s="754"/>
      <c r="T16" s="753"/>
      <c r="U16" s="754"/>
      <c r="V16" s="753"/>
      <c r="W16" s="754"/>
      <c r="X16" s="1898"/>
      <c r="Y16" s="3004"/>
      <c r="Z16" s="1900"/>
      <c r="AA16" s="1901">
        <v>1</v>
      </c>
      <c r="AB16" s="1901">
        <v>1</v>
      </c>
      <c r="AC16" s="1901">
        <v>1</v>
      </c>
    </row>
    <row r="17" spans="1:29" ht="15">
      <c r="A17" s="408"/>
      <c r="B17" s="615" t="s">
        <v>1743</v>
      </c>
      <c r="C17" s="2466" t="str">
        <f>估价对象房地状况!C6</f>
        <v>较好</v>
      </c>
      <c r="D17" s="430">
        <v>100</v>
      </c>
      <c r="E17" s="434"/>
      <c r="F17" s="430">
        <f>SUMIF(79:79,E18,80:80)-SUMIF(79:79,C18,80:80)+100</f>
        <v>100</v>
      </c>
      <c r="G17" s="432"/>
      <c r="H17" s="435">
        <f>SUMIF(79:79,G18,80:80)-SUMIF(79:79,C18,80:80)+100</f>
        <v>100</v>
      </c>
      <c r="I17" s="432"/>
      <c r="J17" s="435">
        <f>SUMIF(79:79,I18,80:80)-SUMIF(79:79,C18,80:80)+100</f>
        <v>100</v>
      </c>
      <c r="K17" s="598">
        <v>2</v>
      </c>
      <c r="L17" s="1252"/>
      <c r="M17" s="1243"/>
      <c r="N17" s="1243"/>
      <c r="O17" s="1243"/>
      <c r="P17" s="3002"/>
      <c r="Q17" s="1897" t="str">
        <f>B17</f>
        <v>交通便捷度</v>
      </c>
      <c r="R17" s="753" t="s">
        <v>25</v>
      </c>
      <c r="S17" s="754">
        <f>F17</f>
        <v>100</v>
      </c>
      <c r="T17" s="753" t="s">
        <v>25</v>
      </c>
      <c r="U17" s="754">
        <f>H17</f>
        <v>100</v>
      </c>
      <c r="V17" s="753" t="s">
        <v>25</v>
      </c>
      <c r="W17" s="754">
        <f>J17</f>
        <v>100</v>
      </c>
      <c r="X17" s="1898"/>
      <c r="Y17" s="3004"/>
      <c r="Z17" s="1900" t="str">
        <f>Q17</f>
        <v>交通便捷度</v>
      </c>
      <c r="AA17" s="1901">
        <f t="shared" si="3"/>
        <v>1</v>
      </c>
      <c r="AB17" s="1901">
        <f t="shared" si="4"/>
        <v>1</v>
      </c>
      <c r="AC17" s="1901">
        <f t="shared" si="5"/>
        <v>1</v>
      </c>
    </row>
    <row r="18" spans="1:29" ht="15">
      <c r="A18" s="408"/>
      <c r="B18" s="616"/>
      <c r="C18" s="2467" t="s">
        <v>30</v>
      </c>
      <c r="D18" s="430"/>
      <c r="E18" s="2467" t="s">
        <v>30</v>
      </c>
      <c r="F18" s="430"/>
      <c r="G18" s="2467" t="s">
        <v>30</v>
      </c>
      <c r="H18" s="427"/>
      <c r="I18" s="2467" t="s">
        <v>30</v>
      </c>
      <c r="J18" s="427"/>
      <c r="K18" s="599"/>
      <c r="L18" s="1252"/>
      <c r="M18" s="1243"/>
      <c r="N18" s="1243"/>
      <c r="O18" s="1243"/>
      <c r="P18" s="3002"/>
      <c r="Q18" s="1897"/>
      <c r="R18" s="753"/>
      <c r="S18" s="754"/>
      <c r="T18" s="753"/>
      <c r="U18" s="754"/>
      <c r="V18" s="753"/>
      <c r="W18" s="754"/>
      <c r="X18" s="1898"/>
      <c r="Y18" s="3004"/>
      <c r="Z18" s="1900"/>
      <c r="AA18" s="1901">
        <v>1</v>
      </c>
      <c r="AB18" s="1901">
        <v>1</v>
      </c>
      <c r="AC18" s="1901">
        <v>1</v>
      </c>
    </row>
    <row r="19" spans="1:29" ht="15">
      <c r="A19" s="408"/>
      <c r="B19" s="615" t="s">
        <v>2474</v>
      </c>
      <c r="C19" s="2466" t="str">
        <f>估价对象房地状况!C7</f>
        <v>较好</v>
      </c>
      <c r="D19" s="435">
        <v>100</v>
      </c>
      <c r="E19" s="440"/>
      <c r="F19" s="435">
        <f>SUMIF(81:81,E20,82:82)-SUMIF(81:81,C20,82:82)+100</f>
        <v>100</v>
      </c>
      <c r="G19" s="438"/>
      <c r="H19" s="430">
        <f>SUMIF(81:81,G20,82:82)-SUMIF(81:81,C20,82:82)+100</f>
        <v>100</v>
      </c>
      <c r="I19" s="438"/>
      <c r="J19" s="430">
        <f>SUMIF(81:81,I20,82:82)-SUMIF(81:81,C20,82:82)+100</f>
        <v>100</v>
      </c>
      <c r="K19" s="598">
        <v>2</v>
      </c>
      <c r="L19" s="1252"/>
      <c r="M19" s="1243"/>
      <c r="N19" s="1243"/>
      <c r="O19" s="1243"/>
      <c r="P19" s="3002"/>
      <c r="Q19" s="1897" t="str">
        <f>B19</f>
        <v>公共配套设施</v>
      </c>
      <c r="R19" s="753" t="s">
        <v>25</v>
      </c>
      <c r="S19" s="754">
        <f>F19</f>
        <v>100</v>
      </c>
      <c r="T19" s="753" t="s">
        <v>25</v>
      </c>
      <c r="U19" s="754">
        <f>H19</f>
        <v>100</v>
      </c>
      <c r="V19" s="753" t="s">
        <v>25</v>
      </c>
      <c r="W19" s="754">
        <f>J19</f>
        <v>100</v>
      </c>
      <c r="X19" s="1898"/>
      <c r="Y19" s="3004"/>
      <c r="Z19" s="1900" t="str">
        <f>Q19</f>
        <v>公共配套设施</v>
      </c>
      <c r="AA19" s="1901">
        <f t="shared" si="3"/>
        <v>1</v>
      </c>
      <c r="AB19" s="1901">
        <f t="shared" si="4"/>
        <v>1</v>
      </c>
      <c r="AC19" s="1901">
        <f t="shared" si="5"/>
        <v>1</v>
      </c>
    </row>
    <row r="20" spans="1:29" ht="15">
      <c r="A20" s="408"/>
      <c r="B20" s="616"/>
      <c r="C20" s="1470" t="s">
        <v>30</v>
      </c>
      <c r="D20" s="427"/>
      <c r="E20" s="1470" t="s">
        <v>30</v>
      </c>
      <c r="F20" s="427"/>
      <c r="G20" s="1470" t="s">
        <v>30</v>
      </c>
      <c r="H20" s="427"/>
      <c r="I20" s="1470" t="s">
        <v>30</v>
      </c>
      <c r="J20" s="427"/>
      <c r="K20" s="599"/>
      <c r="L20" s="1252"/>
      <c r="M20" s="1243"/>
      <c r="N20" s="1243"/>
      <c r="O20" s="1243"/>
      <c r="P20" s="3002"/>
      <c r="Q20" s="1897"/>
      <c r="R20" s="753"/>
      <c r="S20" s="754"/>
      <c r="T20" s="753"/>
      <c r="U20" s="754"/>
      <c r="V20" s="753"/>
      <c r="W20" s="754"/>
      <c r="X20" s="1898"/>
      <c r="Y20" s="3004"/>
      <c r="Z20" s="1900"/>
      <c r="AA20" s="1901">
        <v>1</v>
      </c>
      <c r="AB20" s="1901">
        <v>1</v>
      </c>
      <c r="AC20" s="1901">
        <v>1</v>
      </c>
    </row>
    <row r="21" spans="1:29" ht="15">
      <c r="A21" s="408"/>
      <c r="B21" s="617" t="s">
        <v>2475</v>
      </c>
      <c r="C21" s="2466"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v>1</v>
      </c>
      <c r="L21" s="1252"/>
      <c r="M21" s="1243"/>
      <c r="N21" s="1243"/>
      <c r="O21" s="1243"/>
      <c r="P21" s="3002"/>
      <c r="Q21" s="1897" t="str">
        <f>B21</f>
        <v>基础设施水平</v>
      </c>
      <c r="R21" s="753" t="s">
        <v>25</v>
      </c>
      <c r="S21" s="754">
        <f>F21</f>
        <v>100</v>
      </c>
      <c r="T21" s="753" t="s">
        <v>25</v>
      </c>
      <c r="U21" s="754">
        <f>H21</f>
        <v>100</v>
      </c>
      <c r="V21" s="753" t="s">
        <v>25</v>
      </c>
      <c r="W21" s="754">
        <f>J21</f>
        <v>100</v>
      </c>
      <c r="X21" s="1898"/>
      <c r="Y21" s="3004"/>
      <c r="Z21" s="1900" t="str">
        <f>Q21</f>
        <v>基础设施水平</v>
      </c>
      <c r="AA21" s="1901">
        <f t="shared" ref="AA21" si="8">D21/F21</f>
        <v>1</v>
      </c>
      <c r="AB21" s="1901">
        <f t="shared" ref="AB21" si="9">D21/H21</f>
        <v>1</v>
      </c>
      <c r="AC21" s="1901">
        <f t="shared" ref="AC21" si="10">D21/J21</f>
        <v>1</v>
      </c>
    </row>
    <row r="22" spans="1:29" ht="15">
      <c r="A22" s="408"/>
      <c r="B22" s="617"/>
      <c r="C22" s="2467" t="s">
        <v>2857</v>
      </c>
      <c r="D22" s="427"/>
      <c r="E22" s="2467" t="s">
        <v>2857</v>
      </c>
      <c r="F22" s="427"/>
      <c r="G22" s="2467" t="s">
        <v>2857</v>
      </c>
      <c r="H22" s="427"/>
      <c r="I22" s="2467" t="s">
        <v>2857</v>
      </c>
      <c r="J22" s="427"/>
      <c r="K22" s="1467"/>
      <c r="L22" s="1252"/>
      <c r="M22" s="1243"/>
      <c r="N22" s="1243"/>
      <c r="O22" s="1243"/>
      <c r="P22" s="3002"/>
      <c r="Q22" s="1897"/>
      <c r="R22" s="753"/>
      <c r="S22" s="754"/>
      <c r="T22" s="753"/>
      <c r="U22" s="754"/>
      <c r="V22" s="753"/>
      <c r="W22" s="754"/>
      <c r="X22" s="1898"/>
      <c r="Y22" s="3004"/>
      <c r="Z22" s="1900"/>
      <c r="AA22" s="1901">
        <v>1</v>
      </c>
      <c r="AB22" s="1901">
        <v>1</v>
      </c>
      <c r="AC22" s="1901">
        <v>1</v>
      </c>
    </row>
    <row r="23" spans="1:29" ht="15">
      <c r="A23" s="408"/>
      <c r="B23" s="615" t="s">
        <v>2476</v>
      </c>
      <c r="C23" s="2466" t="str">
        <f>估价对象房地状况!C9</f>
        <v>较好</v>
      </c>
      <c r="D23" s="430">
        <v>100</v>
      </c>
      <c r="E23" s="434"/>
      <c r="F23" s="430">
        <f>SUMIF(85:85,E24,86:86)-SUMIF(85:85,C24,86:86)+100</f>
        <v>100</v>
      </c>
      <c r="G23" s="432"/>
      <c r="H23" s="430">
        <f>SUMIF(85:85,G24,86:86)-SUMIF(85:85,C24,86:86)+100</f>
        <v>100</v>
      </c>
      <c r="I23" s="432"/>
      <c r="J23" s="430">
        <f>SUMIF(85:85,I24,86:86)-SUMIF(85:85,C24,86:86)+100</f>
        <v>100</v>
      </c>
      <c r="K23" s="598">
        <v>2</v>
      </c>
      <c r="L23" s="1252"/>
      <c r="M23" s="1243"/>
      <c r="N23" s="1243"/>
      <c r="O23" s="1243"/>
      <c r="P23" s="3002"/>
      <c r="Q23" s="1897" t="str">
        <f>B23</f>
        <v>环境质量</v>
      </c>
      <c r="R23" s="753" t="s">
        <v>25</v>
      </c>
      <c r="S23" s="754">
        <f>F23</f>
        <v>100</v>
      </c>
      <c r="T23" s="753" t="s">
        <v>25</v>
      </c>
      <c r="U23" s="754">
        <f>H23</f>
        <v>100</v>
      </c>
      <c r="V23" s="753" t="s">
        <v>25</v>
      </c>
      <c r="W23" s="754">
        <f>J23</f>
        <v>100</v>
      </c>
      <c r="X23" s="1898"/>
      <c r="Y23" s="3004"/>
      <c r="Z23" s="1900" t="str">
        <f>Q23</f>
        <v>环境质量</v>
      </c>
      <c r="AA23" s="1901">
        <f t="shared" si="3"/>
        <v>1</v>
      </c>
      <c r="AB23" s="1901">
        <f t="shared" si="4"/>
        <v>1</v>
      </c>
      <c r="AC23" s="1901">
        <f t="shared" si="5"/>
        <v>1</v>
      </c>
    </row>
    <row r="24" spans="1:29" ht="15">
      <c r="A24" s="408"/>
      <c r="B24" s="617"/>
      <c r="C24" s="1470" t="s">
        <v>30</v>
      </c>
      <c r="D24" s="427"/>
      <c r="E24" s="1470" t="s">
        <v>30</v>
      </c>
      <c r="F24" s="427"/>
      <c r="G24" s="1470" t="s">
        <v>30</v>
      </c>
      <c r="H24" s="427"/>
      <c r="I24" s="1470" t="s">
        <v>30</v>
      </c>
      <c r="J24" s="427"/>
      <c r="K24" s="599"/>
      <c r="L24" s="1252"/>
      <c r="M24" s="1243"/>
      <c r="N24" s="1243"/>
      <c r="O24" s="1243"/>
      <c r="P24" s="3002"/>
      <c r="Q24" s="1897"/>
      <c r="R24" s="753"/>
      <c r="S24" s="754"/>
      <c r="T24" s="753"/>
      <c r="U24" s="754"/>
      <c r="V24" s="753"/>
      <c r="W24" s="754"/>
      <c r="X24" s="1898"/>
      <c r="Y24" s="3004"/>
      <c r="Z24" s="1900"/>
      <c r="AA24" s="1901">
        <v>1</v>
      </c>
      <c r="AB24" s="1901">
        <v>1</v>
      </c>
      <c r="AC24" s="1901">
        <v>1</v>
      </c>
    </row>
    <row r="25" spans="1:29" ht="27">
      <c r="A25" s="383"/>
      <c r="B25" s="615" t="s">
        <v>2477</v>
      </c>
      <c r="C25" s="2468" t="s">
        <v>2872</v>
      </c>
      <c r="D25" s="415">
        <v>100</v>
      </c>
      <c r="E25" s="414" t="s">
        <v>2861</v>
      </c>
      <c r="F25" s="415">
        <f>SUMIF(87:87,E26,88:88)-SUMIF(87:87,C26,88:88)+100</f>
        <v>102</v>
      </c>
      <c r="G25" s="414" t="s">
        <v>2861</v>
      </c>
      <c r="H25" s="415">
        <f>SUMIF(87:87,G26,88:88)-SUMIF(87:87,C26,88:88)+100</f>
        <v>102</v>
      </c>
      <c r="I25" s="414" t="s">
        <v>2873</v>
      </c>
      <c r="J25" s="415">
        <f>SUMIF(87:87,I26,88:88)-SUMIF(87:87,C26,88:88)+100</f>
        <v>100</v>
      </c>
      <c r="K25" s="598">
        <v>2</v>
      </c>
      <c r="L25" s="1252"/>
      <c r="M25" s="1243"/>
      <c r="N25" s="1243"/>
      <c r="O25" s="1243"/>
      <c r="P25" s="3002"/>
      <c r="Q25" s="1897" t="str">
        <f>B25</f>
        <v>毗邻道路的类型与等级</v>
      </c>
      <c r="R25" s="753" t="s">
        <v>25</v>
      </c>
      <c r="S25" s="754">
        <f>F25</f>
        <v>102</v>
      </c>
      <c r="T25" s="753" t="s">
        <v>25</v>
      </c>
      <c r="U25" s="754">
        <f>H25</f>
        <v>102</v>
      </c>
      <c r="V25" s="753" t="s">
        <v>25</v>
      </c>
      <c r="W25" s="754">
        <f>J25</f>
        <v>100</v>
      </c>
      <c r="X25" s="1898"/>
      <c r="Y25" s="3004"/>
      <c r="Z25" s="1900" t="str">
        <f>Q25</f>
        <v>毗邻道路的类型与等级</v>
      </c>
      <c r="AA25" s="1901">
        <f t="shared" si="3"/>
        <v>0.98039215686274506</v>
      </c>
      <c r="AB25" s="1901">
        <f t="shared" si="4"/>
        <v>0.98039215686274506</v>
      </c>
      <c r="AC25" s="1901">
        <f t="shared" si="5"/>
        <v>1</v>
      </c>
    </row>
    <row r="26" spans="1:29" ht="15">
      <c r="A26" s="383"/>
      <c r="B26" s="616"/>
      <c r="C26" s="618" t="s">
        <v>2866</v>
      </c>
      <c r="D26" s="415"/>
      <c r="E26" s="600" t="s">
        <v>2864</v>
      </c>
      <c r="F26" s="415"/>
      <c r="G26" s="618" t="s">
        <v>2864</v>
      </c>
      <c r="H26" s="415"/>
      <c r="I26" s="600" t="s">
        <v>2866</v>
      </c>
      <c r="J26" s="415"/>
      <c r="K26" s="599"/>
      <c r="L26" s="1252"/>
      <c r="M26" s="1243"/>
      <c r="N26" s="1243"/>
      <c r="O26" s="1243"/>
      <c r="P26" s="3002"/>
      <c r="Q26" s="1897"/>
      <c r="R26" s="753"/>
      <c r="S26" s="754"/>
      <c r="T26" s="753"/>
      <c r="U26" s="754"/>
      <c r="V26" s="753"/>
      <c r="W26" s="754"/>
      <c r="X26" s="1898"/>
      <c r="Y26" s="3004"/>
      <c r="Z26" s="1900"/>
      <c r="AA26" s="1901">
        <v>1</v>
      </c>
      <c r="AB26" s="1901">
        <v>1</v>
      </c>
      <c r="AC26" s="1901">
        <v>1</v>
      </c>
    </row>
    <row r="27" spans="1:29" ht="15.75" thickBot="1">
      <c r="A27" s="408"/>
      <c r="B27" s="616" t="s">
        <v>2450</v>
      </c>
      <c r="C27" s="618" t="s">
        <v>2845</v>
      </c>
      <c r="D27" s="415">
        <v>100</v>
      </c>
      <c r="E27" s="600" t="s">
        <v>2845</v>
      </c>
      <c r="F27" s="415">
        <f>SUMIF(89:89,E27,90:90)-SUMIF(89:89,C27,90:90)+100</f>
        <v>100</v>
      </c>
      <c r="G27" s="618" t="s">
        <v>2843</v>
      </c>
      <c r="H27" s="415">
        <f>SUMIF(89:89,G27,90:90)-SUMIF(89:89,C27,90:90)+100</f>
        <v>104</v>
      </c>
      <c r="I27" s="600" t="s">
        <v>2843</v>
      </c>
      <c r="J27" s="415">
        <f>SUMIF(89:89,I27,90:90)-SUMIF(89:89,C27,90:90)+100</f>
        <v>104</v>
      </c>
      <c r="K27" s="596">
        <v>2</v>
      </c>
      <c r="L27" s="1252"/>
      <c r="M27" s="1243"/>
      <c r="N27" s="1243"/>
      <c r="O27" s="1243"/>
      <c r="P27" s="3002"/>
      <c r="Q27" s="1897" t="str">
        <f t="shared" ref="Q27:Q47" si="11">B27</f>
        <v>楼层</v>
      </c>
      <c r="R27" s="753" t="s">
        <v>25</v>
      </c>
      <c r="S27" s="754">
        <f>F27</f>
        <v>100</v>
      </c>
      <c r="T27" s="753" t="s">
        <v>25</v>
      </c>
      <c r="U27" s="754">
        <f>H27</f>
        <v>104</v>
      </c>
      <c r="V27" s="753" t="s">
        <v>25</v>
      </c>
      <c r="W27" s="754">
        <f>J27</f>
        <v>104</v>
      </c>
      <c r="X27" s="1898"/>
      <c r="Y27" s="3004"/>
      <c r="Z27" s="1900" t="str">
        <f>Q27</f>
        <v>楼层</v>
      </c>
      <c r="AA27" s="1901">
        <f t="shared" si="3"/>
        <v>1</v>
      </c>
      <c r="AB27" s="1901">
        <f t="shared" si="4"/>
        <v>0.96153846153846156</v>
      </c>
      <c r="AC27" s="1901">
        <f t="shared" si="5"/>
        <v>0.96153846153846156</v>
      </c>
    </row>
    <row r="28" spans="1:29" s="35" customFormat="1" ht="15.75" hidden="1" thickBot="1">
      <c r="A28" s="411"/>
      <c r="B28" s="615" t="s">
        <v>2478</v>
      </c>
      <c r="C28" s="2469"/>
      <c r="D28" s="443">
        <v>100</v>
      </c>
      <c r="E28" s="2456"/>
      <c r="F28" s="443">
        <f>SUMIF(91:91,E28,92:92)-SUMIF(91:91,C28,92:92)+100</f>
        <v>100</v>
      </c>
      <c r="G28" s="2469"/>
      <c r="H28" s="443">
        <f>SUMIF(91:91,G28,92:92)-SUMIF(91:91,C28,92:92)+100</f>
        <v>100</v>
      </c>
      <c r="I28" s="2456"/>
      <c r="J28" s="443">
        <f>SUMIF(91:91,I28,92:92)-SUMIF(91:91,C28,92:92)+100</f>
        <v>100</v>
      </c>
      <c r="K28" s="596"/>
      <c r="L28" s="1244"/>
      <c r="M28" s="1245"/>
      <c r="N28" s="1245"/>
      <c r="O28" s="1245"/>
      <c r="P28" s="3002"/>
      <c r="Q28" s="1885" t="str">
        <f t="shared" si="11"/>
        <v>朝向</v>
      </c>
      <c r="R28" s="749" t="s">
        <v>25</v>
      </c>
      <c r="S28" s="750">
        <f>F28</f>
        <v>100</v>
      </c>
      <c r="T28" s="749" t="s">
        <v>25</v>
      </c>
      <c r="U28" s="750">
        <f>H28</f>
        <v>100</v>
      </c>
      <c r="V28" s="749" t="s">
        <v>25</v>
      </c>
      <c r="W28" s="750">
        <f>J28</f>
        <v>100</v>
      </c>
      <c r="X28" s="751"/>
      <c r="Y28" s="3004"/>
      <c r="Z28" s="23" t="str">
        <f>Q28</f>
        <v>朝向</v>
      </c>
      <c r="AA28" s="1901">
        <f>D28/F28</f>
        <v>1</v>
      </c>
      <c r="AB28" s="1901">
        <f>D28/H28</f>
        <v>1</v>
      </c>
      <c r="AC28" s="1901">
        <f>D28/J28</f>
        <v>1</v>
      </c>
    </row>
    <row r="29" spans="1:29" ht="15" hidden="1">
      <c r="A29" s="408"/>
      <c r="B29" s="2470">
        <v>111</v>
      </c>
      <c r="C29" s="2468"/>
      <c r="D29" s="415">
        <v>100</v>
      </c>
      <c r="E29" s="412"/>
      <c r="F29" s="415">
        <f>SUMIF(93:93,E29,94:94)-SUMIF(93:93,C29,94:94)+100</f>
        <v>100</v>
      </c>
      <c r="G29" s="1471"/>
      <c r="H29" s="415">
        <f>SUMIF(93:93,G29,94:94)-SUMIF(93:93,C29,94:94)+100</f>
        <v>100</v>
      </c>
      <c r="I29" s="412"/>
      <c r="J29" s="415">
        <f>SUMIF(93:93,I29,94:94)-SUMIF(93:93,C29,94:94)+100</f>
        <v>100</v>
      </c>
      <c r="K29" s="597"/>
      <c r="L29" s="1252"/>
      <c r="M29" s="1243"/>
      <c r="N29" s="1243"/>
      <c r="O29" s="1243"/>
      <c r="P29" s="3002"/>
      <c r="Q29" s="1897">
        <f t="shared" si="11"/>
        <v>111</v>
      </c>
      <c r="R29" s="753" t="s">
        <v>25</v>
      </c>
      <c r="S29" s="754">
        <f t="shared" ref="S29:S47" si="12">F29</f>
        <v>100</v>
      </c>
      <c r="T29" s="753" t="s">
        <v>25</v>
      </c>
      <c r="U29" s="754">
        <f t="shared" ref="U29:U47" si="13">H29</f>
        <v>100</v>
      </c>
      <c r="V29" s="753" t="s">
        <v>25</v>
      </c>
      <c r="W29" s="754">
        <f t="shared" ref="W29:W47" si="14">J29</f>
        <v>100</v>
      </c>
      <c r="X29" s="1898"/>
      <c r="Y29" s="3004"/>
      <c r="Z29" s="1900">
        <f t="shared" ref="Z29:Z47" si="15">Q29</f>
        <v>111</v>
      </c>
      <c r="AA29" s="1901">
        <f t="shared" si="3"/>
        <v>1</v>
      </c>
      <c r="AB29" s="1901">
        <f t="shared" si="4"/>
        <v>1</v>
      </c>
      <c r="AC29" s="1901">
        <f t="shared" si="5"/>
        <v>1</v>
      </c>
    </row>
    <row r="30" spans="1:29" ht="15" hidden="1">
      <c r="A30" s="408"/>
      <c r="B30" s="2470">
        <v>111</v>
      </c>
      <c r="C30" s="2468"/>
      <c r="D30" s="415">
        <v>100</v>
      </c>
      <c r="E30" s="412"/>
      <c r="F30" s="415">
        <f>SUMIF(95:95,E30,96:96)-SUMIF(95:95,C30,96:96)+100</f>
        <v>100</v>
      </c>
      <c r="G30" s="1471"/>
      <c r="H30" s="415">
        <f>SUMIF(95:95,G30,96:96)-SUMIF(95:95,C30,96:96)+100</f>
        <v>100</v>
      </c>
      <c r="I30" s="412"/>
      <c r="J30" s="415">
        <f>SUMIF(95:95,I30,96:96)-SUMIF(95:95,C30,96:96)+100</f>
        <v>100</v>
      </c>
      <c r="K30" s="597"/>
      <c r="L30" s="1252"/>
      <c r="M30" s="1243"/>
      <c r="N30" s="1243"/>
      <c r="O30" s="1243"/>
      <c r="P30" s="3002"/>
      <c r="Q30" s="1897">
        <f t="shared" si="11"/>
        <v>111</v>
      </c>
      <c r="R30" s="753" t="s">
        <v>25</v>
      </c>
      <c r="S30" s="754">
        <f t="shared" si="12"/>
        <v>100</v>
      </c>
      <c r="T30" s="753" t="s">
        <v>25</v>
      </c>
      <c r="U30" s="754">
        <f t="shared" si="13"/>
        <v>100</v>
      </c>
      <c r="V30" s="753" t="s">
        <v>25</v>
      </c>
      <c r="W30" s="754">
        <f t="shared" si="14"/>
        <v>100</v>
      </c>
      <c r="X30" s="1898"/>
      <c r="Y30" s="3004"/>
      <c r="Z30" s="1900">
        <f t="shared" si="15"/>
        <v>111</v>
      </c>
      <c r="AA30" s="1901">
        <f t="shared" si="3"/>
        <v>1</v>
      </c>
      <c r="AB30" s="1901">
        <f t="shared" si="4"/>
        <v>1</v>
      </c>
      <c r="AC30" s="1901">
        <f t="shared" si="5"/>
        <v>1</v>
      </c>
    </row>
    <row r="31" spans="1:29" ht="15" hidden="1">
      <c r="A31" s="408"/>
      <c r="B31" s="2470">
        <v>111</v>
      </c>
      <c r="C31" s="2468"/>
      <c r="D31" s="415">
        <v>100</v>
      </c>
      <c r="E31" s="412"/>
      <c r="F31" s="415">
        <f>SUMIF(97:97,E31,98:98)-SUMIF(97:97,C31,98:98)+100</f>
        <v>100</v>
      </c>
      <c r="G31" s="1471"/>
      <c r="H31" s="415">
        <f>SUMIF(97:97,G31,98:98)-SUMIF(97:97,C31,98:98)+100</f>
        <v>100</v>
      </c>
      <c r="I31" s="412"/>
      <c r="J31" s="415">
        <f>SUMIF(97:97,I31,98:98)-SUMIF(97:97,C31,98:98)+100</f>
        <v>100</v>
      </c>
      <c r="K31" s="597"/>
      <c r="L31" s="1252"/>
      <c r="M31" s="1243"/>
      <c r="N31" s="1243"/>
      <c r="O31" s="1243"/>
      <c r="P31" s="3002"/>
      <c r="Q31" s="1897">
        <f t="shared" si="11"/>
        <v>111</v>
      </c>
      <c r="R31" s="753" t="s">
        <v>25</v>
      </c>
      <c r="S31" s="754">
        <f t="shared" si="12"/>
        <v>100</v>
      </c>
      <c r="T31" s="753" t="s">
        <v>25</v>
      </c>
      <c r="U31" s="754">
        <f t="shared" si="13"/>
        <v>100</v>
      </c>
      <c r="V31" s="753" t="s">
        <v>25</v>
      </c>
      <c r="W31" s="754">
        <f t="shared" si="14"/>
        <v>100</v>
      </c>
      <c r="X31" s="1898"/>
      <c r="Y31" s="3004"/>
      <c r="Z31" s="1900">
        <f t="shared" si="15"/>
        <v>111</v>
      </c>
      <c r="AA31" s="1901">
        <f t="shared" si="3"/>
        <v>1</v>
      </c>
      <c r="AB31" s="1901">
        <f t="shared" si="4"/>
        <v>1</v>
      </c>
      <c r="AC31" s="1901">
        <f t="shared" si="5"/>
        <v>1</v>
      </c>
    </row>
    <row r="32" spans="1:29" ht="15.75" hidden="1" thickBot="1">
      <c r="A32" s="416"/>
      <c r="B32" s="619">
        <v>111</v>
      </c>
      <c r="C32" s="1482"/>
      <c r="D32" s="417">
        <v>100</v>
      </c>
      <c r="E32" s="612"/>
      <c r="F32" s="417">
        <f>SUMIF(99:99,E32,100:100)-SUMIF(99:99,C32,100:100)+100</f>
        <v>100</v>
      </c>
      <c r="G32" s="1471"/>
      <c r="H32" s="417">
        <f>SUMIF(99:99,G32,100:100)-SUMIF(99:99,C32,100:100)+100</f>
        <v>100</v>
      </c>
      <c r="I32" s="412"/>
      <c r="J32" s="417">
        <f>SUMIF(99:99,I32,100:100)-SUMIF(99:99,C32,100:100)+100</f>
        <v>100</v>
      </c>
      <c r="K32" s="597"/>
      <c r="L32" s="1252"/>
      <c r="M32" s="1243"/>
      <c r="N32" s="1243"/>
      <c r="O32" s="1243"/>
      <c r="P32" s="3002"/>
      <c r="Q32" s="1897">
        <f t="shared" si="11"/>
        <v>111</v>
      </c>
      <c r="R32" s="753" t="s">
        <v>25</v>
      </c>
      <c r="S32" s="754">
        <f t="shared" si="12"/>
        <v>100</v>
      </c>
      <c r="T32" s="753" t="s">
        <v>25</v>
      </c>
      <c r="U32" s="754">
        <f t="shared" si="13"/>
        <v>100</v>
      </c>
      <c r="V32" s="753" t="s">
        <v>25</v>
      </c>
      <c r="W32" s="754">
        <f t="shared" si="14"/>
        <v>100</v>
      </c>
      <c r="X32" s="1898"/>
      <c r="Y32" s="3004"/>
      <c r="Z32" s="1900">
        <f t="shared" si="15"/>
        <v>111</v>
      </c>
      <c r="AA32" s="1901">
        <f t="shared" si="3"/>
        <v>1</v>
      </c>
      <c r="AB32" s="1901">
        <f t="shared" si="4"/>
        <v>1</v>
      </c>
      <c r="AC32" s="1901">
        <f t="shared" si="5"/>
        <v>1</v>
      </c>
    </row>
    <row r="33" spans="1:29" ht="15">
      <c r="A33" s="419" t="s">
        <v>2363</v>
      </c>
      <c r="B33" s="28" t="s">
        <v>2479</v>
      </c>
      <c r="C33" s="2471" t="s">
        <v>2874</v>
      </c>
      <c r="D33" s="448">
        <v>100</v>
      </c>
      <c r="E33" s="2471" t="s">
        <v>2874</v>
      </c>
      <c r="F33" s="442">
        <f>SUMIF(101:101,E33,102:102)-SUMIF(101:101,C33,102:102)+100</f>
        <v>100</v>
      </c>
      <c r="G33" s="2471" t="s">
        <v>2874</v>
      </c>
      <c r="H33" s="415">
        <f>SUMIF(101:101,G33,102:102)-SUMIF(101:101,C33,102:102)+100</f>
        <v>100</v>
      </c>
      <c r="I33" s="2471" t="s">
        <v>2874</v>
      </c>
      <c r="J33" s="448">
        <f>SUMIF(101:101,I33,102:102)-SUMIF(101:101,C33,102:102)+100</f>
        <v>100</v>
      </c>
      <c r="K33" s="596">
        <v>5</v>
      </c>
      <c r="L33" s="1252"/>
      <c r="M33" s="1243"/>
      <c r="N33" s="1243"/>
      <c r="O33" s="1243"/>
      <c r="P33" s="2987" t="s">
        <v>2365</v>
      </c>
      <c r="Q33" s="1897" t="str">
        <f t="shared" si="11"/>
        <v>建筑类型</v>
      </c>
      <c r="R33" s="753" t="s">
        <v>25</v>
      </c>
      <c r="S33" s="754">
        <f t="shared" si="12"/>
        <v>100</v>
      </c>
      <c r="T33" s="753" t="s">
        <v>25</v>
      </c>
      <c r="U33" s="754">
        <f t="shared" si="13"/>
        <v>100</v>
      </c>
      <c r="V33" s="753" t="s">
        <v>25</v>
      </c>
      <c r="W33" s="754">
        <f t="shared" si="14"/>
        <v>100</v>
      </c>
      <c r="X33" s="1898"/>
      <c r="Y33" s="2990" t="s">
        <v>2365</v>
      </c>
      <c r="Z33" s="1900" t="str">
        <f t="shared" si="15"/>
        <v>建筑类型</v>
      </c>
      <c r="AA33" s="1901">
        <f t="shared" si="3"/>
        <v>1</v>
      </c>
      <c r="AB33" s="1901">
        <f t="shared" si="4"/>
        <v>1</v>
      </c>
      <c r="AC33" s="1901">
        <f t="shared" si="5"/>
        <v>1</v>
      </c>
    </row>
    <row r="34" spans="1:29" s="452" customFormat="1" ht="15">
      <c r="A34" s="449"/>
      <c r="B34" s="402" t="s">
        <v>2366</v>
      </c>
      <c r="C34" s="450"/>
      <c r="D34" s="52">
        <v>100</v>
      </c>
      <c r="E34" s="410"/>
      <c r="F34" s="405">
        <f>LOOKUP(E34,104:104,105:105)-LOOKUP(C34,104:104,105:105)+100</f>
        <v>100</v>
      </c>
      <c r="G34" s="409"/>
      <c r="H34" s="52">
        <f>LOOKUP(G34,104:104,105:105)-LOOKUP(C34,104:104,105:105)+100</f>
        <v>100</v>
      </c>
      <c r="I34" s="409"/>
      <c r="J34" s="52">
        <f>LOOKUP(I34,104:104,105:105)-LOOKUP(C34,104:104,105:105)+100</f>
        <v>100</v>
      </c>
      <c r="K34" s="597"/>
      <c r="L34" s="1250"/>
      <c r="M34" s="1253"/>
      <c r="N34" s="1253"/>
      <c r="O34" s="1253"/>
      <c r="P34" s="2988"/>
      <c r="Q34" s="755" t="str">
        <f t="shared" si="11"/>
        <v>项目建筑规模</v>
      </c>
      <c r="R34" s="756" t="s">
        <v>25</v>
      </c>
      <c r="S34" s="757">
        <f t="shared" si="12"/>
        <v>100</v>
      </c>
      <c r="T34" s="756" t="s">
        <v>25</v>
      </c>
      <c r="U34" s="757">
        <f t="shared" si="13"/>
        <v>100</v>
      </c>
      <c r="V34" s="756" t="s">
        <v>25</v>
      </c>
      <c r="W34" s="757">
        <f t="shared" si="14"/>
        <v>100</v>
      </c>
      <c r="X34" s="758"/>
      <c r="Y34" s="2990"/>
      <c r="Z34" s="759" t="str">
        <f t="shared" si="15"/>
        <v>项目建筑规模</v>
      </c>
      <c r="AA34" s="1901">
        <f t="shared" si="3"/>
        <v>1</v>
      </c>
      <c r="AB34" s="1901">
        <f t="shared" si="4"/>
        <v>1</v>
      </c>
      <c r="AC34" s="1901">
        <f t="shared" si="5"/>
        <v>1</v>
      </c>
    </row>
    <row r="35" spans="1:29" ht="15">
      <c r="A35" s="453"/>
      <c r="B35" s="402" t="s">
        <v>2367</v>
      </c>
      <c r="C35" s="441" t="s">
        <v>2829</v>
      </c>
      <c r="D35" s="415">
        <v>100</v>
      </c>
      <c r="E35" s="441" t="s">
        <v>2829</v>
      </c>
      <c r="F35" s="442">
        <f>SUMIF(106:106,E35,107:107)-SUMIF(106:106,C35,107:107)+100</f>
        <v>100</v>
      </c>
      <c r="G35" s="441" t="s">
        <v>2829</v>
      </c>
      <c r="H35" s="415">
        <f>SUMIF(106:106,G35,107:107)-SUMIF(106:106,C35,107:107)+100</f>
        <v>100</v>
      </c>
      <c r="I35" s="441" t="s">
        <v>2829</v>
      </c>
      <c r="J35" s="415">
        <f>SUMIF(106:106,I35,107:107)-SUMIF(106:106,C35,107:107)+100</f>
        <v>100</v>
      </c>
      <c r="K35" s="596">
        <v>5</v>
      </c>
      <c r="L35" s="1252"/>
      <c r="M35" s="1243"/>
      <c r="N35" s="1243"/>
      <c r="O35" s="1243"/>
      <c r="P35" s="2988"/>
      <c r="Q35" s="1897" t="str">
        <f t="shared" si="11"/>
        <v>建筑结构</v>
      </c>
      <c r="R35" s="753" t="s">
        <v>25</v>
      </c>
      <c r="S35" s="754">
        <f t="shared" si="12"/>
        <v>100</v>
      </c>
      <c r="T35" s="753" t="s">
        <v>25</v>
      </c>
      <c r="U35" s="754">
        <f t="shared" si="13"/>
        <v>100</v>
      </c>
      <c r="V35" s="753" t="s">
        <v>25</v>
      </c>
      <c r="W35" s="754">
        <f t="shared" si="14"/>
        <v>100</v>
      </c>
      <c r="X35" s="1898"/>
      <c r="Y35" s="2990"/>
      <c r="Z35" s="1900" t="str">
        <f t="shared" si="15"/>
        <v>建筑结构</v>
      </c>
      <c r="AA35" s="1901">
        <f t="shared" si="3"/>
        <v>1</v>
      </c>
      <c r="AB35" s="1901">
        <f t="shared" si="4"/>
        <v>1</v>
      </c>
      <c r="AC35" s="1901">
        <f t="shared" si="5"/>
        <v>1</v>
      </c>
    </row>
    <row r="36" spans="1:29" ht="15">
      <c r="A36" s="453"/>
      <c r="B36" s="402" t="s">
        <v>2452</v>
      </c>
      <c r="C36" s="441" t="s">
        <v>2876</v>
      </c>
      <c r="D36" s="415">
        <v>100</v>
      </c>
      <c r="E36" s="441" t="s">
        <v>2876</v>
      </c>
      <c r="F36" s="442">
        <f>SUMIF(108:108,E36,109:109)-SUMIF(108:108,C36,109:109)+100</f>
        <v>100</v>
      </c>
      <c r="G36" s="441" t="s">
        <v>2876</v>
      </c>
      <c r="H36" s="415">
        <f>SUMIF(108:108,G36,109:109)-SUMIF(108:108,C36,109:109)+100</f>
        <v>100</v>
      </c>
      <c r="I36" s="441" t="s">
        <v>2876</v>
      </c>
      <c r="J36" s="415">
        <f>SUMIF(108:108,I36,109:109)-SUMIF(108:108,C36,109:109)+100</f>
        <v>100</v>
      </c>
      <c r="K36" s="596">
        <v>2</v>
      </c>
      <c r="L36" s="1252"/>
      <c r="M36" s="1243"/>
      <c r="N36" s="1243"/>
      <c r="O36" s="1243"/>
      <c r="P36" s="2988"/>
      <c r="Q36" s="1897" t="str">
        <f t="shared" si="11"/>
        <v>公共部分装修</v>
      </c>
      <c r="R36" s="753" t="s">
        <v>25</v>
      </c>
      <c r="S36" s="754">
        <f t="shared" si="12"/>
        <v>100</v>
      </c>
      <c r="T36" s="753" t="s">
        <v>25</v>
      </c>
      <c r="U36" s="754">
        <f t="shared" si="13"/>
        <v>100</v>
      </c>
      <c r="V36" s="753" t="s">
        <v>25</v>
      </c>
      <c r="W36" s="754">
        <f t="shared" si="14"/>
        <v>100</v>
      </c>
      <c r="X36" s="1898"/>
      <c r="Y36" s="2990"/>
      <c r="Z36" s="1900" t="str">
        <f t="shared" si="15"/>
        <v>公共部分装修</v>
      </c>
      <c r="AA36" s="1901">
        <f t="shared" si="3"/>
        <v>1</v>
      </c>
      <c r="AB36" s="1901">
        <f t="shared" si="4"/>
        <v>1</v>
      </c>
      <c r="AC36" s="1901">
        <f t="shared" si="5"/>
        <v>1</v>
      </c>
    </row>
    <row r="37" spans="1:29" ht="15">
      <c r="A37" s="453"/>
      <c r="B37" s="402" t="s">
        <v>2453</v>
      </c>
      <c r="C37" s="455">
        <f>'数据-取费表'!E20</f>
        <v>0.78</v>
      </c>
      <c r="D37" s="415">
        <v>100</v>
      </c>
      <c r="E37" s="455">
        <f>案例!R12</f>
        <v>0.72</v>
      </c>
      <c r="F37" s="442">
        <f>LOOKUP(E37,111:111,112:112)-LOOKUP(C37,111:111,112:112)+100</f>
        <v>100</v>
      </c>
      <c r="G37" s="455">
        <f>案例!R13</f>
        <v>0.75</v>
      </c>
      <c r="H37" s="442">
        <f>LOOKUP(G37,111:111,112:112)-LOOKUP(C37,111:111,112:112)+100</f>
        <v>100</v>
      </c>
      <c r="I37" s="455">
        <f>案例!R14</f>
        <v>0.8</v>
      </c>
      <c r="J37" s="415">
        <f>LOOKUP(I37,111:111,112:112)-LOOKUP(C37,111:111,112:112)+100</f>
        <v>101</v>
      </c>
      <c r="K37" s="596">
        <v>1</v>
      </c>
      <c r="L37" s="1252"/>
      <c r="M37" s="1243"/>
      <c r="N37" s="1243"/>
      <c r="O37" s="1243"/>
      <c r="P37" s="2988"/>
      <c r="Q37" s="1897" t="str">
        <f t="shared" si="11"/>
        <v>成新度</v>
      </c>
      <c r="R37" s="753" t="s">
        <v>25</v>
      </c>
      <c r="S37" s="754">
        <f t="shared" si="12"/>
        <v>100</v>
      </c>
      <c r="T37" s="753" t="s">
        <v>25</v>
      </c>
      <c r="U37" s="754">
        <f t="shared" si="13"/>
        <v>100</v>
      </c>
      <c r="V37" s="753" t="s">
        <v>25</v>
      </c>
      <c r="W37" s="754">
        <f t="shared" si="14"/>
        <v>101</v>
      </c>
      <c r="X37" s="1898"/>
      <c r="Y37" s="2990"/>
      <c r="Z37" s="1900" t="str">
        <f t="shared" si="15"/>
        <v>成新度</v>
      </c>
      <c r="AA37" s="1901">
        <f t="shared" si="3"/>
        <v>1</v>
      </c>
      <c r="AB37" s="1901">
        <f t="shared" si="4"/>
        <v>1</v>
      </c>
      <c r="AC37" s="1901">
        <f t="shared" si="5"/>
        <v>0.99009900990099009</v>
      </c>
    </row>
    <row r="38" spans="1:29" s="35" customFormat="1" ht="15">
      <c r="A38" s="454"/>
      <c r="B38" s="402" t="s">
        <v>2480</v>
      </c>
      <c r="C38" s="441" t="s">
        <v>2882</v>
      </c>
      <c r="D38" s="52">
        <v>100</v>
      </c>
      <c r="E38" s="441" t="s">
        <v>2882</v>
      </c>
      <c r="F38" s="442">
        <f>SUMIF(113:113,E38,114:114)-SUMIF(113:113,C38,114:114)+100</f>
        <v>100</v>
      </c>
      <c r="G38" s="441" t="s">
        <v>2882</v>
      </c>
      <c r="H38" s="415">
        <f>SUMIF(113:113,G38,114:114)-SUMIF(113:113,C38,114:114)+100</f>
        <v>100</v>
      </c>
      <c r="I38" s="441" t="s">
        <v>2882</v>
      </c>
      <c r="J38" s="415">
        <f>SUMIF(113:113,I38,114:114)-SUMIF(113:113,C38,114:114)+100</f>
        <v>100</v>
      </c>
      <c r="K38" s="596">
        <v>5</v>
      </c>
      <c r="L38" s="1244"/>
      <c r="M38" s="1245"/>
      <c r="N38" s="1245"/>
      <c r="O38" s="1245"/>
      <c r="P38" s="2988"/>
      <c r="Q38" s="1885" t="str">
        <f t="shared" si="11"/>
        <v>写字楼等级</v>
      </c>
      <c r="R38" s="749" t="s">
        <v>25</v>
      </c>
      <c r="S38" s="750">
        <f t="shared" si="12"/>
        <v>100</v>
      </c>
      <c r="T38" s="749" t="s">
        <v>25</v>
      </c>
      <c r="U38" s="750">
        <f t="shared" si="13"/>
        <v>100</v>
      </c>
      <c r="V38" s="749" t="s">
        <v>25</v>
      </c>
      <c r="W38" s="750">
        <f t="shared" si="14"/>
        <v>100</v>
      </c>
      <c r="X38" s="751"/>
      <c r="Y38" s="2990"/>
      <c r="Z38" s="23" t="str">
        <f t="shared" si="15"/>
        <v>写字楼等级</v>
      </c>
      <c r="AA38" s="752">
        <f t="shared" si="3"/>
        <v>1</v>
      </c>
      <c r="AB38" s="752">
        <f t="shared" si="4"/>
        <v>1</v>
      </c>
      <c r="AC38" s="752">
        <f t="shared" si="5"/>
        <v>1</v>
      </c>
    </row>
    <row r="39" spans="1:29" ht="15">
      <c r="A39" s="453"/>
      <c r="B39" s="402" t="s">
        <v>2481</v>
      </c>
      <c r="C39" s="441" t="s">
        <v>2884</v>
      </c>
      <c r="D39" s="415">
        <v>100</v>
      </c>
      <c r="E39" s="441" t="s">
        <v>2884</v>
      </c>
      <c r="F39" s="442">
        <f>SUMIF(115:115,E39,116:116)-SUMIF(115:115,C39,116:116)+100</f>
        <v>100</v>
      </c>
      <c r="G39" s="441" t="s">
        <v>2884</v>
      </c>
      <c r="H39" s="415">
        <f>SUMIF(115:115,G39,116:116)-SUMIF(115:115,C39,116:116)+100</f>
        <v>100</v>
      </c>
      <c r="I39" s="441" t="s">
        <v>2884</v>
      </c>
      <c r="J39" s="415">
        <f>SUMIF(115:115,I39,116:116)-SUMIF(115:115,C39,116:116)+100</f>
        <v>100</v>
      </c>
      <c r="K39" s="596">
        <v>2</v>
      </c>
      <c r="L39" s="1252"/>
      <c r="M39" s="1243"/>
      <c r="N39" s="1243"/>
      <c r="O39" s="1243"/>
      <c r="P39" s="2988" t="s">
        <v>2365</v>
      </c>
      <c r="Q39" s="1897" t="str">
        <f t="shared" si="11"/>
        <v>物业管理</v>
      </c>
      <c r="R39" s="753" t="s">
        <v>25</v>
      </c>
      <c r="S39" s="754">
        <f t="shared" si="12"/>
        <v>100</v>
      </c>
      <c r="T39" s="753" t="s">
        <v>25</v>
      </c>
      <c r="U39" s="754">
        <f t="shared" si="13"/>
        <v>100</v>
      </c>
      <c r="V39" s="753" t="s">
        <v>25</v>
      </c>
      <c r="W39" s="754">
        <f t="shared" si="14"/>
        <v>100</v>
      </c>
      <c r="X39" s="1898"/>
      <c r="Y39" s="2990" t="s">
        <v>2365</v>
      </c>
      <c r="Z39" s="1900" t="str">
        <f t="shared" si="15"/>
        <v>物业管理</v>
      </c>
      <c r="AA39" s="1901">
        <f t="shared" si="3"/>
        <v>1</v>
      </c>
      <c r="AB39" s="1901">
        <f t="shared" si="4"/>
        <v>1</v>
      </c>
      <c r="AC39" s="1901">
        <f t="shared" si="5"/>
        <v>1</v>
      </c>
    </row>
    <row r="40" spans="1:29" ht="15">
      <c r="A40" s="453"/>
      <c r="B40" s="402" t="s">
        <v>2454</v>
      </c>
      <c r="C40" s="441" t="s">
        <v>2887</v>
      </c>
      <c r="D40" s="415">
        <v>100</v>
      </c>
      <c r="E40" s="441" t="s">
        <v>2887</v>
      </c>
      <c r="F40" s="442">
        <f>SUMIF(117:117,E40,118:118)-SUMIF(117:117,C40,118:118)+100</f>
        <v>100</v>
      </c>
      <c r="G40" s="441" t="s">
        <v>2887</v>
      </c>
      <c r="H40" s="415">
        <f>SUMIF(117:117,G40,118:118)-SUMIF(117:117,C40,118:118)+100</f>
        <v>100</v>
      </c>
      <c r="I40" s="441" t="s">
        <v>2887</v>
      </c>
      <c r="J40" s="415">
        <f>SUMIF(117:117,I40,118:118)-SUMIF(117:117,C40,118:118)+100</f>
        <v>100</v>
      </c>
      <c r="K40" s="596">
        <v>1</v>
      </c>
      <c r="L40" s="1252"/>
      <c r="M40" s="1243"/>
      <c r="N40" s="1243"/>
      <c r="O40" s="1243"/>
      <c r="P40" s="2988"/>
      <c r="Q40" s="1897" t="str">
        <f t="shared" si="11"/>
        <v>市政基础设施</v>
      </c>
      <c r="R40" s="753" t="s">
        <v>25</v>
      </c>
      <c r="S40" s="754">
        <f t="shared" si="12"/>
        <v>100</v>
      </c>
      <c r="T40" s="753" t="s">
        <v>25</v>
      </c>
      <c r="U40" s="754">
        <f t="shared" si="13"/>
        <v>100</v>
      </c>
      <c r="V40" s="753" t="s">
        <v>25</v>
      </c>
      <c r="W40" s="754">
        <f t="shared" si="14"/>
        <v>100</v>
      </c>
      <c r="X40" s="1898"/>
      <c r="Y40" s="2990"/>
      <c r="Z40" s="1900" t="str">
        <f t="shared" si="15"/>
        <v>市政基础设施</v>
      </c>
      <c r="AA40" s="1901">
        <f t="shared" si="3"/>
        <v>1</v>
      </c>
      <c r="AB40" s="1901">
        <f t="shared" si="4"/>
        <v>1</v>
      </c>
      <c r="AC40" s="1901">
        <f t="shared" si="5"/>
        <v>1</v>
      </c>
    </row>
    <row r="41" spans="1:29" ht="15">
      <c r="A41" s="453"/>
      <c r="B41" s="402" t="s">
        <v>2456</v>
      </c>
      <c r="C41" s="600" t="s">
        <v>2890</v>
      </c>
      <c r="D41" s="415">
        <v>100</v>
      </c>
      <c r="E41" s="600" t="s">
        <v>2890</v>
      </c>
      <c r="F41" s="442">
        <f>SUMIF(119:119,E41,120:120)-SUMIF(119:119,C41,120:120)+100</f>
        <v>100</v>
      </c>
      <c r="G41" s="600" t="s">
        <v>2890</v>
      </c>
      <c r="H41" s="415">
        <f>SUMIF(119:119,G41,120:120)-SUMIF(119:119,C41,120:120)+100</f>
        <v>100</v>
      </c>
      <c r="I41" s="600" t="s">
        <v>2890</v>
      </c>
      <c r="J41" s="415">
        <f>SUMIF(119:119,I41,120:120)-SUMIF(119:119,C41,120:120)+100</f>
        <v>100</v>
      </c>
      <c r="K41" s="596">
        <v>2</v>
      </c>
      <c r="L41" s="1252"/>
      <c r="M41" s="1243"/>
      <c r="N41" s="1243"/>
      <c r="O41" s="1243"/>
      <c r="P41" s="2988"/>
      <c r="Q41" s="1897" t="str">
        <f t="shared" si="11"/>
        <v>层高</v>
      </c>
      <c r="R41" s="753" t="s">
        <v>25</v>
      </c>
      <c r="S41" s="754">
        <f t="shared" si="12"/>
        <v>100</v>
      </c>
      <c r="T41" s="753" t="s">
        <v>25</v>
      </c>
      <c r="U41" s="754">
        <f t="shared" si="13"/>
        <v>100</v>
      </c>
      <c r="V41" s="753" t="s">
        <v>25</v>
      </c>
      <c r="W41" s="754">
        <f t="shared" si="14"/>
        <v>100</v>
      </c>
      <c r="X41" s="1898"/>
      <c r="Y41" s="2990"/>
      <c r="Z41" s="1900" t="str">
        <f t="shared" si="15"/>
        <v>层高</v>
      </c>
      <c r="AA41" s="1901">
        <f t="shared" si="3"/>
        <v>1</v>
      </c>
      <c r="AB41" s="1901">
        <f t="shared" si="4"/>
        <v>1</v>
      </c>
      <c r="AC41" s="1901">
        <f t="shared" si="5"/>
        <v>1</v>
      </c>
    </row>
    <row r="42" spans="1:29" s="452" customFormat="1" ht="15">
      <c r="A42" s="449"/>
      <c r="B42" s="1902" t="s">
        <v>2482</v>
      </c>
      <c r="C42" s="414" t="s">
        <v>2897</v>
      </c>
      <c r="D42" s="415">
        <v>100</v>
      </c>
      <c r="E42" s="414" t="s">
        <v>2897</v>
      </c>
      <c r="F42" s="442">
        <f>SUMIF(121:121,E42,122:122)-SUMIF(121:121,C42,122:122)+100</f>
        <v>100</v>
      </c>
      <c r="G42" s="414" t="s">
        <v>2895</v>
      </c>
      <c r="H42" s="415">
        <f>SUMIF(121:121,G42,122:122)-SUMIF(121:121,C42,122:122)+100</f>
        <v>98</v>
      </c>
      <c r="I42" s="414" t="s">
        <v>2901</v>
      </c>
      <c r="J42" s="415">
        <f>SUMIF(121:121,I42,122:122)-SUMIF(121:121,C42,122:122)+100</f>
        <v>102</v>
      </c>
      <c r="K42" s="597"/>
      <c r="L42" s="1250"/>
      <c r="M42" s="1253"/>
      <c r="N42" s="1253"/>
      <c r="O42" s="1253"/>
      <c r="P42" s="2988"/>
      <c r="Q42" s="755" t="str">
        <f t="shared" si="11"/>
        <v>单套建筑面积</v>
      </c>
      <c r="R42" s="756" t="s">
        <v>25</v>
      </c>
      <c r="S42" s="757">
        <f t="shared" si="12"/>
        <v>100</v>
      </c>
      <c r="T42" s="756" t="s">
        <v>25</v>
      </c>
      <c r="U42" s="757">
        <f t="shared" si="13"/>
        <v>98</v>
      </c>
      <c r="V42" s="756" t="s">
        <v>25</v>
      </c>
      <c r="W42" s="757">
        <f t="shared" si="14"/>
        <v>102</v>
      </c>
      <c r="X42" s="758"/>
      <c r="Y42" s="2990"/>
      <c r="Z42" s="759" t="str">
        <f t="shared" si="15"/>
        <v>单套建筑面积</v>
      </c>
      <c r="AA42" s="1901">
        <f t="shared" si="3"/>
        <v>1</v>
      </c>
      <c r="AB42" s="1901">
        <f t="shared" si="4"/>
        <v>1.0204081632653061</v>
      </c>
      <c r="AC42" s="1901">
        <f t="shared" si="5"/>
        <v>0.98039215686274506</v>
      </c>
    </row>
    <row r="43" spans="1:29" ht="15">
      <c r="A43" s="453"/>
      <c r="B43" s="402" t="s">
        <v>2459</v>
      </c>
      <c r="C43" s="441" t="s">
        <v>2878</v>
      </c>
      <c r="D43" s="415">
        <v>100</v>
      </c>
      <c r="E43" s="441" t="s">
        <v>2878</v>
      </c>
      <c r="F43" s="442">
        <f>SUMIF(123:123,E43,124:124)-SUMIF(123:123,C43,124:124)+100</f>
        <v>100</v>
      </c>
      <c r="G43" s="441" t="s">
        <v>2878</v>
      </c>
      <c r="H43" s="415">
        <f>SUMIF(123:123,G43,124:124)-SUMIF(123:123,C43,124:124)+100</f>
        <v>100</v>
      </c>
      <c r="I43" s="441" t="s">
        <v>2878</v>
      </c>
      <c r="J43" s="415">
        <f>SUMIF(123:123,I43,124:124)-SUMIF(123:123,C43,124:124)+100</f>
        <v>100</v>
      </c>
      <c r="K43" s="596">
        <v>2</v>
      </c>
      <c r="L43" s="1252"/>
      <c r="M43" s="1243"/>
      <c r="N43" s="1243"/>
      <c r="O43" s="1243"/>
      <c r="P43" s="2988"/>
      <c r="Q43" s="1897" t="str">
        <f t="shared" si="11"/>
        <v>内部装修</v>
      </c>
      <c r="R43" s="753" t="s">
        <v>25</v>
      </c>
      <c r="S43" s="754">
        <f t="shared" si="12"/>
        <v>100</v>
      </c>
      <c r="T43" s="753" t="s">
        <v>25</v>
      </c>
      <c r="U43" s="754">
        <f t="shared" si="13"/>
        <v>100</v>
      </c>
      <c r="V43" s="753" t="s">
        <v>25</v>
      </c>
      <c r="W43" s="754">
        <f t="shared" si="14"/>
        <v>100</v>
      </c>
      <c r="X43" s="1898"/>
      <c r="Y43" s="2990"/>
      <c r="Z43" s="1900" t="str">
        <f t="shared" si="15"/>
        <v>内部装修</v>
      </c>
      <c r="AA43" s="1901">
        <f t="shared" si="3"/>
        <v>1</v>
      </c>
      <c r="AB43" s="1901">
        <f t="shared" si="4"/>
        <v>1</v>
      </c>
      <c r="AC43" s="1901">
        <f t="shared" si="5"/>
        <v>1</v>
      </c>
    </row>
    <row r="44" spans="1:29" ht="15.75" thickBot="1">
      <c r="A44" s="453"/>
      <c r="B44" s="402" t="s">
        <v>2376</v>
      </c>
      <c r="C44" s="441" t="s">
        <v>31</v>
      </c>
      <c r="D44" s="415">
        <v>100</v>
      </c>
      <c r="E44" s="441" t="s">
        <v>30</v>
      </c>
      <c r="F44" s="442">
        <f>SUMIF(125:125,E44,126:126)-SUMIF(125:125,C44,126:126)+100</f>
        <v>102</v>
      </c>
      <c r="G44" s="441" t="s">
        <v>30</v>
      </c>
      <c r="H44" s="415">
        <f>SUMIF(125:125,G44,126:126)-SUMIF(125:125,C44,126:126)+100</f>
        <v>102</v>
      </c>
      <c r="I44" s="441" t="s">
        <v>30</v>
      </c>
      <c r="J44" s="415">
        <f>SUMIF(125:125,I44,126:126)-SUMIF(125:125,C44,126:126)+100</f>
        <v>102</v>
      </c>
      <c r="K44" s="596">
        <v>2</v>
      </c>
      <c r="L44" s="1252"/>
      <c r="M44" s="1243"/>
      <c r="N44" s="1243"/>
      <c r="O44" s="1243"/>
      <c r="P44" s="2988"/>
      <c r="Q44" s="1897" t="str">
        <f t="shared" si="11"/>
        <v>内部装修维护情况</v>
      </c>
      <c r="R44" s="753" t="s">
        <v>25</v>
      </c>
      <c r="S44" s="754">
        <f t="shared" si="12"/>
        <v>102</v>
      </c>
      <c r="T44" s="753" t="s">
        <v>25</v>
      </c>
      <c r="U44" s="754">
        <f t="shared" si="13"/>
        <v>102</v>
      </c>
      <c r="V44" s="753" t="s">
        <v>25</v>
      </c>
      <c r="W44" s="754">
        <f t="shared" si="14"/>
        <v>102</v>
      </c>
      <c r="X44" s="1898"/>
      <c r="Y44" s="2990"/>
      <c r="Z44" s="1900" t="str">
        <f t="shared" si="15"/>
        <v>内部装修维护情况</v>
      </c>
      <c r="AA44" s="1901">
        <f t="shared" si="3"/>
        <v>0.98039215686274506</v>
      </c>
      <c r="AB44" s="1901">
        <f t="shared" si="4"/>
        <v>0.98039215686274506</v>
      </c>
      <c r="AC44" s="1901">
        <f t="shared" si="5"/>
        <v>0.98039215686274506</v>
      </c>
    </row>
    <row r="45" spans="1:29" s="35" customFormat="1" ht="15" hidden="1">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2988"/>
      <c r="Q45" s="1885">
        <f t="shared" si="11"/>
        <v>111</v>
      </c>
      <c r="R45" s="749" t="s">
        <v>25</v>
      </c>
      <c r="S45" s="750">
        <f t="shared" si="12"/>
        <v>100</v>
      </c>
      <c r="T45" s="749" t="s">
        <v>25</v>
      </c>
      <c r="U45" s="750">
        <f t="shared" si="13"/>
        <v>100</v>
      </c>
      <c r="V45" s="749" t="s">
        <v>25</v>
      </c>
      <c r="W45" s="750">
        <f t="shared" si="14"/>
        <v>100</v>
      </c>
      <c r="X45" s="751"/>
      <c r="Y45" s="2990"/>
      <c r="Z45" s="23">
        <f t="shared" si="15"/>
        <v>111</v>
      </c>
      <c r="AA45" s="752">
        <f t="shared" si="3"/>
        <v>1</v>
      </c>
      <c r="AB45" s="752">
        <f t="shared" si="4"/>
        <v>1</v>
      </c>
      <c r="AC45" s="752">
        <f t="shared" si="5"/>
        <v>1</v>
      </c>
    </row>
    <row r="46" spans="1:29" ht="15" hidden="1">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2988"/>
      <c r="Q46" s="1897">
        <f t="shared" si="11"/>
        <v>111</v>
      </c>
      <c r="R46" s="753" t="s">
        <v>25</v>
      </c>
      <c r="S46" s="754">
        <f t="shared" si="12"/>
        <v>100</v>
      </c>
      <c r="T46" s="753" t="s">
        <v>25</v>
      </c>
      <c r="U46" s="754">
        <f t="shared" si="13"/>
        <v>100</v>
      </c>
      <c r="V46" s="753" t="s">
        <v>25</v>
      </c>
      <c r="W46" s="754">
        <f t="shared" si="14"/>
        <v>100</v>
      </c>
      <c r="X46" s="1898"/>
      <c r="Y46" s="2990"/>
      <c r="Z46" s="1900">
        <f t="shared" si="15"/>
        <v>111</v>
      </c>
      <c r="AA46" s="1901">
        <f t="shared" si="3"/>
        <v>1</v>
      </c>
      <c r="AB46" s="1901">
        <f t="shared" si="4"/>
        <v>1</v>
      </c>
      <c r="AC46" s="1901">
        <f t="shared" si="5"/>
        <v>1</v>
      </c>
    </row>
    <row r="47" spans="1:29" ht="15.75" hidden="1"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2989"/>
      <c r="Q47" s="1897">
        <f t="shared" si="11"/>
        <v>111</v>
      </c>
      <c r="R47" s="753" t="s">
        <v>25</v>
      </c>
      <c r="S47" s="754">
        <f t="shared" si="12"/>
        <v>100</v>
      </c>
      <c r="T47" s="753" t="s">
        <v>25</v>
      </c>
      <c r="U47" s="754">
        <f t="shared" si="13"/>
        <v>100</v>
      </c>
      <c r="V47" s="753" t="s">
        <v>25</v>
      </c>
      <c r="W47" s="754">
        <f t="shared" si="14"/>
        <v>100</v>
      </c>
      <c r="X47" s="1898"/>
      <c r="Y47" s="2991"/>
      <c r="Z47" s="1900">
        <f t="shared" si="15"/>
        <v>111</v>
      </c>
      <c r="AA47" s="1901">
        <f t="shared" si="3"/>
        <v>1</v>
      </c>
      <c r="AB47" s="1901">
        <f t="shared" si="4"/>
        <v>1</v>
      </c>
      <c r="AC47" s="1901">
        <f t="shared" si="5"/>
        <v>1</v>
      </c>
    </row>
    <row r="48" spans="1:29" ht="15">
      <c r="A48" s="460" t="s">
        <v>2377</v>
      </c>
      <c r="B48" s="461"/>
      <c r="C48" s="1500" t="s">
        <v>1</v>
      </c>
      <c r="D48" s="1501"/>
      <c r="E48" s="1502">
        <f>案例!N12</f>
        <v>41343</v>
      </c>
      <c r="F48" s="1503"/>
      <c r="G48" s="1504">
        <f>案例!N13</f>
        <v>37142</v>
      </c>
      <c r="H48" s="1505"/>
      <c r="I48" s="1502">
        <f>案例!N14</f>
        <v>43120</v>
      </c>
      <c r="J48" s="1505"/>
      <c r="K48" s="762"/>
      <c r="L48" s="1255"/>
      <c r="M48" s="1243"/>
      <c r="N48" s="1243"/>
      <c r="O48" s="1243"/>
      <c r="P48" s="2982" t="str">
        <f>A48</f>
        <v>成交单价（元/平方米）</v>
      </c>
      <c r="Q48" s="2983"/>
      <c r="R48" s="2984">
        <f>E48</f>
        <v>41343</v>
      </c>
      <c r="S48" s="2984"/>
      <c r="T48" s="2984">
        <f>G48</f>
        <v>37142</v>
      </c>
      <c r="U48" s="2984"/>
      <c r="V48" s="2984">
        <f>I48</f>
        <v>43120</v>
      </c>
      <c r="W48" s="2984"/>
      <c r="X48" s="738"/>
      <c r="Y48" s="760"/>
      <c r="Z48" s="738"/>
      <c r="AA48" s="738"/>
      <c r="AB48" s="738"/>
      <c r="AC48" s="738"/>
    </row>
    <row r="49" spans="1:29" ht="15.75" thickBot="1">
      <c r="A49" s="467" t="s">
        <v>2460</v>
      </c>
      <c r="B49" s="468"/>
      <c r="C49" s="1506">
        <f>R50</f>
        <v>37001</v>
      </c>
      <c r="D49" s="1507"/>
      <c r="E49" s="1508">
        <f>R49</f>
        <v>38618</v>
      </c>
      <c r="F49" s="1508"/>
      <c r="G49" s="1506">
        <f>T49</f>
        <v>34040</v>
      </c>
      <c r="H49" s="1507"/>
      <c r="I49" s="1508">
        <f>V49</f>
        <v>38345</v>
      </c>
      <c r="J49" s="1507"/>
      <c r="K49" s="763"/>
      <c r="L49" s="1255"/>
      <c r="M49" s="1243"/>
      <c r="N49" s="1243"/>
      <c r="O49" s="1243"/>
      <c r="P49" s="2982" t="str">
        <f>A49</f>
        <v>比较价值（元/平方米）</v>
      </c>
      <c r="Q49" s="2983"/>
      <c r="R49" s="2984">
        <f>IF(E1="售价",ROUND(PRODUCT(R48,AA7:AA47),0),ROUND(PRODUCT(R48,AA7:AA47),1))</f>
        <v>38618</v>
      </c>
      <c r="S49" s="2984"/>
      <c r="T49" s="2984">
        <f>IF(E1="售价",ROUND(PRODUCT(T48,AB7:AB47),0),ROUND(PRODUCT(T48,AB7:AB47),1))</f>
        <v>34040</v>
      </c>
      <c r="U49" s="2984"/>
      <c r="V49" s="2984">
        <f>IF(E1="售价",ROUND(PRODUCT(V48,AC7:AC47),0),ROUND(PRODUCT(V48,AC7:AC47),1))</f>
        <v>38345</v>
      </c>
      <c r="W49" s="2984"/>
      <c r="X49" s="738"/>
      <c r="Y49" s="738"/>
      <c r="Z49" s="738"/>
      <c r="AA49" s="738"/>
      <c r="AB49" s="738"/>
      <c r="AC49" s="738"/>
    </row>
    <row r="50" spans="1:29" ht="15.75" thickBot="1">
      <c r="A50" s="473" t="s">
        <v>2483</v>
      </c>
      <c r="B50" s="474"/>
      <c r="C50" s="1510">
        <f>R50</f>
        <v>37001</v>
      </c>
      <c r="D50" s="1510"/>
      <c r="E50" s="1510"/>
      <c r="F50" s="1510"/>
      <c r="G50" s="1510"/>
      <c r="H50" s="1510"/>
      <c r="I50" s="1510"/>
      <c r="J50" s="1510"/>
      <c r="K50" s="764"/>
      <c r="L50" s="1255"/>
      <c r="M50" s="1243"/>
      <c r="N50" s="1243"/>
      <c r="O50" s="1243"/>
      <c r="P50" s="2985" t="str">
        <f>A50</f>
        <v>估价对象XX用房的比较价值（楼面单价，元/平方米）</v>
      </c>
      <c r="Q50" s="2982"/>
      <c r="R50" s="2986">
        <f>IF(E1="售价",ROUND(AVERAGE(R49:V49),0),ROUND(AVERAGE(R49:V49),1))</f>
        <v>37001</v>
      </c>
      <c r="S50" s="2986"/>
      <c r="T50" s="2986"/>
      <c r="U50" s="2986"/>
      <c r="V50" s="2986"/>
      <c r="W50" s="2986"/>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2462</v>
      </c>
      <c r="D53" s="479"/>
      <c r="E53" s="480">
        <f>IF(E48&lt;E49,E49/E48-1,E48/E49-1)</f>
        <v>7.0562949919726448E-2</v>
      </c>
      <c r="F53" s="481" t="str">
        <f>IF(OR(E53&gt;=0.3,E53&lt;=-0.3),"超过30%","")</f>
        <v/>
      </c>
      <c r="G53" s="480">
        <f>IF(G48&lt;G49,G49/G48-1,G48/G49-1)</f>
        <v>9.1128084606345583E-2</v>
      </c>
      <c r="H53" s="481" t="str">
        <f>IF(OR(G53&gt;=0.3,G53&lt;=-0.3),"超过30%","")</f>
        <v/>
      </c>
      <c r="I53" s="480">
        <f>IF(I48&lt;I49,I49/I48-1,I48/I49-1)</f>
        <v>0.12452731777285164</v>
      </c>
      <c r="J53" s="481" t="str">
        <f>IF(OR(I53&gt;=0.3,I53&lt;=-0.3),"超过30%","")</f>
        <v/>
      </c>
      <c r="K53" s="1261"/>
      <c r="L53" s="1257"/>
      <c r="M53" s="1256"/>
      <c r="N53" s="1256"/>
      <c r="O53" s="1256"/>
    </row>
    <row r="54" spans="1:29" ht="13.5" customHeight="1">
      <c r="A54" s="1256"/>
      <c r="B54" s="1256"/>
      <c r="C54" s="478" t="s">
        <v>2463</v>
      </c>
      <c r="D54" s="482"/>
      <c r="E54" s="480">
        <f>IF(E49&lt;G49,G49/E49-1,E49/G49-1)</f>
        <v>0.13448883666274969</v>
      </c>
      <c r="F54" s="481" t="str">
        <f>IF(OR(E54&gt;=0.2,E54&lt;=-0.2),"超过20%","")</f>
        <v/>
      </c>
      <c r="G54" s="480">
        <f>IF(G49&lt;I49,I49/G49-1,G49/I49-1)</f>
        <v>0.12646886016451231</v>
      </c>
      <c r="H54" s="481" t="str">
        <f>IF(OR(G54&gt;=0.2,G54&lt;=-0.2),"超过20%","")</f>
        <v/>
      </c>
      <c r="I54" s="480">
        <f>IF(I49&lt;E49,E49/I49-1,I49/E49-1)</f>
        <v>7.1195723040813341E-3</v>
      </c>
      <c r="J54" s="481" t="str">
        <f>IF(OR(I54&gt;=0.2,I54&lt;=-0.2),"超过20%","")</f>
        <v/>
      </c>
      <c r="K54" s="1261"/>
      <c r="L54" s="1257"/>
      <c r="M54" s="1256"/>
      <c r="N54" s="1256"/>
      <c r="O54" s="1256"/>
    </row>
    <row r="55" spans="1:29" s="483" customFormat="1" ht="13.5" customHeight="1">
      <c r="A55" s="1258"/>
      <c r="B55" s="1258"/>
      <c r="C55" s="478" t="s">
        <v>2464</v>
      </c>
      <c r="D55" s="482"/>
      <c r="E55" s="480">
        <f>IF(E48&lt;G48,G48/E48-1,E48/G48-1)</f>
        <v>0.11310645630283767</v>
      </c>
      <c r="F55" s="481" t="str">
        <f>IF(OR(E55&gt;=0.3,E55&lt;=-0.3),"超过30%","")</f>
        <v/>
      </c>
      <c r="G55" s="480">
        <f>IF(G48&lt;I48,I48/G48-1,G48/I48-1)</f>
        <v>0.16094986807387857</v>
      </c>
      <c r="H55" s="481" t="str">
        <f>IF(OR(G55&gt;=0.3,G55&lt;=-0.3),"超过30%","")</f>
        <v/>
      </c>
      <c r="I55" s="480">
        <f>IF(I48&lt;E48,E48/I48-1,I48/E48-1)</f>
        <v>4.2981883269235466E-2</v>
      </c>
      <c r="J55" s="481" t="str">
        <f>IF(OR(I55&gt;=0.3,I55&lt;=-0.3),"超过30%","")</f>
        <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2465</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6" t="str">
        <f>YEAR(C7)&amp;"-"&amp;MONTH(C7)</f>
        <v>2018-6</v>
      </c>
      <c r="D59" s="1677">
        <f>EDATE(C59,-1)</f>
        <v>43221</v>
      </c>
      <c r="E59" s="1677">
        <f t="shared" ref="E59:O59" si="16">EDATE(D59,-1)</f>
        <v>43191</v>
      </c>
      <c r="F59" s="1677">
        <f t="shared" si="16"/>
        <v>43160</v>
      </c>
      <c r="G59" s="1677">
        <f t="shared" si="16"/>
        <v>43132</v>
      </c>
      <c r="H59" s="1677">
        <f t="shared" si="16"/>
        <v>43101</v>
      </c>
      <c r="I59" s="1677">
        <f t="shared" si="16"/>
        <v>43070</v>
      </c>
      <c r="J59" s="1677">
        <f t="shared" si="16"/>
        <v>43040</v>
      </c>
      <c r="K59" s="1677">
        <f t="shared" si="16"/>
        <v>43009</v>
      </c>
      <c r="L59" s="1677">
        <f t="shared" si="16"/>
        <v>42979</v>
      </c>
      <c r="M59" s="1677">
        <f t="shared" si="16"/>
        <v>42948</v>
      </c>
      <c r="N59" s="1677">
        <f t="shared" si="16"/>
        <v>42917</v>
      </c>
      <c r="O59" s="1677">
        <f t="shared" si="16"/>
        <v>42887</v>
      </c>
      <c r="P59" s="488"/>
    </row>
    <row r="60" spans="1:29" s="35" customFormat="1" ht="15">
      <c r="A60" s="490"/>
      <c r="B60" s="491"/>
      <c r="C60" s="623">
        <v>100</v>
      </c>
      <c r="D60" s="493">
        <f>C60</f>
        <v>100</v>
      </c>
      <c r="E60" s="493">
        <f>C60</f>
        <v>100</v>
      </c>
      <c r="F60" s="493">
        <f>C60-1</f>
        <v>99</v>
      </c>
      <c r="G60" s="493">
        <f>F60</f>
        <v>99</v>
      </c>
      <c r="H60" s="493">
        <f>F60</f>
        <v>99</v>
      </c>
      <c r="I60" s="493"/>
      <c r="J60" s="493"/>
      <c r="K60" s="493"/>
      <c r="L60" s="493"/>
      <c r="M60" s="494"/>
      <c r="N60" s="493"/>
      <c r="O60" s="495"/>
      <c r="P60" s="485"/>
    </row>
    <row r="61" spans="1:29" s="35" customFormat="1" ht="15.75" thickBot="1">
      <c r="A61" s="496" t="s">
        <v>2385</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2388</v>
      </c>
      <c r="B64" s="509" t="s">
        <v>2353</v>
      </c>
      <c r="C64" s="510" t="str">
        <f>C9</f>
        <v>办公</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2356</v>
      </c>
      <c r="C66" s="522" t="s">
        <v>2389</v>
      </c>
      <c r="D66" s="522" t="s">
        <v>2390</v>
      </c>
      <c r="E66" s="522" t="s">
        <v>2391</v>
      </c>
      <c r="F66" s="522" t="s">
        <v>2392</v>
      </c>
      <c r="G66" s="522" t="s">
        <v>2393</v>
      </c>
      <c r="H66" s="522" t="s">
        <v>2394</v>
      </c>
      <c r="I66" s="522" t="s">
        <v>2395</v>
      </c>
      <c r="J66" s="522"/>
      <c r="K66" s="523"/>
      <c r="L66" s="524"/>
      <c r="M66" s="525"/>
      <c r="N66" s="1266"/>
      <c r="O66" s="1266"/>
      <c r="P66" s="22"/>
      <c r="Q66" s="485"/>
    </row>
    <row r="67" spans="1:17" ht="15.75" thickBot="1">
      <c r="A67" s="516"/>
      <c r="B67" s="526"/>
      <c r="C67" s="527" t="s">
        <v>36</v>
      </c>
      <c r="D67" s="527" t="s">
        <v>37</v>
      </c>
      <c r="E67" s="527">
        <v>100</v>
      </c>
      <c r="F67" s="527">
        <f>E67-$K10</f>
        <v>98</v>
      </c>
      <c r="G67" s="527">
        <f>F67-$K10</f>
        <v>96</v>
      </c>
      <c r="H67" s="527">
        <f>G67-$K10</f>
        <v>94</v>
      </c>
      <c r="I67" s="527">
        <f>H67-$K10</f>
        <v>92</v>
      </c>
      <c r="J67" s="527"/>
      <c r="K67" s="527"/>
      <c r="L67" s="527"/>
      <c r="M67" s="528"/>
      <c r="N67" s="1267"/>
      <c r="O67" s="1267"/>
      <c r="P67" s="22"/>
      <c r="Q67" s="485"/>
    </row>
    <row r="68" spans="1:17" ht="15.75" thickTop="1">
      <c r="A68" s="516"/>
      <c r="B68" s="529" t="s">
        <v>2357</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5（含）-6</v>
      </c>
      <c r="I68" s="530" t="str">
        <f t="shared" si="17"/>
        <v>6（含）-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v>0</v>
      </c>
      <c r="D69" s="532">
        <v>1</v>
      </c>
      <c r="E69" s="532">
        <v>2</v>
      </c>
      <c r="F69" s="532">
        <v>3</v>
      </c>
      <c r="G69" s="532">
        <v>4</v>
      </c>
      <c r="H69" s="532">
        <v>5</v>
      </c>
      <c r="I69" s="532">
        <v>6</v>
      </c>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t="str">
        <f>B12</f>
        <v>权属不清</v>
      </c>
      <c r="C71" s="2735" t="s">
        <v>2907</v>
      </c>
      <c r="D71" s="2735" t="s">
        <v>2908</v>
      </c>
      <c r="E71" s="537"/>
      <c r="F71" s="537"/>
      <c r="G71" s="537"/>
      <c r="H71" s="538"/>
      <c r="I71" s="538"/>
      <c r="J71" s="538"/>
      <c r="K71" s="538"/>
      <c r="L71" s="539"/>
      <c r="M71" s="540"/>
      <c r="N71" s="1268"/>
      <c r="O71" s="1268"/>
      <c r="P71" s="542"/>
      <c r="Q71" s="543"/>
    </row>
    <row r="72" spans="1:17" s="452" customFormat="1" ht="15.75" thickBot="1">
      <c r="A72" s="536"/>
      <c r="B72" s="526"/>
      <c r="C72" s="544">
        <v>95</v>
      </c>
      <c r="D72" s="518">
        <v>100</v>
      </c>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2358</v>
      </c>
      <c r="B77" s="509" t="s">
        <v>2484</v>
      </c>
      <c r="C77" s="557" t="s">
        <v>2397</v>
      </c>
      <c r="D77" s="557" t="s">
        <v>2398</v>
      </c>
      <c r="E77" s="557" t="s">
        <v>2399</v>
      </c>
      <c r="F77" s="557" t="s">
        <v>2400</v>
      </c>
      <c r="G77" s="557" t="s">
        <v>2401</v>
      </c>
      <c r="H77" s="510"/>
      <c r="I77" s="510"/>
      <c r="J77" s="510"/>
      <c r="K77" s="558"/>
      <c r="L77" s="559"/>
      <c r="M77" s="560"/>
      <c r="N77" s="1266"/>
      <c r="O77" s="1266"/>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7"/>
      <c r="O78" s="1267"/>
      <c r="P78" s="22"/>
      <c r="Q78" s="485"/>
    </row>
    <row r="79" spans="1:17" ht="15.75" thickTop="1">
      <c r="A79" s="516"/>
      <c r="B79" s="521" t="s">
        <v>2402</v>
      </c>
      <c r="C79" s="562" t="s">
        <v>2397</v>
      </c>
      <c r="D79" s="562" t="s">
        <v>2398</v>
      </c>
      <c r="E79" s="562" t="s">
        <v>2399</v>
      </c>
      <c r="F79" s="562" t="s">
        <v>2400</v>
      </c>
      <c r="G79" s="562" t="s">
        <v>2401</v>
      </c>
      <c r="H79" s="522"/>
      <c r="I79" s="522"/>
      <c r="J79" s="522"/>
      <c r="K79" s="523"/>
      <c r="L79" s="524"/>
      <c r="M79" s="525"/>
      <c r="N79" s="1266"/>
      <c r="O79" s="1266"/>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7"/>
      <c r="O80" s="1267"/>
      <c r="P80" s="22"/>
      <c r="Q80" s="485"/>
    </row>
    <row r="81" spans="1:17" ht="15.75" thickTop="1">
      <c r="A81" s="516"/>
      <c r="B81" s="521" t="s">
        <v>2403</v>
      </c>
      <c r="C81" s="562" t="s">
        <v>2397</v>
      </c>
      <c r="D81" s="562" t="s">
        <v>2398</v>
      </c>
      <c r="E81" s="562" t="s">
        <v>2399</v>
      </c>
      <c r="F81" s="562" t="s">
        <v>2400</v>
      </c>
      <c r="G81" s="562" t="s">
        <v>2401</v>
      </c>
      <c r="H81" s="522"/>
      <c r="I81" s="522"/>
      <c r="J81" s="522"/>
      <c r="K81" s="523"/>
      <c r="L81" s="524"/>
      <c r="M81" s="525"/>
      <c r="N81" s="1266"/>
      <c r="O81" s="1266"/>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7"/>
      <c r="O82" s="1267"/>
      <c r="P82" s="22"/>
      <c r="Q82" s="485"/>
    </row>
    <row r="83" spans="1:17" ht="15.75" thickTop="1">
      <c r="A83" s="516"/>
      <c r="B83" s="529" t="s">
        <v>2446</v>
      </c>
      <c r="C83" s="522" t="s">
        <v>2404</v>
      </c>
      <c r="D83" s="522" t="s">
        <v>2405</v>
      </c>
      <c r="E83" s="522" t="s">
        <v>2406</v>
      </c>
      <c r="F83" s="522" t="s">
        <v>2407</v>
      </c>
      <c r="G83" s="522" t="s">
        <v>2408</v>
      </c>
      <c r="H83" s="522"/>
      <c r="I83" s="522"/>
      <c r="J83" s="522"/>
      <c r="K83" s="522"/>
      <c r="L83" s="522"/>
      <c r="M83" s="1465"/>
      <c r="N83" s="1267"/>
      <c r="O83" s="1267"/>
      <c r="P83" s="22"/>
      <c r="Q83" s="485"/>
    </row>
    <row r="84" spans="1:17" ht="15.75" thickBot="1">
      <c r="A84" s="516"/>
      <c r="B84" s="529"/>
      <c r="C84" s="527">
        <v>100</v>
      </c>
      <c r="D84" s="527">
        <f>C84-$K21</f>
        <v>99</v>
      </c>
      <c r="E84" s="527">
        <f>D84-$K21</f>
        <v>98</v>
      </c>
      <c r="F84" s="527">
        <f>E84-$K21</f>
        <v>97</v>
      </c>
      <c r="G84" s="527">
        <f>F84-$K21</f>
        <v>96</v>
      </c>
      <c r="H84" s="643"/>
      <c r="I84" s="643"/>
      <c r="J84" s="643"/>
      <c r="K84" s="643"/>
      <c r="L84" s="643"/>
      <c r="M84" s="430"/>
      <c r="N84" s="1267"/>
      <c r="O84" s="1267"/>
      <c r="P84" s="22"/>
      <c r="Q84" s="485"/>
    </row>
    <row r="85" spans="1:17" ht="15.75" thickTop="1">
      <c r="A85" s="516"/>
      <c r="B85" s="521" t="s">
        <v>2485</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7"/>
      <c r="O86" s="1267"/>
      <c r="P86" s="22"/>
      <c r="Q86" s="485"/>
    </row>
    <row r="87" spans="1:17" s="35" customFormat="1" ht="27.75" thickTop="1">
      <c r="A87" s="563"/>
      <c r="B87" s="521" t="s">
        <v>2486</v>
      </c>
      <c r="C87" s="2735" t="s">
        <v>2862</v>
      </c>
      <c r="D87" s="2735" t="s">
        <v>2863</v>
      </c>
      <c r="E87" s="2735" t="s">
        <v>2865</v>
      </c>
      <c r="F87" s="2735" t="s">
        <v>2867</v>
      </c>
      <c r="G87" s="2735" t="s">
        <v>2868</v>
      </c>
      <c r="H87" s="537"/>
      <c r="I87" s="537"/>
      <c r="J87" s="537"/>
      <c r="K87" s="537"/>
      <c r="L87" s="564"/>
      <c r="M87" s="565"/>
      <c r="N87" s="1265"/>
      <c r="O87" s="1265"/>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7"/>
      <c r="O88" s="1267"/>
      <c r="P88" s="22"/>
      <c r="Q88" s="485"/>
    </row>
    <row r="89" spans="1:17" s="35" customFormat="1" ht="15.75" thickTop="1">
      <c r="A89" s="563"/>
      <c r="B89" s="521" t="str">
        <f>B27</f>
        <v>楼层</v>
      </c>
      <c r="C89" s="2735" t="s">
        <v>2869</v>
      </c>
      <c r="D89" s="2735" t="s">
        <v>2870</v>
      </c>
      <c r="E89" s="2735" t="s">
        <v>2871</v>
      </c>
      <c r="F89" s="2429"/>
      <c r="G89" s="537"/>
      <c r="H89" s="537"/>
      <c r="I89" s="537"/>
      <c r="J89" s="537"/>
      <c r="K89" s="537"/>
      <c r="L89" s="537"/>
      <c r="M89" s="565"/>
      <c r="N89" s="1265"/>
      <c r="O89" s="1265"/>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0"/>
      <c r="B100" s="553"/>
      <c r="C100" s="554"/>
      <c r="D100" s="554"/>
      <c r="E100" s="554"/>
      <c r="F100" s="554"/>
      <c r="G100" s="575"/>
      <c r="H100" s="575"/>
      <c r="I100" s="575"/>
      <c r="J100" s="575"/>
      <c r="K100" s="575"/>
      <c r="L100" s="575"/>
      <c r="M100" s="576"/>
      <c r="N100" s="1267"/>
      <c r="O100" s="1267"/>
      <c r="P100" s="22"/>
      <c r="Q100" s="485"/>
    </row>
    <row r="101" spans="1:17">
      <c r="A101" s="508" t="s">
        <v>2363</v>
      </c>
      <c r="B101" s="509" t="s">
        <v>2412</v>
      </c>
      <c r="C101" s="2739" t="s">
        <v>2875</v>
      </c>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95</v>
      </c>
      <c r="E102" s="527">
        <f t="shared" si="22"/>
        <v>90</v>
      </c>
      <c r="F102" s="527">
        <f t="shared" si="22"/>
        <v>85</v>
      </c>
      <c r="G102" s="527">
        <f t="shared" si="22"/>
        <v>80</v>
      </c>
      <c r="H102" s="527">
        <f t="shared" si="22"/>
        <v>75</v>
      </c>
      <c r="I102" s="527">
        <f t="shared" si="22"/>
        <v>70</v>
      </c>
      <c r="J102" s="527">
        <f t="shared" si="22"/>
        <v>65</v>
      </c>
      <c r="K102" s="527">
        <f t="shared" si="22"/>
        <v>60</v>
      </c>
      <c r="L102" s="527">
        <f t="shared" si="22"/>
        <v>55</v>
      </c>
      <c r="M102" s="528">
        <f t="shared" si="22"/>
        <v>50</v>
      </c>
      <c r="N102" s="1267"/>
      <c r="O102" s="1267"/>
      <c r="P102" s="22"/>
      <c r="Q102" s="485"/>
    </row>
    <row r="103" spans="1:17" ht="43.5" thickTop="1">
      <c r="A103" s="516"/>
      <c r="B103" s="521" t="s">
        <v>2413</v>
      </c>
      <c r="C103" s="562" t="str">
        <f>C104&amp;"(含)"&amp;"-"&amp;D104</f>
        <v>0(含)-10000000000000000</v>
      </c>
      <c r="D103" s="562" t="str">
        <f t="shared" ref="D103:L103" si="23">D104&amp;"(含)"&amp;"-"&amp;E104</f>
        <v>10000000000000000(含)-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v>0</v>
      </c>
      <c r="D104" s="579">
        <v>1E+16</v>
      </c>
      <c r="E104" s="579"/>
      <c r="F104" s="579"/>
      <c r="G104" s="579"/>
      <c r="H104" s="579"/>
      <c r="I104" s="579"/>
      <c r="J104" s="580"/>
      <c r="K104" s="580"/>
      <c r="L104" s="581"/>
      <c r="M104" s="582"/>
      <c r="N104" s="1268"/>
      <c r="O104" s="1268"/>
      <c r="P104" s="542"/>
      <c r="Q104" s="543"/>
    </row>
    <row r="105" spans="1:17" s="452" customFormat="1" ht="15.75" thickBot="1">
      <c r="A105" s="536"/>
      <c r="B105" s="526"/>
      <c r="C105" s="544">
        <v>100</v>
      </c>
      <c r="D105" s="518">
        <v>100</v>
      </c>
      <c r="E105" s="518"/>
      <c r="F105" s="518"/>
      <c r="G105" s="518"/>
      <c r="H105" s="518"/>
      <c r="I105" s="518"/>
      <c r="J105" s="518"/>
      <c r="K105" s="518"/>
      <c r="L105" s="518"/>
      <c r="M105" s="519"/>
      <c r="N105" s="1267"/>
      <c r="O105" s="1267"/>
      <c r="P105" s="542"/>
      <c r="Q105" s="543"/>
    </row>
    <row r="106" spans="1:17" ht="15" thickTop="1">
      <c r="A106" s="583"/>
      <c r="B106" s="521" t="s">
        <v>2414</v>
      </c>
      <c r="C106" s="2735" t="s">
        <v>2896</v>
      </c>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95</v>
      </c>
      <c r="E107" s="527">
        <f t="shared" si="24"/>
        <v>90</v>
      </c>
      <c r="F107" s="527">
        <f t="shared" si="24"/>
        <v>85</v>
      </c>
      <c r="G107" s="527">
        <f t="shared" si="24"/>
        <v>80</v>
      </c>
      <c r="H107" s="527">
        <f t="shared" si="24"/>
        <v>75</v>
      </c>
      <c r="I107" s="527">
        <f t="shared" si="24"/>
        <v>70</v>
      </c>
      <c r="J107" s="527">
        <f t="shared" si="24"/>
        <v>65</v>
      </c>
      <c r="K107" s="527">
        <f t="shared" si="24"/>
        <v>60</v>
      </c>
      <c r="L107" s="527">
        <f t="shared" si="24"/>
        <v>55</v>
      </c>
      <c r="M107" s="528">
        <f t="shared" si="24"/>
        <v>50</v>
      </c>
      <c r="N107" s="1267"/>
      <c r="O107" s="1267"/>
      <c r="P107" s="22"/>
      <c r="Q107" s="485"/>
    </row>
    <row r="108" spans="1:17" ht="15" thickTop="1">
      <c r="A108" s="583"/>
      <c r="B108" s="521" t="s">
        <v>2416</v>
      </c>
      <c r="C108" s="2735" t="s">
        <v>2877</v>
      </c>
      <c r="D108" s="2735" t="s">
        <v>2879</v>
      </c>
      <c r="E108" s="2735" t="s">
        <v>2880</v>
      </c>
      <c r="F108" s="2734" t="s">
        <v>2881</v>
      </c>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7"/>
      <c r="O109" s="1267"/>
      <c r="P109" s="22"/>
      <c r="Q109" s="485"/>
    </row>
    <row r="110" spans="1:17" ht="15" thickTop="1">
      <c r="A110" s="583"/>
      <c r="B110" s="521" t="s">
        <v>2417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7"/>
      <c r="O112" s="1267"/>
      <c r="P112" s="22"/>
      <c r="Q112" s="485"/>
    </row>
    <row r="113" spans="1:17" s="452" customFormat="1" ht="15" thickTop="1">
      <c r="A113" s="577"/>
      <c r="B113" s="521" t="s">
        <v>2487</v>
      </c>
      <c r="C113" s="2735" t="s">
        <v>2883</v>
      </c>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95</v>
      </c>
      <c r="E114" s="527">
        <f t="shared" ref="E114:M114" si="27">D114-$K38</f>
        <v>90</v>
      </c>
      <c r="F114" s="527">
        <f t="shared" si="27"/>
        <v>85</v>
      </c>
      <c r="G114" s="527">
        <f t="shared" si="27"/>
        <v>80</v>
      </c>
      <c r="H114" s="527">
        <f t="shared" si="27"/>
        <v>75</v>
      </c>
      <c r="I114" s="527">
        <f t="shared" si="27"/>
        <v>70</v>
      </c>
      <c r="J114" s="527">
        <f t="shared" si="27"/>
        <v>65</v>
      </c>
      <c r="K114" s="527">
        <f t="shared" si="27"/>
        <v>60</v>
      </c>
      <c r="L114" s="527">
        <f t="shared" si="27"/>
        <v>55</v>
      </c>
      <c r="M114" s="527">
        <f t="shared" si="27"/>
        <v>50</v>
      </c>
      <c r="N114" s="1268"/>
      <c r="O114" s="1268"/>
      <c r="P114" s="542"/>
      <c r="Q114" s="543"/>
    </row>
    <row r="115" spans="1:17" ht="15" thickTop="1">
      <c r="A115" s="583"/>
      <c r="B115" s="521" t="s">
        <v>2418</v>
      </c>
      <c r="C115" s="2735" t="s">
        <v>2885</v>
      </c>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7"/>
      <c r="O116" s="1267"/>
      <c r="P116" s="22"/>
      <c r="Q116" s="485"/>
    </row>
    <row r="117" spans="1:17" ht="15" thickTop="1">
      <c r="A117" s="583"/>
      <c r="B117" s="521" t="s">
        <v>2419</v>
      </c>
      <c r="C117" s="537" t="s">
        <v>2857</v>
      </c>
      <c r="D117" s="537" t="s">
        <v>2886</v>
      </c>
      <c r="E117" s="537" t="s">
        <v>2887</v>
      </c>
      <c r="F117" s="537" t="s">
        <v>2888</v>
      </c>
      <c r="G117" s="537" t="s">
        <v>2889</v>
      </c>
      <c r="H117" s="567"/>
      <c r="I117" s="567"/>
      <c r="J117" s="567"/>
      <c r="K117" s="568"/>
      <c r="L117" s="569"/>
      <c r="M117" s="570"/>
      <c r="N117" s="1266"/>
      <c r="O117" s="1266"/>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7"/>
      <c r="O118" s="1267"/>
      <c r="P118" s="22"/>
      <c r="Q118" s="485"/>
    </row>
    <row r="119" spans="1:17" ht="15" thickTop="1">
      <c r="A119" s="583"/>
      <c r="B119" s="620" t="s">
        <v>2488</v>
      </c>
      <c r="C119" s="2734" t="s">
        <v>2891</v>
      </c>
      <c r="D119" s="567"/>
      <c r="E119" s="567"/>
      <c r="F119" s="567"/>
      <c r="G119" s="567"/>
      <c r="H119" s="567"/>
      <c r="I119" s="567"/>
      <c r="J119" s="567"/>
      <c r="K119" s="567"/>
      <c r="L119" s="2472"/>
      <c r="M119" s="2473"/>
      <c r="N119" s="1267"/>
      <c r="O119" s="1267"/>
      <c r="P119" s="621"/>
      <c r="Q119" s="622"/>
    </row>
    <row r="120" spans="1:17" ht="15.75" thickBot="1">
      <c r="A120" s="516"/>
      <c r="B120" s="526"/>
      <c r="C120" s="566">
        <v>100</v>
      </c>
      <c r="D120" s="527">
        <f>C120-$K41</f>
        <v>98</v>
      </c>
      <c r="E120" s="527">
        <f t="shared" ref="E120:M120" si="29">D120-$K41</f>
        <v>96</v>
      </c>
      <c r="F120" s="527">
        <f t="shared" si="29"/>
        <v>94</v>
      </c>
      <c r="G120" s="527">
        <f t="shared" si="29"/>
        <v>92</v>
      </c>
      <c r="H120" s="527">
        <f t="shared" si="29"/>
        <v>90</v>
      </c>
      <c r="I120" s="527">
        <f t="shared" si="29"/>
        <v>88</v>
      </c>
      <c r="J120" s="527">
        <f t="shared" si="29"/>
        <v>86</v>
      </c>
      <c r="K120" s="527">
        <f t="shared" si="29"/>
        <v>84</v>
      </c>
      <c r="L120" s="527">
        <f t="shared" si="29"/>
        <v>82</v>
      </c>
      <c r="M120" s="527">
        <f t="shared" si="29"/>
        <v>80</v>
      </c>
      <c r="N120" s="1267"/>
      <c r="O120" s="1267"/>
      <c r="P120" s="22"/>
      <c r="Q120" s="485"/>
    </row>
    <row r="121" spans="1:17" s="452" customFormat="1" ht="15" thickTop="1">
      <c r="A121" s="577"/>
      <c r="B121" s="521" t="s">
        <v>2470</v>
      </c>
      <c r="C121" s="537" t="s">
        <v>2892</v>
      </c>
      <c r="D121" s="537" t="s">
        <v>2893</v>
      </c>
      <c r="E121" s="537" t="s">
        <v>2894</v>
      </c>
      <c r="F121" s="567" t="s">
        <v>2895</v>
      </c>
      <c r="G121" s="538"/>
      <c r="H121" s="538"/>
      <c r="I121" s="538"/>
      <c r="J121" s="538"/>
      <c r="K121" s="538"/>
      <c r="L121" s="539"/>
      <c r="M121" s="540"/>
      <c r="N121" s="1268"/>
      <c r="O121" s="1268"/>
      <c r="P121" s="542"/>
      <c r="Q121" s="543"/>
    </row>
    <row r="122" spans="1:17" s="452" customFormat="1" ht="15.75" thickBot="1">
      <c r="A122" s="536"/>
      <c r="B122" s="517"/>
      <c r="C122" s="544">
        <v>100</v>
      </c>
      <c r="D122" s="544">
        <v>98</v>
      </c>
      <c r="E122" s="544">
        <v>98</v>
      </c>
      <c r="F122" s="544">
        <v>96</v>
      </c>
      <c r="G122" s="544"/>
      <c r="H122" s="544"/>
      <c r="I122" s="544"/>
      <c r="J122" s="544"/>
      <c r="K122" s="544"/>
      <c r="L122" s="544"/>
      <c r="M122" s="544"/>
      <c r="N122" s="1268"/>
      <c r="O122" s="1268"/>
      <c r="P122" s="542"/>
      <c r="Q122" s="543"/>
    </row>
    <row r="123" spans="1:17" ht="15" thickTop="1">
      <c r="A123" s="583"/>
      <c r="B123" s="521" t="s">
        <v>2421</v>
      </c>
      <c r="C123" s="2735" t="s">
        <v>2877</v>
      </c>
      <c r="D123" s="2735" t="s">
        <v>2879</v>
      </c>
      <c r="E123" s="2735" t="s">
        <v>2880</v>
      </c>
      <c r="F123" s="2734" t="s">
        <v>2881</v>
      </c>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7"/>
      <c r="O124" s="1267"/>
      <c r="P124" s="22"/>
      <c r="Q124" s="485"/>
    </row>
    <row r="125" spans="1:17" ht="15" thickTop="1">
      <c r="A125" s="583"/>
      <c r="B125" s="521" t="s">
        <v>2422</v>
      </c>
      <c r="C125" s="562" t="s">
        <v>2397</v>
      </c>
      <c r="D125" s="562" t="s">
        <v>2398</v>
      </c>
      <c r="E125" s="562" t="s">
        <v>2399</v>
      </c>
      <c r="F125" s="562" t="s">
        <v>2400</v>
      </c>
      <c r="G125" s="562" t="s">
        <v>2401</v>
      </c>
      <c r="H125" s="522"/>
      <c r="I125" s="522"/>
      <c r="J125" s="522"/>
      <c r="K125" s="523"/>
      <c r="L125" s="524"/>
      <c r="M125" s="525"/>
      <c r="N125" s="1266"/>
      <c r="O125" s="1266"/>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4"/>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E41" sqref="E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2090</v>
      </c>
      <c r="B1" s="306"/>
      <c r="C1" s="730"/>
      <c r="D1" s="2704" t="s">
        <v>2828</v>
      </c>
      <c r="E1" s="2705" t="s">
        <v>1253</v>
      </c>
      <c r="F1" s="2706"/>
      <c r="G1" s="2707" t="e">
        <f>MATCH(C1,'数据-取费表'!A18:A18,0)+5</f>
        <v>#N/A</v>
      </c>
      <c r="H1" s="731"/>
      <c r="I1" s="1211"/>
      <c r="J1" s="1211"/>
      <c r="K1" s="1212"/>
      <c r="L1" s="1211"/>
      <c r="M1" s="1211"/>
      <c r="N1" s="797"/>
      <c r="O1" s="797"/>
      <c r="P1" s="797"/>
      <c r="Q1" s="1357"/>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2000</v>
      </c>
      <c r="B2" s="765">
        <f ca="1">IF(C2="元",IF('数据-取费表'!B28="租赁期内按合同租金",C40+L47+J29,C40+L47),ROUND(IF('数据-取费表'!B28="租赁期内按合同租金",(C40+L47+J29)/10000,(C40+L47)/10000),0))</f>
        <v>7525292</v>
      </c>
      <c r="C2" s="2333" t="str">
        <f>'数据-取费表'!B3</f>
        <v>元</v>
      </c>
      <c r="D2" s="1213"/>
      <c r="E2" s="1214"/>
      <c r="F2" s="1214"/>
      <c r="G2" s="1239"/>
      <c r="H2" s="729"/>
      <c r="I2" s="1215"/>
      <c r="J2" s="1215"/>
      <c r="K2" s="1216"/>
      <c r="L2" s="1215"/>
      <c r="M2" s="1215"/>
    </row>
    <row r="3" spans="1:37" ht="18" customHeight="1" thickBot="1">
      <c r="A3" s="310" t="s">
        <v>2001</v>
      </c>
      <c r="B3" s="766">
        <f ca="1">ROUND(IF('数据-取费表'!B28="租赁期内按合同租金",(C40+L47+J29)/F43,(C40+L47)/F43),0)</f>
        <v>34444</v>
      </c>
      <c r="C3" s="2333" t="s">
        <v>2091</v>
      </c>
      <c r="D3" s="1213"/>
      <c r="E3" s="1214"/>
      <c r="F3" s="1214"/>
      <c r="G3" s="1239"/>
      <c r="H3" s="311" t="s">
        <v>2092</v>
      </c>
      <c r="I3" s="1215"/>
      <c r="J3" s="1215"/>
      <c r="K3" s="1216"/>
      <c r="L3" s="1215"/>
      <c r="M3" s="1215"/>
    </row>
    <row r="4" spans="1:37" ht="18" customHeight="1">
      <c r="A4" s="312" t="s">
        <v>2093</v>
      </c>
      <c r="B4" s="313" t="s">
        <v>2094</v>
      </c>
      <c r="C4" s="313" t="s">
        <v>2095</v>
      </c>
      <c r="D4" s="313" t="s">
        <v>2096</v>
      </c>
      <c r="E4" s="314" t="s">
        <v>2097</v>
      </c>
      <c r="F4" s="315"/>
      <c r="G4" s="1237"/>
      <c r="H4" s="312" t="s">
        <v>2093</v>
      </c>
      <c r="I4" s="313" t="s">
        <v>2094</v>
      </c>
      <c r="J4" s="313" t="s">
        <v>2095</v>
      </c>
      <c r="K4" s="313" t="s">
        <v>2096</v>
      </c>
      <c r="L4" s="314" t="s">
        <v>2097</v>
      </c>
      <c r="M4" s="315"/>
    </row>
    <row r="5" spans="1:37" ht="18" customHeight="1">
      <c r="A5" s="316">
        <v>1</v>
      </c>
      <c r="B5" s="317" t="s">
        <v>2098</v>
      </c>
      <c r="C5" s="318">
        <f ca="1">C6+C10+C12</f>
        <v>455116</v>
      </c>
      <c r="D5" s="2334" t="s">
        <v>2099</v>
      </c>
      <c r="E5" s="1213"/>
      <c r="F5" s="1381"/>
      <c r="G5" s="1237"/>
      <c r="H5" s="316">
        <v>1</v>
      </c>
      <c r="I5" s="317" t="s">
        <v>2098</v>
      </c>
      <c r="J5" s="318">
        <f ca="1">J6+J10+J12</f>
        <v>0</v>
      </c>
      <c r="K5" s="2334" t="s">
        <v>2099</v>
      </c>
      <c r="L5" s="1213"/>
      <c r="M5" s="1381"/>
    </row>
    <row r="6" spans="1:37" ht="18" customHeight="1">
      <c r="A6" s="1382" t="s">
        <v>2100</v>
      </c>
      <c r="B6" s="2022" t="s">
        <v>2101</v>
      </c>
      <c r="C6" s="318">
        <f>ROUND(F6*F8*F7*(1-F9),0)</f>
        <v>454548</v>
      </c>
      <c r="D6" s="80" t="s">
        <v>2797</v>
      </c>
      <c r="E6" s="319" t="s">
        <v>2102</v>
      </c>
      <c r="F6" s="320">
        <f>'数据-取费表'!B29</f>
        <v>6</v>
      </c>
      <c r="G6" s="1237"/>
      <c r="H6" s="1382" t="s">
        <v>2100</v>
      </c>
      <c r="I6" s="2022" t="s">
        <v>2101</v>
      </c>
      <c r="J6" s="318">
        <f>ROUND(M6*M8*M7*(1-M9),0)</f>
        <v>0</v>
      </c>
      <c r="K6" s="80" t="s">
        <v>2797</v>
      </c>
      <c r="L6" s="319" t="s">
        <v>2102</v>
      </c>
      <c r="M6" s="320">
        <f>'数据-取费表'!B36</f>
        <v>0</v>
      </c>
    </row>
    <row r="7" spans="1:37" ht="18" customHeight="1">
      <c r="A7" s="1445"/>
      <c r="B7" s="322"/>
      <c r="C7" s="323"/>
      <c r="D7" s="324"/>
      <c r="E7" s="319" t="s">
        <v>2103</v>
      </c>
      <c r="F7" s="320">
        <f>IF('数据-取费表'!B41="",IF(D1="仅计算典型户型",'数据-取费表'!E5,'数据-取费表'!B5),'数据-取费表'!B41)</f>
        <v>218.48</v>
      </c>
      <c r="G7" s="1237"/>
      <c r="H7" s="321"/>
      <c r="I7" s="322"/>
      <c r="J7" s="323"/>
      <c r="K7" s="324"/>
      <c r="L7" s="319" t="s">
        <v>2103</v>
      </c>
      <c r="M7" s="320">
        <f>IF('数据-取费表'!B41="",IF(D1="仅计算典型户型",'数据-取费表'!E5,'数据-取费表'!B5),'数据-取费表'!B41)</f>
        <v>218.48</v>
      </c>
    </row>
    <row r="8" spans="1:37" ht="18" customHeight="1">
      <c r="A8" s="1445"/>
      <c r="B8" s="322"/>
      <c r="C8" s="323"/>
      <c r="D8" s="324"/>
      <c r="E8" s="319" t="s">
        <v>2104</v>
      </c>
      <c r="F8" s="320">
        <f>'数据-取费表'!B42</f>
        <v>365</v>
      </c>
      <c r="G8" s="1237"/>
      <c r="H8" s="321"/>
      <c r="I8" s="322"/>
      <c r="J8" s="323"/>
      <c r="K8" s="324"/>
      <c r="L8" s="319" t="s">
        <v>2105</v>
      </c>
      <c r="M8" s="320">
        <f>'数据-取费表'!B42</f>
        <v>365</v>
      </c>
    </row>
    <row r="9" spans="1:37" ht="18" customHeight="1">
      <c r="A9" s="1445"/>
      <c r="B9" s="322"/>
      <c r="C9" s="323"/>
      <c r="D9" s="328"/>
      <c r="E9" s="319" t="s">
        <v>2106</v>
      </c>
      <c r="F9" s="329">
        <f>'数据-取费表'!B32</f>
        <v>0.05</v>
      </c>
      <c r="G9" s="1237"/>
      <c r="H9" s="321"/>
      <c r="I9" s="322"/>
      <c r="J9" s="1384"/>
      <c r="K9" s="95"/>
      <c r="L9" s="330" t="s">
        <v>2106</v>
      </c>
      <c r="M9" s="329">
        <f>'数据-取费表'!B38</f>
        <v>0</v>
      </c>
    </row>
    <row r="10" spans="1:37" ht="18" customHeight="1">
      <c r="A10" s="1382" t="s">
        <v>2107</v>
      </c>
      <c r="B10" s="2335" t="s">
        <v>2108</v>
      </c>
      <c r="C10" s="1383">
        <f ca="1">ROUND(IF(F10="押一",C6/12*F11,IF(F10="押二",C6/12*2*F11,IF(F10="押三",C6/12*3*F11,C11*F11))),0)</f>
        <v>568</v>
      </c>
      <c r="D10" s="2336" t="s">
        <v>2805</v>
      </c>
      <c r="E10" s="330" t="s">
        <v>2109</v>
      </c>
      <c r="F10" s="2337" t="s">
        <v>2110</v>
      </c>
      <c r="G10" s="1237"/>
      <c r="H10" s="1382" t="s">
        <v>2107</v>
      </c>
      <c r="I10" s="2335" t="s">
        <v>2108</v>
      </c>
      <c r="J10" s="1383">
        <f ca="1">ROUND(IF(M10="押一",J6/12*M11,IF(M10="押二",J6/12*2*M11,IF(M10="押三",J6/12*3*M11,J11*M11))),0)</f>
        <v>0</v>
      </c>
      <c r="K10" s="80" t="s">
        <v>2805</v>
      </c>
      <c r="L10" s="330" t="s">
        <v>2109</v>
      </c>
      <c r="M10" s="2337" t="s">
        <v>2832</v>
      </c>
    </row>
    <row r="11" spans="1:37" s="341" customFormat="1" ht="18" customHeight="1">
      <c r="A11" s="348"/>
      <c r="B11" s="2338" t="s">
        <v>2111</v>
      </c>
      <c r="C11" s="1416"/>
      <c r="D11" s="324"/>
      <c r="E11" s="330" t="s">
        <v>2112</v>
      </c>
      <c r="F11" s="331">
        <f ca="1">'数据-取费表'!B30</f>
        <v>1.4999999999999999E-2</v>
      </c>
      <c r="G11" s="1238"/>
      <c r="H11" s="325"/>
      <c r="I11" s="2338" t="s">
        <v>2113</v>
      </c>
      <c r="J11" s="1416"/>
      <c r="K11" s="324"/>
      <c r="L11" s="330" t="s">
        <v>2112</v>
      </c>
      <c r="M11" s="331">
        <f ca="1">'数据-取费表'!B30</f>
        <v>1.4999999999999999E-2</v>
      </c>
      <c r="N11" s="796"/>
      <c r="O11" s="796"/>
      <c r="P11" s="796"/>
      <c r="Q11" s="1358"/>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2" t="s">
        <v>2114</v>
      </c>
      <c r="B12" s="2339" t="s">
        <v>2115</v>
      </c>
      <c r="C12" s="1423"/>
      <c r="D12" s="2340"/>
      <c r="E12" s="1429"/>
      <c r="F12" s="1424"/>
      <c r="G12" s="1237"/>
      <c r="H12" s="1422" t="s">
        <v>2114</v>
      </c>
      <c r="I12" s="2339" t="s">
        <v>2115</v>
      </c>
      <c r="J12" s="1423"/>
      <c r="K12" s="1439"/>
      <c r="L12" s="1429"/>
      <c r="M12" s="1440"/>
    </row>
    <row r="13" spans="1:37" s="341" customFormat="1" ht="18" customHeight="1" thickTop="1">
      <c r="A13" s="1418">
        <v>2</v>
      </c>
      <c r="B13" s="1419" t="s">
        <v>2116</v>
      </c>
      <c r="C13" s="327">
        <f ca="1">ROUND(C29*F13,0)</f>
        <v>924004</v>
      </c>
      <c r="D13" s="1420" t="s">
        <v>2117</v>
      </c>
      <c r="E13" s="1420" t="s">
        <v>2118</v>
      </c>
      <c r="F13" s="1421">
        <f>'数据-取费表'!E20</f>
        <v>0.78</v>
      </c>
      <c r="G13" s="1238"/>
      <c r="H13" s="1418">
        <v>2</v>
      </c>
      <c r="I13" s="1419" t="s">
        <v>2116</v>
      </c>
      <c r="J13" s="1384">
        <f ca="1">ROUND(J14*J15,0)</f>
        <v>0</v>
      </c>
      <c r="K13" s="1425" t="s">
        <v>2117</v>
      </c>
      <c r="L13" s="1437"/>
      <c r="M13" s="1438"/>
      <c r="N13" s="796"/>
      <c r="O13" s="796"/>
      <c r="P13" s="796"/>
      <c r="Q13" s="1358"/>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2119</v>
      </c>
      <c r="B14" s="319" t="s">
        <v>2120</v>
      </c>
      <c r="C14" s="338">
        <f>IF(D1="仅计算典型户型",'数据-取费表'!F18,'数据-取费表'!E18)</f>
        <v>764680</v>
      </c>
      <c r="D14" s="1886" t="s">
        <v>2121</v>
      </c>
      <c r="E14" s="1887"/>
      <c r="F14" s="979"/>
      <c r="G14" s="1238"/>
      <c r="H14" s="337" t="s">
        <v>2100</v>
      </c>
      <c r="I14" s="319" t="s">
        <v>2122</v>
      </c>
      <c r="J14" s="14">
        <f ca="1">C29</f>
        <v>1184620</v>
      </c>
      <c r="K14" s="12"/>
      <c r="L14" s="335"/>
      <c r="M14" s="336"/>
      <c r="N14" s="796"/>
      <c r="O14" s="796"/>
      <c r="P14" s="796"/>
      <c r="Q14" s="1358"/>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2123</v>
      </c>
      <c r="B15" s="319" t="s">
        <v>2124</v>
      </c>
      <c r="C15" s="14">
        <f>ROUND(C14*F15,0)</f>
        <v>38234</v>
      </c>
      <c r="D15" s="339" t="s">
        <v>2125</v>
      </c>
      <c r="E15" s="339" t="s">
        <v>2126</v>
      </c>
      <c r="F15" s="340">
        <f>'数据-取费表'!E21</f>
        <v>0.05</v>
      </c>
      <c r="G15" s="1237"/>
      <c r="H15" s="1428" t="s">
        <v>2127</v>
      </c>
      <c r="I15" s="1429" t="s">
        <v>2128</v>
      </c>
      <c r="J15" s="1441">
        <f>'数据-取费表'!B39</f>
        <v>0</v>
      </c>
      <c r="K15" s="1442"/>
      <c r="L15" s="1443"/>
      <c r="M15" s="1444"/>
    </row>
    <row r="16" spans="1:37" s="341" customFormat="1" ht="18" customHeight="1" thickTop="1">
      <c r="A16" s="337" t="s">
        <v>2129</v>
      </c>
      <c r="B16" s="319" t="s">
        <v>2130</v>
      </c>
      <c r="C16" s="14">
        <f>ROUND(C14*F16,0)</f>
        <v>0</v>
      </c>
      <c r="D16" s="319" t="s">
        <v>2125</v>
      </c>
      <c r="E16" s="319" t="s">
        <v>2126</v>
      </c>
      <c r="F16" s="342">
        <f>IF('数据-取费表'!B10="住宅",'数据-取费表'!E22,0)</f>
        <v>0</v>
      </c>
      <c r="G16" s="1238"/>
      <c r="H16" s="1418" t="s">
        <v>14</v>
      </c>
      <c r="I16" s="1419" t="s">
        <v>2131</v>
      </c>
      <c r="J16" s="327">
        <f ca="1">ROUND(J17+J22+J23+J24,0)</f>
        <v>17769</v>
      </c>
      <c r="K16" s="1425" t="s">
        <v>2132</v>
      </c>
      <c r="L16" s="1426"/>
      <c r="M16" s="1427"/>
      <c r="N16" s="796"/>
      <c r="O16" s="796"/>
      <c r="P16" s="796"/>
      <c r="Q16" s="1358"/>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2133</v>
      </c>
      <c r="B17" s="319" t="s">
        <v>2134</v>
      </c>
      <c r="C17" s="14">
        <f>ROUND(F17*IF(D1="仅计算典型户型",'数据-取费表'!E5,'数据-取费表'!B5),0)</f>
        <v>43696</v>
      </c>
      <c r="D17" s="319" t="s">
        <v>2135</v>
      </c>
      <c r="E17" s="319" t="s">
        <v>2136</v>
      </c>
      <c r="F17" s="16">
        <f>'数据-取费表'!E23</f>
        <v>200</v>
      </c>
      <c r="G17" s="1238"/>
      <c r="H17" s="337" t="s">
        <v>2137</v>
      </c>
      <c r="I17" s="319" t="s">
        <v>2138</v>
      </c>
      <c r="J17" s="14">
        <f ca="1">ROUND(IF(项目基本情况!B7="自然人",J5*M17,J18+J19+J20),0)</f>
        <v>0</v>
      </c>
      <c r="K17" s="1886" t="s">
        <v>2139</v>
      </c>
      <c r="L17" s="1891" t="s">
        <v>2140</v>
      </c>
      <c r="M17" s="343" t="str">
        <f>IF(项目基本情况!B7="企业","",IF('数据-取费表'!B10="住宅",5%,IF(M6*M7*M8/12/(1+'数据-取费表'!F30)&gt;20000,12%,7%)))</f>
        <v/>
      </c>
      <c r="N17" s="796"/>
      <c r="O17" s="796"/>
      <c r="P17" s="796"/>
      <c r="Q17" s="1358"/>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2141</v>
      </c>
      <c r="B18" s="319" t="s">
        <v>2142</v>
      </c>
      <c r="C18" s="14">
        <f>ROUND(C14*F18,0)</f>
        <v>11470</v>
      </c>
      <c r="D18" s="319" t="s">
        <v>2125</v>
      </c>
      <c r="E18" s="319" t="s">
        <v>2126</v>
      </c>
      <c r="F18" s="342">
        <f>'数据-取费表'!E24</f>
        <v>1.4999999999999999E-2</v>
      </c>
      <c r="G18" s="1237"/>
      <c r="H18" s="337" t="s">
        <v>2143</v>
      </c>
      <c r="I18" s="319" t="s">
        <v>2144</v>
      </c>
      <c r="J18" s="14">
        <f ca="1">IF(项目基本情况!B7="自然人","——",ROUND(J5*M18/(1+'数据-取费表'!F30),0))</f>
        <v>0</v>
      </c>
      <c r="K18" s="1891" t="s">
        <v>2145</v>
      </c>
      <c r="L18" s="319" t="s">
        <v>2126</v>
      </c>
      <c r="M18" s="342">
        <f>'数据-取费表'!E29</f>
        <v>5.6000000000000001E-2</v>
      </c>
    </row>
    <row r="19" spans="1:37" s="341" customFormat="1" ht="18" customHeight="1">
      <c r="A19" s="337" t="s">
        <v>2137</v>
      </c>
      <c r="B19" s="319" t="s">
        <v>2146</v>
      </c>
      <c r="C19" s="14">
        <f>SUM(C14:C18)</f>
        <v>858080</v>
      </c>
      <c r="D19" s="56" t="s">
        <v>2147</v>
      </c>
      <c r="E19" s="1896"/>
      <c r="F19" s="16"/>
      <c r="G19" s="1238"/>
      <c r="H19" s="337" t="s">
        <v>2123</v>
      </c>
      <c r="I19" s="319" t="s">
        <v>2148</v>
      </c>
      <c r="J19" s="14">
        <f ca="1">IF(项目基本情况!B7="自然人","——",IF(K19="按租金收入计税",ROUND(J5*M19,1),ROUND(C29*M19*0.7,1)))</f>
        <v>0</v>
      </c>
      <c r="K19" s="2011" t="s">
        <v>2833</v>
      </c>
      <c r="L19" s="319" t="s">
        <v>2126</v>
      </c>
      <c r="M19" s="342">
        <f>IF(K19="按租金收入计税",'数据-取费表'!E39,'数据-取费表'!E38)</f>
        <v>0.12</v>
      </c>
      <c r="N19" s="796"/>
      <c r="O19" s="796"/>
      <c r="P19" s="796"/>
      <c r="Q19" s="1358"/>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2107</v>
      </c>
      <c r="B20" s="319" t="s">
        <v>2150</v>
      </c>
      <c r="C20" s="14">
        <f>ROUND(C19*F20,0)</f>
        <v>17162</v>
      </c>
      <c r="D20" s="344" t="s">
        <v>2151</v>
      </c>
      <c r="E20" s="319" t="s">
        <v>2152</v>
      </c>
      <c r="F20" s="342">
        <f>'数据-取费表'!E25</f>
        <v>0.02</v>
      </c>
      <c r="G20" s="1238"/>
      <c r="H20" s="337" t="s">
        <v>2129</v>
      </c>
      <c r="I20" s="80" t="s">
        <v>2153</v>
      </c>
      <c r="J20" s="15">
        <f>IF(项目基本情况!B7="自然人","——",ROUND(M20*M21,0))</f>
        <v>0</v>
      </c>
      <c r="K20" s="346" t="s">
        <v>2154</v>
      </c>
      <c r="L20" s="319" t="s">
        <v>2155</v>
      </c>
      <c r="M20" s="347">
        <f>'数据-取费表'!E40</f>
        <v>24</v>
      </c>
      <c r="N20" s="796"/>
      <c r="O20" s="796"/>
      <c r="P20" s="796"/>
      <c r="Q20" s="1358"/>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2156</v>
      </c>
      <c r="B21" s="319" t="s">
        <v>2157</v>
      </c>
      <c r="C21" s="703">
        <f>F21</f>
        <v>0.02</v>
      </c>
      <c r="D21" s="344" t="s">
        <v>2158</v>
      </c>
      <c r="E21" s="319" t="s">
        <v>2159</v>
      </c>
      <c r="F21" s="342">
        <f>'数据-取费表'!E26</f>
        <v>0.02</v>
      </c>
      <c r="G21" s="1237"/>
      <c r="H21" s="348"/>
      <c r="I21" s="328"/>
      <c r="J21" s="19"/>
      <c r="K21" s="349"/>
      <c r="L21" s="319" t="s">
        <v>2160</v>
      </c>
      <c r="M21" s="320">
        <f>IF(D1="仅计算典型户型",'数据-取费表'!E6,'数据-取费表'!B6)</f>
        <v>0</v>
      </c>
    </row>
    <row r="22" spans="1:37" ht="18" customHeight="1">
      <c r="A22" s="337" t="s">
        <v>2161</v>
      </c>
      <c r="B22" s="319" t="s">
        <v>2162</v>
      </c>
      <c r="C22" s="14"/>
      <c r="D22" s="56" t="str">
        <f>IF(F23&lt;=1,"单利计息。","复利计息。")&amp;"建造成本、管理费用、销售费用产生的利息。"</f>
        <v>复利计息。建造成本、管理费用、销售费用产生的利息。</v>
      </c>
      <c r="E22" s="1896"/>
      <c r="F22" s="16"/>
      <c r="G22" s="1237"/>
      <c r="H22" s="337" t="s">
        <v>2127</v>
      </c>
      <c r="I22" s="319" t="s">
        <v>2163</v>
      </c>
      <c r="J22" s="14">
        <f ca="1">ROUND(J14*M22,0)</f>
        <v>17769</v>
      </c>
      <c r="K22" s="1891" t="s">
        <v>2164</v>
      </c>
      <c r="L22" s="319" t="s">
        <v>2126</v>
      </c>
      <c r="M22" s="350">
        <f>'数据-取费表'!B44</f>
        <v>1.4999999999999999E-2</v>
      </c>
    </row>
    <row r="23" spans="1:37" ht="18" customHeight="1">
      <c r="A23" s="337" t="s">
        <v>2143</v>
      </c>
      <c r="B23" s="319" t="s">
        <v>2165</v>
      </c>
      <c r="C23" s="14">
        <f ca="1">IF('数据-取费表'!B23&lt;=1,ROUND(C19*F24*F23/2,0)+ROUND(C20*F24*F23/2,0),ROUND(C19*(POWER((1+F24),F23/2)-1),0)+ROUND(C20*(POWER((1+F24),F23/2)-1),0))</f>
        <v>41574</v>
      </c>
      <c r="D23" s="2005" t="str">
        <f>IF(F23&lt;=1,"(建造成本+管理费用)×利率×(建设周期÷2)","(建造成本+管理费用)×((1+利率)^(建设周期÷2)-1)")</f>
        <v>(建造成本+管理费用)×((1+利率)^(建设周期÷2)-1)</v>
      </c>
      <c r="E23" s="319" t="s">
        <v>2166</v>
      </c>
      <c r="F23" s="347">
        <f>'数据-取费表'!B21</f>
        <v>2</v>
      </c>
      <c r="G23" s="1237"/>
      <c r="H23" s="337" t="s">
        <v>2156</v>
      </c>
      <c r="I23" s="319" t="s">
        <v>2167</v>
      </c>
      <c r="J23" s="14">
        <f ca="1">ROUND(J13*M23,0)</f>
        <v>0</v>
      </c>
      <c r="K23" s="1891" t="s">
        <v>2168</v>
      </c>
      <c r="L23" s="319" t="s">
        <v>2169</v>
      </c>
      <c r="M23" s="351">
        <f>'数据-取费表'!B45</f>
        <v>1.5E-3</v>
      </c>
    </row>
    <row r="24" spans="1:37" s="341" customFormat="1" ht="18" customHeight="1" thickBot="1">
      <c r="A24" s="337" t="s">
        <v>2170</v>
      </c>
      <c r="B24" s="319" t="s">
        <v>2171</v>
      </c>
      <c r="C24" s="14">
        <f ca="1">ROUND(IF('数据-取费表'!B23&lt;=1,F21*F24*F23/2,F21*(POWER((1+F24),F23/2)-1)),4)</f>
        <v>1E-3</v>
      </c>
      <c r="D24" s="2005" t="str">
        <f>IF(F23&lt;=1,"销售费用×利率×(建设周期÷2)","销售费用×((1+利率)^(建设周期÷2)-1)")</f>
        <v>销售费用×((1+利率)^(建设周期÷2)-1)</v>
      </c>
      <c r="E24" s="319" t="s">
        <v>2172</v>
      </c>
      <c r="F24" s="352">
        <f ca="1">'数据-取费表'!E27</f>
        <v>4.7500000000000001E-2</v>
      </c>
      <c r="G24" s="1238"/>
      <c r="H24" s="1428" t="s">
        <v>2161</v>
      </c>
      <c r="I24" s="1429" t="s">
        <v>2150</v>
      </c>
      <c r="J24" s="1430">
        <f ca="1">ROUND(J5*M24,0)</f>
        <v>0</v>
      </c>
      <c r="K24" s="1431" t="s">
        <v>2173</v>
      </c>
      <c r="L24" s="1429" t="s">
        <v>2169</v>
      </c>
      <c r="M24" s="1424">
        <f>'数据-取费表'!B46</f>
        <v>0.01</v>
      </c>
      <c r="N24" s="796"/>
      <c r="O24" s="796"/>
      <c r="P24" s="796"/>
      <c r="Q24" s="1358"/>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2174</v>
      </c>
      <c r="B25" s="319" t="s">
        <v>2175</v>
      </c>
      <c r="C25" s="14"/>
      <c r="D25" s="56" t="s">
        <v>2176</v>
      </c>
      <c r="E25" s="1896"/>
      <c r="F25" s="16"/>
      <c r="G25" s="1238"/>
      <c r="H25" s="1418" t="s">
        <v>22</v>
      </c>
      <c r="I25" s="1433" t="s">
        <v>2177</v>
      </c>
      <c r="J25" s="327">
        <f ca="1">J5-J16</f>
        <v>-17769</v>
      </c>
      <c r="K25" s="1434" t="s">
        <v>2178</v>
      </c>
      <c r="L25" s="1435"/>
      <c r="M25" s="1436"/>
      <c r="N25" s="796"/>
      <c r="O25" s="796"/>
      <c r="P25" s="796"/>
      <c r="Q25" s="1358"/>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2119</v>
      </c>
      <c r="B26" s="319" t="s">
        <v>2179</v>
      </c>
      <c r="C26" s="14">
        <f>ROUND((C19+C20)*F26,0)</f>
        <v>175048</v>
      </c>
      <c r="D26" s="344" t="s">
        <v>2180</v>
      </c>
      <c r="E26" s="330" t="s">
        <v>2181</v>
      </c>
      <c r="F26" s="329">
        <f>'数据-取费表'!E28</f>
        <v>0.2</v>
      </c>
      <c r="G26" s="791"/>
      <c r="H26" s="316" t="s">
        <v>23</v>
      </c>
      <c r="I26" s="317" t="s">
        <v>2182</v>
      </c>
      <c r="J26" s="318">
        <f ca="1">IF(J5&lt;&gt;0,ROUND(J25*(1-((1+M28)/(1+M26))^M27)/(M26-M28),0),0)</f>
        <v>0</v>
      </c>
      <c r="K26" s="346" t="s">
        <v>2183</v>
      </c>
      <c r="L26" s="319" t="s">
        <v>2184</v>
      </c>
      <c r="M26" s="329">
        <f>'数据-取费表'!B16</f>
        <v>0.06</v>
      </c>
    </row>
    <row r="27" spans="1:37" ht="18" customHeight="1">
      <c r="A27" s="337" t="s">
        <v>2185</v>
      </c>
      <c r="B27" s="319" t="s">
        <v>2186</v>
      </c>
      <c r="C27" s="14">
        <f>ROUND(F21*F26,4)</f>
        <v>4.0000000000000001E-3</v>
      </c>
      <c r="D27" s="344" t="s">
        <v>2187</v>
      </c>
      <c r="E27" s="339"/>
      <c r="F27" s="340"/>
      <c r="G27" s="791"/>
      <c r="H27" s="321"/>
      <c r="I27" s="322"/>
      <c r="J27" s="323"/>
      <c r="K27" s="354" t="s">
        <v>2188</v>
      </c>
      <c r="L27" s="319" t="s">
        <v>2189</v>
      </c>
      <c r="M27" s="355" t="str">
        <f>'数据-取费表'!B40</f>
        <v>——</v>
      </c>
    </row>
    <row r="28" spans="1:37" ht="18" customHeight="1">
      <c r="A28" s="337" t="s">
        <v>2190</v>
      </c>
      <c r="B28" s="319" t="s">
        <v>2191</v>
      </c>
      <c r="C28" s="14">
        <f>ROUND(F28/(1+'数据-取费表'!F30),4)</f>
        <v>5.33E-2</v>
      </c>
      <c r="D28" s="344" t="s">
        <v>2192</v>
      </c>
      <c r="E28" s="319" t="s">
        <v>2152</v>
      </c>
      <c r="F28" s="342">
        <f>'数据-取费表'!E29</f>
        <v>5.6000000000000001E-2</v>
      </c>
      <c r="G28" s="791"/>
      <c r="H28" s="325"/>
      <c r="I28" s="326"/>
      <c r="J28" s="327"/>
      <c r="K28" s="349"/>
      <c r="L28" s="319" t="s">
        <v>2193</v>
      </c>
      <c r="M28" s="329">
        <f>'数据-取费表'!B37</f>
        <v>0</v>
      </c>
    </row>
    <row r="29" spans="1:37" ht="18" customHeight="1" thickBot="1">
      <c r="A29" s="1428" t="s">
        <v>2194</v>
      </c>
      <c r="B29" s="1429" t="s">
        <v>2195</v>
      </c>
      <c r="C29" s="1430">
        <f ca="1">ROUND((C19+C20+C23+C26)/(1-F21-C24-C27-C28),0)</f>
        <v>1184620</v>
      </c>
      <c r="D29" s="1431"/>
      <c r="E29" s="1429"/>
      <c r="F29" s="1432"/>
      <c r="G29" s="791"/>
      <c r="H29" s="356" t="s">
        <v>24</v>
      </c>
      <c r="I29" s="357" t="s">
        <v>2196</v>
      </c>
      <c r="J29" s="358">
        <f ca="1">ROUND(J26/(1+F40)^F41,0)</f>
        <v>0</v>
      </c>
      <c r="K29" s="359" t="s">
        <v>2197</v>
      </c>
      <c r="L29" s="360"/>
      <c r="M29" s="361">
        <f>IF(D1="仅计算典型户型",'数据-取费表'!E5,'数据-取费表'!B5)</f>
        <v>218.48</v>
      </c>
    </row>
    <row r="30" spans="1:37" ht="18" customHeight="1" thickTop="1">
      <c r="A30" s="1418" t="s">
        <v>14</v>
      </c>
      <c r="B30" s="1419" t="s">
        <v>2198</v>
      </c>
      <c r="C30" s="327">
        <f ca="1">ROUND(C31+C36+C37+C38,0)</f>
        <v>102593</v>
      </c>
      <c r="D30" s="1425" t="s">
        <v>2199</v>
      </c>
      <c r="E30" s="1426"/>
      <c r="F30" s="1427"/>
      <c r="G30" s="791"/>
      <c r="H30" s="1217"/>
      <c r="I30" s="1218"/>
      <c r="J30" s="1219"/>
      <c r="K30" s="1220"/>
      <c r="L30" s="1221"/>
      <c r="M30" s="1222"/>
    </row>
    <row r="31" spans="1:37" ht="18" customHeight="1">
      <c r="A31" s="337" t="s">
        <v>2100</v>
      </c>
      <c r="B31" s="319" t="s">
        <v>2138</v>
      </c>
      <c r="C31" s="14">
        <f ca="1">ROUND(IF(项目基本情况!B7="自然人",C5*F31,C32+C33+C34),1)</f>
        <v>78886.899999999994</v>
      </c>
      <c r="D31" s="1886" t="s">
        <v>2200</v>
      </c>
      <c r="E31" s="1891" t="s">
        <v>2201</v>
      </c>
      <c r="F31" s="343" t="str">
        <f>IF(项目基本情况!B7="企业","",IF('数据-取费表'!B10="住宅",5%,IF(F6*F7*F8/12/(1+'数据-取费表'!F30)&gt;20000,12%,7%)))</f>
        <v/>
      </c>
      <c r="G31" s="791"/>
      <c r="H31" s="1217"/>
      <c r="I31" s="1218"/>
      <c r="J31" s="1219"/>
      <c r="K31" s="1220"/>
      <c r="L31" s="1221"/>
      <c r="M31" s="1222"/>
    </row>
    <row r="32" spans="1:37" ht="18" customHeight="1">
      <c r="A32" s="337" t="s">
        <v>2119</v>
      </c>
      <c r="B32" s="319" t="s">
        <v>2202</v>
      </c>
      <c r="C32" s="14">
        <f ca="1">IF(项目基本情况!B7="自然人","——",ROUND(C5*F32/(1+'数据-取费表'!F30),0))</f>
        <v>24273</v>
      </c>
      <c r="D32" s="1891" t="s">
        <v>2203</v>
      </c>
      <c r="E32" s="319" t="s">
        <v>2152</v>
      </c>
      <c r="F32" s="352">
        <f>'数据-取费表'!E29</f>
        <v>5.6000000000000001E-2</v>
      </c>
      <c r="G32" s="791"/>
      <c r="H32" s="1223"/>
      <c r="I32" s="1224"/>
      <c r="J32" s="1225"/>
      <c r="K32" s="1226"/>
      <c r="L32" s="1227"/>
      <c r="M32" s="1228"/>
    </row>
    <row r="33" spans="1:18" ht="18" customHeight="1">
      <c r="A33" s="337" t="s">
        <v>2123</v>
      </c>
      <c r="B33" s="319" t="s">
        <v>2148</v>
      </c>
      <c r="C33" s="14">
        <f ca="1">IF(项目基本情况!B7="自然人","——",IF(D33="按租金收入计税",ROUND(C5*F33,1),IF(D33="按房产原值计税",ROUND(C29*F33*0.7,1),'数据-取费表'!B43)))</f>
        <v>54613.9</v>
      </c>
      <c r="D33" s="2011" t="s">
        <v>2833</v>
      </c>
      <c r="E33" s="319" t="s">
        <v>2126</v>
      </c>
      <c r="F33" s="342">
        <f>IF(D33="按票据","——",IF(D33="按租金收入计税",'数据-取费表'!E39,'数据-取费表'!E38))</f>
        <v>0.12</v>
      </c>
      <c r="G33" s="791"/>
      <c r="H33" s="1229"/>
      <c r="I33" s="363" t="s">
        <v>2204</v>
      </c>
      <c r="J33" s="364"/>
      <c r="K33" s="1230"/>
      <c r="L33" s="1229"/>
      <c r="M33" s="1229"/>
    </row>
    <row r="34" spans="1:18" ht="18" customHeight="1">
      <c r="A34" s="1382" t="s">
        <v>2129</v>
      </c>
      <c r="B34" s="80" t="s">
        <v>2153</v>
      </c>
      <c r="C34" s="15">
        <f>IF(项目基本情况!B7="自然人","——",ROUND(F34*F35,0))</f>
        <v>0</v>
      </c>
      <c r="D34" s="346" t="s">
        <v>2154</v>
      </c>
      <c r="E34" s="319" t="s">
        <v>2155</v>
      </c>
      <c r="F34" s="347">
        <f>'数据-取费表'!E40</f>
        <v>24</v>
      </c>
      <c r="G34" s="791"/>
      <c r="H34" s="1217"/>
      <c r="I34" s="365" t="s">
        <v>2205</v>
      </c>
      <c r="J34" s="366">
        <f ca="1">ROUND(C13*J35,0)</f>
        <v>78540</v>
      </c>
      <c r="K34" s="1231"/>
      <c r="L34" s="1232"/>
      <c r="M34" s="1232"/>
    </row>
    <row r="35" spans="1:18" ht="24.6" customHeight="1">
      <c r="A35" s="1386"/>
      <c r="B35" s="328"/>
      <c r="C35" s="19"/>
      <c r="D35" s="349"/>
      <c r="E35" s="319" t="s">
        <v>2160</v>
      </c>
      <c r="F35" s="320">
        <f>IF(D1="仅计算典型户型",'数据-取费表'!E6,'数据-取费表'!B6)</f>
        <v>0</v>
      </c>
      <c r="G35" s="791"/>
      <c r="H35" s="1217"/>
      <c r="I35" s="367" t="s">
        <v>2206</v>
      </c>
      <c r="J35" s="368">
        <f>'数据-取费表'!B17</f>
        <v>8.5000000000000006E-2</v>
      </c>
      <c r="K35" s="1230"/>
      <c r="L35" s="1229"/>
      <c r="M35" s="1229"/>
    </row>
    <row r="36" spans="1:18" ht="18" customHeight="1">
      <c r="A36" s="1385" t="s">
        <v>2107</v>
      </c>
      <c r="B36" s="319" t="s">
        <v>2207</v>
      </c>
      <c r="C36" s="14">
        <f ca="1">ROUND(C29*F36,0)</f>
        <v>17769</v>
      </c>
      <c r="D36" s="1891" t="s">
        <v>2208</v>
      </c>
      <c r="E36" s="319" t="s">
        <v>2152</v>
      </c>
      <c r="F36" s="350">
        <f>'数据-取费表'!B44</f>
        <v>1.4999999999999999E-2</v>
      </c>
      <c r="G36" s="791"/>
      <c r="H36" s="1229"/>
      <c r="I36" s="369" t="s">
        <v>2209</v>
      </c>
      <c r="J36" s="370"/>
      <c r="K36" s="1233"/>
      <c r="L36" s="1229"/>
      <c r="M36" s="1229"/>
    </row>
    <row r="37" spans="1:18" ht="18" customHeight="1">
      <c r="A37" s="337" t="s">
        <v>2156</v>
      </c>
      <c r="B37" s="319" t="s">
        <v>2167</v>
      </c>
      <c r="C37" s="14">
        <f ca="1">ROUND(C13*F37,0)</f>
        <v>1386</v>
      </c>
      <c r="D37" s="1891" t="s">
        <v>2168</v>
      </c>
      <c r="E37" s="319" t="s">
        <v>2169</v>
      </c>
      <c r="F37" s="351">
        <f>'数据-取费表'!B45</f>
        <v>1.5E-3</v>
      </c>
      <c r="G37" s="791"/>
      <c r="H37" s="1229"/>
      <c r="I37" s="216" t="s">
        <v>2210</v>
      </c>
      <c r="J37" s="371"/>
      <c r="K37" s="1233"/>
      <c r="L37" s="1229"/>
      <c r="M37" s="1229"/>
    </row>
    <row r="38" spans="1:18" ht="18" customHeight="1" thickBot="1">
      <c r="A38" s="1428" t="s">
        <v>2161</v>
      </c>
      <c r="B38" s="1429" t="s">
        <v>2150</v>
      </c>
      <c r="C38" s="1430">
        <f ca="1">ROUND(C5*F38,0)</f>
        <v>4551</v>
      </c>
      <c r="D38" s="1431" t="s">
        <v>2173</v>
      </c>
      <c r="E38" s="1429" t="s">
        <v>2169</v>
      </c>
      <c r="F38" s="1424">
        <f>'数据-取费表'!B46</f>
        <v>0.01</v>
      </c>
      <c r="G38" s="791"/>
      <c r="H38" s="1229"/>
      <c r="I38" s="365" t="s">
        <v>2211</v>
      </c>
      <c r="J38" s="220">
        <f ca="1">ROUND(J34/C39,3)</f>
        <v>0.223</v>
      </c>
      <c r="K38" s="1234"/>
      <c r="L38" s="1229"/>
      <c r="M38" s="1229"/>
    </row>
    <row r="39" spans="1:18" ht="18" customHeight="1" thickTop="1">
      <c r="A39" s="1418" t="s">
        <v>22</v>
      </c>
      <c r="B39" s="1433" t="s">
        <v>2212</v>
      </c>
      <c r="C39" s="327">
        <f ca="1">C5-C30</f>
        <v>352523</v>
      </c>
      <c r="D39" s="1434" t="s">
        <v>2213</v>
      </c>
      <c r="E39" s="1435"/>
      <c r="F39" s="1436"/>
      <c r="G39" s="791"/>
      <c r="H39" s="1229"/>
      <c r="I39" s="365" t="s">
        <v>2214</v>
      </c>
      <c r="J39" s="220">
        <f ca="1">1-J38</f>
        <v>0.77700000000000002</v>
      </c>
      <c r="K39" s="1234"/>
      <c r="L39" s="1229"/>
      <c r="M39" s="1229"/>
    </row>
    <row r="40" spans="1:18" s="791" customFormat="1" ht="18" customHeight="1">
      <c r="A40" s="316" t="s">
        <v>23</v>
      </c>
      <c r="B40" s="317" t="s">
        <v>2215</v>
      </c>
      <c r="C40" s="318">
        <f ca="1">ROUND(C39*(1-((1+F42)/(1+F40))^F41)/(F40-F42),0)</f>
        <v>7525292</v>
      </c>
      <c r="D40" s="346" t="s">
        <v>2183</v>
      </c>
      <c r="E40" s="319" t="s">
        <v>2184</v>
      </c>
      <c r="F40" s="329">
        <f>'数据-取费表'!B16</f>
        <v>0.06</v>
      </c>
      <c r="H40" s="1235"/>
      <c r="I40" s="216" t="s">
        <v>2216</v>
      </c>
      <c r="J40" s="217"/>
      <c r="K40" s="1234"/>
      <c r="L40" s="1235"/>
      <c r="M40" s="1235"/>
      <c r="Q40" s="795"/>
    </row>
    <row r="41" spans="1:18" s="791" customFormat="1" ht="18" customHeight="1">
      <c r="A41" s="321"/>
      <c r="B41" s="322"/>
      <c r="C41" s="323"/>
      <c r="D41" s="354" t="s">
        <v>2217</v>
      </c>
      <c r="E41" s="1823" t="s">
        <v>2904</v>
      </c>
      <c r="F41" s="355">
        <f>IF('数据-取费表'!B28="租赁期内按合同租金",'数据-取费表'!B34,IF(E41="收益年期(n)",'数据-取费表'!B33,'数据-取费表'!B13))</f>
        <v>50</v>
      </c>
      <c r="H41" s="1236"/>
      <c r="I41" s="219" t="s">
        <v>2088</v>
      </c>
      <c r="J41" s="220">
        <f ca="1">ROUND(C13/C40,3)</f>
        <v>0.123</v>
      </c>
      <c r="K41" s="1233"/>
      <c r="L41" s="1236"/>
      <c r="M41" s="1236"/>
      <c r="Q41" s="795"/>
    </row>
    <row r="42" spans="1:18" s="791" customFormat="1" ht="18" customHeight="1">
      <c r="A42" s="325"/>
      <c r="B42" s="326"/>
      <c r="C42" s="327"/>
      <c r="D42" s="349"/>
      <c r="E42" s="319" t="s">
        <v>2193</v>
      </c>
      <c r="F42" s="329">
        <f>'数据-取费表'!B31</f>
        <v>0.02</v>
      </c>
      <c r="H42" s="1236"/>
      <c r="I42" s="219" t="s">
        <v>2089</v>
      </c>
      <c r="J42" s="221">
        <f ca="1">1-J41</f>
        <v>0.877</v>
      </c>
      <c r="K42" s="1233"/>
      <c r="L42" s="1236"/>
      <c r="M42" s="1236"/>
      <c r="Q42" s="795"/>
    </row>
    <row r="43" spans="1:18" s="791" customFormat="1" ht="18" customHeight="1" thickBot="1">
      <c r="A43" s="356" t="s">
        <v>24</v>
      </c>
      <c r="B43" s="357" t="s">
        <v>2218</v>
      </c>
      <c r="C43" s="358">
        <f ca="1">ROUND(C40/F43,0)</f>
        <v>34444</v>
      </c>
      <c r="D43" s="359" t="s">
        <v>2219</v>
      </c>
      <c r="E43" s="360" t="s">
        <v>2220</v>
      </c>
      <c r="F43" s="361">
        <f>IF(D1="仅计算典型户型",'数据-取费表'!E5,'数据-取费表'!B5)</f>
        <v>218.48</v>
      </c>
      <c r="G43" s="793"/>
      <c r="H43" s="1236"/>
      <c r="I43" s="1236"/>
      <c r="J43" s="1236"/>
      <c r="K43" s="1233"/>
      <c r="L43" s="1236"/>
      <c r="M43" s="1236"/>
      <c r="O43" s="1359" t="s">
        <v>2221</v>
      </c>
      <c r="P43" s="1360"/>
      <c r="Q43" s="1356"/>
      <c r="R43" s="1360"/>
    </row>
    <row r="44" spans="1:18" s="791" customFormat="1" ht="18" customHeight="1" thickBot="1">
      <c r="A44" s="776"/>
      <c r="B44" s="776"/>
      <c r="C44" s="790"/>
      <c r="D44" s="776"/>
      <c r="E44" s="776"/>
      <c r="F44" s="776"/>
      <c r="G44" s="793"/>
      <c r="K44" s="792"/>
      <c r="O44" s="1361" t="s">
        <v>2222</v>
      </c>
      <c r="P44" s="1362" t="s">
        <v>2223</v>
      </c>
      <c r="Q44" s="1363" t="s">
        <v>2224</v>
      </c>
      <c r="R44" s="1364" t="s">
        <v>2225</v>
      </c>
    </row>
    <row r="45" spans="1:18" s="791" customFormat="1" ht="18" customHeight="1" thickBot="1">
      <c r="A45" s="776"/>
      <c r="B45" s="776"/>
      <c r="C45" s="790"/>
      <c r="D45" s="776"/>
      <c r="E45" s="776"/>
      <c r="F45" s="776"/>
      <c r="G45" s="794"/>
      <c r="K45" s="792"/>
      <c r="O45" s="1365" t="s">
        <v>957</v>
      </c>
      <c r="P45" s="1366" t="s">
        <v>2226</v>
      </c>
      <c r="Q45" s="1367">
        <f ca="1">C40+J29</f>
        <v>7525292</v>
      </c>
      <c r="R45" s="1368" t="s">
        <v>2227</v>
      </c>
    </row>
    <row r="46" spans="1:18" s="791" customFormat="1" ht="18" customHeight="1" thickBot="1">
      <c r="A46" s="776"/>
      <c r="D46" s="776"/>
      <c r="E46" s="776"/>
      <c r="F46" s="776"/>
      <c r="K46" s="792"/>
      <c r="O46" s="1365" t="s">
        <v>958</v>
      </c>
      <c r="P46" s="1366" t="s">
        <v>2228</v>
      </c>
      <c r="Q46" s="1367" t="str">
        <f>J61</f>
        <v>0</v>
      </c>
      <c r="R46" s="1368" t="s">
        <v>2229</v>
      </c>
    </row>
    <row r="47" spans="1:18" s="791" customFormat="1" ht="21.75" thickBot="1">
      <c r="A47" s="2341" t="s">
        <v>2230</v>
      </c>
      <c r="C47" s="1302">
        <f ca="1">IF(C2="元",C69-C40,ROUND((C69-C40)/10000,0))</f>
        <v>-9395642</v>
      </c>
      <c r="D47" s="2342" t="str">
        <f>C2</f>
        <v>元</v>
      </c>
      <c r="E47" s="776"/>
      <c r="F47" s="776"/>
      <c r="I47" s="2343" t="s">
        <v>2231</v>
      </c>
      <c r="J47" s="1342"/>
      <c r="K47" s="1343"/>
      <c r="L47" s="2748">
        <v>0</v>
      </c>
      <c r="O47" s="1369" t="s">
        <v>959</v>
      </c>
      <c r="P47" s="1366" t="s">
        <v>2232</v>
      </c>
      <c r="Q47" s="1367">
        <f ca="1">C29</f>
        <v>1184620</v>
      </c>
      <c r="R47" s="1368" t="s">
        <v>2227</v>
      </c>
    </row>
    <row r="48" spans="1:18" s="791" customFormat="1" ht="15.75" thickBot="1">
      <c r="A48" s="312" t="s">
        <v>2233</v>
      </c>
      <c r="B48" s="313" t="s">
        <v>2234</v>
      </c>
      <c r="C48" s="313" t="s">
        <v>2235</v>
      </c>
      <c r="D48" s="313" t="s">
        <v>2236</v>
      </c>
      <c r="E48" s="1296" t="s">
        <v>2237</v>
      </c>
      <c r="F48" s="1297"/>
      <c r="I48" s="2344" t="s">
        <v>2238</v>
      </c>
      <c r="J48" s="2345" t="s">
        <v>2829</v>
      </c>
      <c r="K48" s="2346" t="s">
        <v>2239</v>
      </c>
      <c r="L48" s="1344">
        <f>'数据-取费表'!B11</f>
        <v>50</v>
      </c>
      <c r="M48" s="1356" t="str">
        <f>IF('数据-取费表'!B10="住宅","住宅","非住宅")</f>
        <v>非住宅</v>
      </c>
      <c r="O48" s="1369" t="s">
        <v>960</v>
      </c>
      <c r="P48" s="1366" t="s">
        <v>2240</v>
      </c>
      <c r="Q48" s="1370" t="e">
        <f>J59</f>
        <v>#VALUE!</v>
      </c>
      <c r="R48" s="1368"/>
    </row>
    <row r="49" spans="1:18" s="791" customFormat="1" ht="15.75" thickBot="1">
      <c r="A49" s="1455" t="s">
        <v>1030</v>
      </c>
      <c r="B49" s="317" t="s">
        <v>2241</v>
      </c>
      <c r="C49" s="1456">
        <f ca="1">C50+C54+C56</f>
        <v>0</v>
      </c>
      <c r="D49" s="1457"/>
      <c r="E49" s="101"/>
      <c r="F49" s="16"/>
      <c r="I49" s="2347" t="s">
        <v>2242</v>
      </c>
      <c r="J49" s="2348" t="s">
        <v>2830</v>
      </c>
      <c r="K49" s="2349" t="s">
        <v>2243</v>
      </c>
      <c r="L49" s="1127">
        <f>'数据-取费表'!B13</f>
        <v>50</v>
      </c>
      <c r="O49" s="1369" t="s">
        <v>961</v>
      </c>
      <c r="P49" s="1366" t="s">
        <v>2244</v>
      </c>
      <c r="Q49" s="1370">
        <f>J53</f>
        <v>0.09</v>
      </c>
      <c r="R49" s="1368"/>
    </row>
    <row r="50" spans="1:18" s="791" customFormat="1" ht="15.75" thickBot="1">
      <c r="A50" s="345" t="s">
        <v>2100</v>
      </c>
      <c r="B50" s="2022" t="s">
        <v>2245</v>
      </c>
      <c r="C50" s="318">
        <f>ROUND(F50*F52*F51*(1-F53),0)</f>
        <v>0</v>
      </c>
      <c r="D50" s="93" t="s">
        <v>2798</v>
      </c>
      <c r="E50" s="2350" t="s">
        <v>2246</v>
      </c>
      <c r="F50" s="1298"/>
      <c r="I50" s="2347" t="s">
        <v>2247</v>
      </c>
      <c r="J50" s="1127">
        <f>'数据-取费表'!B26</f>
        <v>2005</v>
      </c>
      <c r="K50" s="2351" t="s">
        <v>2248</v>
      </c>
      <c r="L50" s="1345"/>
      <c r="O50" s="1369" t="s">
        <v>962</v>
      </c>
      <c r="P50" s="1366" t="s">
        <v>2249</v>
      </c>
      <c r="Q50" s="1367">
        <f>J54</f>
        <v>47</v>
      </c>
      <c r="R50" s="1368" t="s">
        <v>2250</v>
      </c>
    </row>
    <row r="51" spans="1:18" s="791" customFormat="1" ht="15.75" thickBot="1">
      <c r="A51" s="321"/>
      <c r="B51" s="322"/>
      <c r="C51" s="323"/>
      <c r="D51" s="324"/>
      <c r="E51" s="339" t="s">
        <v>2103</v>
      </c>
      <c r="F51" s="1295">
        <f>F7</f>
        <v>218.48</v>
      </c>
      <c r="I51" s="2347" t="s">
        <v>2251</v>
      </c>
      <c r="J51" s="1346">
        <f>SUMPRODUCT((I64:I66=J48)*(J63:L63=J49)*(J64:L66))</f>
        <v>60</v>
      </c>
      <c r="K51" s="2351" t="s">
        <v>2252</v>
      </c>
      <c r="L51" s="1345"/>
      <c r="O51" s="1365" t="s">
        <v>963</v>
      </c>
      <c r="P51" s="1366" t="str">
        <f>IF(C2="元","收益价值(元)","收益价值(万元)")</f>
        <v>收益价值(元)</v>
      </c>
      <c r="Q51" s="1367">
        <f ca="1">ROUND(IF(C2="元",Q45+Q46,(Q45+Q46)/10000),0)</f>
        <v>7525292</v>
      </c>
      <c r="R51" s="1368" t="s">
        <v>964</v>
      </c>
    </row>
    <row r="52" spans="1:18" s="791" customFormat="1" ht="16.5" thickBot="1">
      <c r="A52" s="321"/>
      <c r="B52" s="322"/>
      <c r="C52" s="323"/>
      <c r="D52" s="324"/>
      <c r="E52" s="319" t="s">
        <v>2105</v>
      </c>
      <c r="F52" s="320">
        <f>F8</f>
        <v>365</v>
      </c>
      <c r="I52" s="2352" t="s">
        <v>2253</v>
      </c>
      <c r="J52" s="1347">
        <f>IF(J50="",J51,J50+J51-YEAR('数据-取费表'!B2))</f>
        <v>47</v>
      </c>
      <c r="K52" s="2353" t="s">
        <v>2254</v>
      </c>
      <c r="L52" s="1348">
        <f ca="1">ROUND(-PV('数据-取费表'!B15,L49,(C40-C13*J35)),0)</f>
        <v>126084809</v>
      </c>
      <c r="O52" s="1359" t="s">
        <v>2255</v>
      </c>
      <c r="P52" s="1360"/>
      <c r="Q52" s="1356"/>
      <c r="R52" s="1360"/>
    </row>
    <row r="53" spans="1:18" s="791" customFormat="1" ht="15.75" thickBot="1">
      <c r="A53" s="325"/>
      <c r="B53" s="326"/>
      <c r="C53" s="327"/>
      <c r="D53" s="328"/>
      <c r="E53" s="319" t="s">
        <v>2106</v>
      </c>
      <c r="F53" s="1355"/>
      <c r="I53" s="2354" t="s">
        <v>2256</v>
      </c>
      <c r="J53" s="1349">
        <v>0.09</v>
      </c>
      <c r="K53" s="2354" t="s">
        <v>2257</v>
      </c>
      <c r="L53" s="1349"/>
      <c r="O53" s="1361" t="s">
        <v>2222</v>
      </c>
      <c r="P53" s="1362" t="s">
        <v>2223</v>
      </c>
      <c r="Q53" s="1363" t="s">
        <v>2224</v>
      </c>
      <c r="R53" s="1364" t="s">
        <v>2225</v>
      </c>
    </row>
    <row r="54" spans="1:18" s="791" customFormat="1" ht="29.25" customHeight="1" thickBot="1">
      <c r="A54" s="1382" t="s">
        <v>2107</v>
      </c>
      <c r="B54" s="2335" t="s">
        <v>2108</v>
      </c>
      <c r="C54" s="1383">
        <f ca="1">ROUND(IF(F54="押一",C50/12*F11,IF(F54="押二",C50/12*2*F11,IF(F54="押三",C50/12*3*F11,C55*F11))),0)</f>
        <v>0</v>
      </c>
      <c r="D54" s="2336" t="s">
        <v>2806</v>
      </c>
      <c r="E54" s="330" t="s">
        <v>2109</v>
      </c>
      <c r="F54" s="2337"/>
      <c r="I54" s="2355" t="s">
        <v>2258</v>
      </c>
      <c r="J54" s="1350">
        <f>IF(M48="住宅",J52,IF(E1="——",MIN(J52,L49),IF(E1="在建（套用方法）",MIN(J52,L49-'数据-取费表'!B25),IF(E1="土地（套用方法）",MIN(J52,L49-'数据-取费表'!B21)))))</f>
        <v>47</v>
      </c>
      <c r="K54" s="3026" t="s">
        <v>2796</v>
      </c>
      <c r="L54" s="3027"/>
      <c r="O54" s="1365" t="s">
        <v>957</v>
      </c>
      <c r="P54" s="1366" t="s">
        <v>2226</v>
      </c>
      <c r="Q54" s="1367">
        <f ca="1">C40+J29</f>
        <v>7525292</v>
      </c>
      <c r="R54" s="1368" t="s">
        <v>2227</v>
      </c>
    </row>
    <row r="55" spans="1:18" s="791" customFormat="1" ht="20.25" thickBot="1">
      <c r="A55" s="1382"/>
      <c r="B55" s="2356" t="s">
        <v>2113</v>
      </c>
      <c r="C55" s="1416"/>
      <c r="D55" s="93"/>
      <c r="E55" s="2357"/>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58"/>
      <c r="K55" s="2358"/>
      <c r="L55" s="2358"/>
      <c r="O55" s="1365" t="s">
        <v>958</v>
      </c>
      <c r="P55" s="1366" t="s">
        <v>2259</v>
      </c>
      <c r="Q55" s="1367" t="e">
        <f ca="1">L61</f>
        <v>#DIV/0!</v>
      </c>
      <c r="R55" s="1368" t="s">
        <v>2260</v>
      </c>
    </row>
    <row r="56" spans="1:18" s="791" customFormat="1" ht="20.25" thickBot="1">
      <c r="A56" s="1422" t="s">
        <v>2114</v>
      </c>
      <c r="B56" s="2339" t="s">
        <v>2115</v>
      </c>
      <c r="C56" s="1423"/>
      <c r="D56" s="1439"/>
      <c r="E56" s="2359"/>
      <c r="F56" s="1499"/>
      <c r="I56" s="2360" t="s">
        <v>2261</v>
      </c>
      <c r="J56" s="1869" t="e">
        <f>ROUND(IF(J48="钢混",J58/J51,1-(1-2%)*(J51-J58)/J51),3)</f>
        <v>#VALUE!</v>
      </c>
      <c r="K56" s="2361" t="s">
        <v>2262</v>
      </c>
      <c r="L56" s="1351"/>
      <c r="O56" s="1369" t="s">
        <v>959</v>
      </c>
      <c r="P56" s="1366" t="s">
        <v>2263</v>
      </c>
      <c r="Q56" s="1367">
        <f>IF(L56="比较法",L50,IF(L56="基准地价",L51,0))</f>
        <v>0</v>
      </c>
      <c r="R56" s="1368" t="s">
        <v>2227</v>
      </c>
    </row>
    <row r="57" spans="1:18" s="791" customFormat="1" ht="44.25" thickTop="1" thickBot="1">
      <c r="A57" s="1418">
        <v>2</v>
      </c>
      <c r="B57" s="1419" t="s">
        <v>2116</v>
      </c>
      <c r="C57" s="1498">
        <f ca="1">C13</f>
        <v>924004</v>
      </c>
      <c r="D57" s="1293"/>
      <c r="E57" s="1294"/>
      <c r="F57" s="1301"/>
      <c r="I57" s="2362" t="s">
        <v>2264</v>
      </c>
      <c r="J57" s="1354"/>
      <c r="K57" s="2347" t="s">
        <v>2265</v>
      </c>
      <c r="L57" s="1127">
        <f>IF(L49&lt;J52,"——",L49-J52)</f>
        <v>3</v>
      </c>
      <c r="O57" s="1369" t="s">
        <v>960</v>
      </c>
      <c r="P57" s="1366" t="s">
        <v>2266</v>
      </c>
      <c r="Q57" s="1370">
        <f>L53</f>
        <v>0</v>
      </c>
      <c r="R57" s="1368"/>
    </row>
    <row r="58" spans="1:18" s="791" customFormat="1" ht="29.25" thickBot="1">
      <c r="A58" s="1300"/>
      <c r="B58" s="319" t="s">
        <v>2195</v>
      </c>
      <c r="C58" s="188">
        <f ca="1">C29</f>
        <v>1184620</v>
      </c>
      <c r="D58" s="1293"/>
      <c r="E58" s="1294"/>
      <c r="F58" s="1301"/>
      <c r="I58" s="2363" t="s">
        <v>2267</v>
      </c>
      <c r="J58" s="1353" t="str">
        <f>IF(OR(M48="住宅",J52&lt;L49,J57="是"),"——",J52-L49)</f>
        <v>——</v>
      </c>
      <c r="K58" s="2347" t="s">
        <v>2268</v>
      </c>
      <c r="L58" s="1127">
        <f ca="1">IF(L49&lt;J52,"——",IF(L56="比较法",L50,IF(L56="基准地价",L51,L52)))</f>
        <v>126084809</v>
      </c>
      <c r="O58" s="1369" t="s">
        <v>961</v>
      </c>
      <c r="P58" s="1366" t="s">
        <v>2269</v>
      </c>
      <c r="Q58" s="1367" t="e">
        <f>L59</f>
        <v>#DIV/0!</v>
      </c>
      <c r="R58" s="1368" t="s">
        <v>2270</v>
      </c>
    </row>
    <row r="59" spans="1:18" s="791" customFormat="1" ht="29.25" thickBot="1">
      <c r="A59" s="332" t="s">
        <v>14</v>
      </c>
      <c r="B59" s="333" t="s">
        <v>2198</v>
      </c>
      <c r="C59" s="334">
        <f ca="1">ROUND(C60+C65+C66+C67,0)</f>
        <v>118663</v>
      </c>
      <c r="D59" s="12" t="s">
        <v>2199</v>
      </c>
      <c r="E59" s="1896"/>
      <c r="F59" s="16"/>
      <c r="I59" s="2363" t="s">
        <v>2271</v>
      </c>
      <c r="J59" s="1868" t="e">
        <f>IF(J56&lt;0.4,0.4,J56)</f>
        <v>#VALUE!</v>
      </c>
      <c r="K59" s="2353" t="s">
        <v>2272</v>
      </c>
      <c r="L59" s="1127" t="e">
        <f>ROUND(POWER(1+L53,L48-L49)*(POWER(1+L53,L49)-1)/(POWER(1+L53,L48)-1),4)</f>
        <v>#DIV/0!</v>
      </c>
      <c r="O59" s="1369" t="s">
        <v>962</v>
      </c>
      <c r="P59" s="1366" t="str">
        <f>K60</f>
        <v>建筑物剩余耐用年限下的土地年期修正系数Kn</v>
      </c>
      <c r="Q59" s="1367" t="e">
        <f>L60</f>
        <v>#DIV/0!</v>
      </c>
      <c r="R59" s="1368" t="s">
        <v>2273</v>
      </c>
    </row>
    <row r="60" spans="1:18" s="791" customFormat="1" ht="29.25" thickBot="1">
      <c r="A60" s="337" t="s">
        <v>15</v>
      </c>
      <c r="B60" s="319" t="s">
        <v>2138</v>
      </c>
      <c r="C60" s="14">
        <f ca="1">ROUND(IF(项目基本情况!B7="自然人",C49*F60,C61+C62+C63),1)</f>
        <v>99508.1</v>
      </c>
      <c r="D60" s="1886" t="s">
        <v>2200</v>
      </c>
      <c r="E60" s="1891" t="s">
        <v>2201</v>
      </c>
      <c r="F60" s="343" t="str">
        <f>IF(项目基本情况!B7="企业","",IF('数据-取费表'!B10="住宅",5%,IF(F50*F51*F52/12/(1+'数据-取费表'!F30)&gt;20000,12%,7%)))</f>
        <v/>
      </c>
      <c r="I60" s="2363" t="s">
        <v>2274</v>
      </c>
      <c r="J60" s="1353"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0" t="e">
        <f>ROUND(POWER(1+L53,L48-(J52+'数据-取费表'!B25))*(POWER(1+L53,(J52+'数据-取费表'!B25))-1)/(POWER(1+L53,L48)-1),4)</f>
        <v>#DIV/0!</v>
      </c>
      <c r="N60" s="1360" t="e">
        <f>ROUND(POWER(1+L53,L48-(J52+'数据-取费表'!B21))*(POWER(1+L53,(J52+'数据-取费表'!B21))-1)/(POWER(1+L53,L48)-1),4)</f>
        <v>#DIV/0!</v>
      </c>
      <c r="O60" s="1365" t="s">
        <v>963</v>
      </c>
      <c r="P60" s="1366" t="str">
        <f>IF(C2="元","收益价值(元)","收益价值(万元)")</f>
        <v>收益价值(元)</v>
      </c>
      <c r="Q60" s="1367" t="e">
        <f ca="1">ROUND(IF(C2="元",Q54+Q55,(Q54+Q55)/10000),0)</f>
        <v>#DIV/0!</v>
      </c>
      <c r="R60" s="1368" t="s">
        <v>964</v>
      </c>
    </row>
    <row r="61" spans="1:18" s="791" customFormat="1" ht="16.5" thickBot="1">
      <c r="A61" s="337" t="s">
        <v>16</v>
      </c>
      <c r="B61" s="319" t="s">
        <v>2202</v>
      </c>
      <c r="C61" s="14">
        <f ca="1">IF(项目基本情况!B7="自然人","——",ROUND(C49*F61/(1+'数据-取费表'!F30),0))</f>
        <v>0</v>
      </c>
      <c r="D61" s="1891" t="s">
        <v>2203</v>
      </c>
      <c r="E61" s="319" t="s">
        <v>2152</v>
      </c>
      <c r="F61" s="352">
        <f t="shared" ref="F61:F67" si="0">F32</f>
        <v>5.6000000000000001E-2</v>
      </c>
      <c r="I61" s="2364" t="s">
        <v>2275</v>
      </c>
      <c r="J61" s="1352" t="str">
        <f>IF(OR(M48="住宅",J52&lt;L49,J57="是"),"0",ROUND(J60/(1+J53)^J54,0))</f>
        <v>0</v>
      </c>
      <c r="K61" s="2365" t="s">
        <v>2276</v>
      </c>
      <c r="L61" s="1352" t="e">
        <f ca="1">IF(OR(M48="住宅",L49&lt;J52),0,ROUND(L58*(L59/L60-1),0))</f>
        <v>#DIV/0!</v>
      </c>
      <c r="O61" s="1359" t="s">
        <v>2277</v>
      </c>
      <c r="P61" s="1360"/>
      <c r="Q61" s="1356"/>
      <c r="R61" s="1360"/>
    </row>
    <row r="62" spans="1:18" s="791" customFormat="1" ht="15.75" thickBot="1">
      <c r="A62" s="337" t="s">
        <v>17</v>
      </c>
      <c r="B62" s="319" t="s">
        <v>2278</v>
      </c>
      <c r="C62" s="14">
        <f ca="1">IF(项目基本情况!B7="自然人","——",IF(D62="按租金收入计税",ROUND(C49*F62,1),IF(D62="按房产原值计税",ROUND(C58*F62*0.7,1),'数据-取费表'!B43)))</f>
        <v>99508.1</v>
      </c>
      <c r="D62" s="2011" t="s">
        <v>2149</v>
      </c>
      <c r="E62" s="319" t="s">
        <v>2152</v>
      </c>
      <c r="F62" s="342">
        <f t="shared" si="0"/>
        <v>0.12</v>
      </c>
      <c r="O62" s="1361" t="s">
        <v>2222</v>
      </c>
      <c r="P62" s="1362" t="s">
        <v>2223</v>
      </c>
      <c r="Q62" s="1363" t="s">
        <v>2224</v>
      </c>
      <c r="R62" s="1364" t="s">
        <v>2225</v>
      </c>
    </row>
    <row r="63" spans="1:18" s="791" customFormat="1" ht="15.75" thickBot="1">
      <c r="A63" s="345" t="s">
        <v>18</v>
      </c>
      <c r="B63" s="80" t="s">
        <v>2279</v>
      </c>
      <c r="C63" s="15">
        <f>IF(项目基本情况!B7="自然人","——",ROUND(F63*F64,0))</f>
        <v>0</v>
      </c>
      <c r="D63" s="346" t="s">
        <v>2280</v>
      </c>
      <c r="E63" s="319" t="s">
        <v>2281</v>
      </c>
      <c r="F63" s="347">
        <f t="shared" si="0"/>
        <v>24</v>
      </c>
      <c r="I63" s="2366" t="s">
        <v>2282</v>
      </c>
      <c r="J63" s="1872" t="s">
        <v>2283</v>
      </c>
      <c r="K63" s="1872" t="s">
        <v>2284</v>
      </c>
      <c r="L63" s="1872" t="s">
        <v>2285</v>
      </c>
      <c r="M63" s="1871" t="s">
        <v>2286</v>
      </c>
      <c r="O63" s="1365" t="s">
        <v>957</v>
      </c>
      <c r="P63" s="1366" t="s">
        <v>2226</v>
      </c>
      <c r="Q63" s="1367">
        <f ca="1">C40+J29</f>
        <v>7525292</v>
      </c>
      <c r="R63" s="1368" t="s">
        <v>2227</v>
      </c>
    </row>
    <row r="64" spans="1:18" s="791" customFormat="1" ht="20.25" thickBot="1">
      <c r="A64" s="348"/>
      <c r="B64" s="328"/>
      <c r="C64" s="19"/>
      <c r="D64" s="349"/>
      <c r="E64" s="319" t="s">
        <v>2287</v>
      </c>
      <c r="F64" s="320">
        <f t="shared" si="0"/>
        <v>0</v>
      </c>
      <c r="I64" s="2366" t="s">
        <v>2288</v>
      </c>
      <c r="J64" s="1872">
        <v>70</v>
      </c>
      <c r="K64" s="1872">
        <v>50</v>
      </c>
      <c r="L64" s="1872">
        <v>80</v>
      </c>
      <c r="M64" s="1870">
        <v>0.02</v>
      </c>
      <c r="O64" s="1365" t="s">
        <v>958</v>
      </c>
      <c r="P64" s="1366" t="s">
        <v>2259</v>
      </c>
      <c r="Q64" s="1367" t="e">
        <f ca="1">L61</f>
        <v>#DIV/0!</v>
      </c>
      <c r="R64" s="1368" t="s">
        <v>2260</v>
      </c>
    </row>
    <row r="65" spans="1:18" s="791" customFormat="1" ht="23.25" thickBot="1">
      <c r="A65" s="337" t="s">
        <v>19</v>
      </c>
      <c r="B65" s="319" t="s">
        <v>2207</v>
      </c>
      <c r="C65" s="14">
        <f ca="1">ROUND(C58*F65,0)</f>
        <v>17769</v>
      </c>
      <c r="D65" s="1891" t="s">
        <v>2208</v>
      </c>
      <c r="E65" s="319" t="s">
        <v>2152</v>
      </c>
      <c r="F65" s="350">
        <f t="shared" si="0"/>
        <v>1.4999999999999999E-2</v>
      </c>
      <c r="I65" s="2366" t="s">
        <v>2289</v>
      </c>
      <c r="J65" s="1872">
        <v>50</v>
      </c>
      <c r="K65" s="1872">
        <v>35</v>
      </c>
      <c r="L65" s="1872">
        <v>60</v>
      </c>
      <c r="M65" s="1871">
        <v>0</v>
      </c>
      <c r="O65" s="1369" t="s">
        <v>959</v>
      </c>
      <c r="P65" s="1366" t="s">
        <v>2263</v>
      </c>
      <c r="Q65" s="1371">
        <f ca="1">L52</f>
        <v>126084809</v>
      </c>
      <c r="R65" s="1372" t="s">
        <v>2290</v>
      </c>
    </row>
    <row r="66" spans="1:18" s="791" customFormat="1" ht="20.25" thickBot="1">
      <c r="A66" s="337" t="s">
        <v>20</v>
      </c>
      <c r="B66" s="319" t="s">
        <v>2167</v>
      </c>
      <c r="C66" s="14">
        <f ca="1">ROUND(C57*F66,0)</f>
        <v>1386</v>
      </c>
      <c r="D66" s="1891" t="s">
        <v>2168</v>
      </c>
      <c r="E66" s="319" t="s">
        <v>2169</v>
      </c>
      <c r="F66" s="351">
        <f t="shared" si="0"/>
        <v>1.5E-3</v>
      </c>
      <c r="I66" s="2366" t="s">
        <v>2291</v>
      </c>
      <c r="J66" s="1872">
        <v>40</v>
      </c>
      <c r="K66" s="1872">
        <v>30</v>
      </c>
      <c r="L66" s="1872">
        <v>50</v>
      </c>
      <c r="M66" s="1870">
        <v>0.02</v>
      </c>
      <c r="O66" s="1369" t="s">
        <v>960</v>
      </c>
      <c r="P66" s="1373" t="s">
        <v>2292</v>
      </c>
      <c r="Q66" s="1367">
        <f ca="1">ROUND(Q67-Q68*Q69,0)</f>
        <v>273983</v>
      </c>
      <c r="R66" s="1368"/>
    </row>
    <row r="67" spans="1:18" s="791" customFormat="1" ht="15.75" thickBot="1">
      <c r="A67" s="337" t="s">
        <v>21</v>
      </c>
      <c r="B67" s="319" t="s">
        <v>2150</v>
      </c>
      <c r="C67" s="14">
        <f ca="1">ROUND(C49*F67,0)</f>
        <v>0</v>
      </c>
      <c r="D67" s="1891" t="s">
        <v>2173</v>
      </c>
      <c r="E67" s="319" t="s">
        <v>2169</v>
      </c>
      <c r="F67" s="329">
        <f t="shared" si="0"/>
        <v>0.01</v>
      </c>
      <c r="O67" s="1369" t="s">
        <v>965</v>
      </c>
      <c r="P67" s="1373" t="s">
        <v>2293</v>
      </c>
      <c r="Q67" s="1367">
        <f ca="1">C39</f>
        <v>352523</v>
      </c>
      <c r="R67" s="1368" t="s">
        <v>2227</v>
      </c>
    </row>
    <row r="68" spans="1:18" ht="15.75" thickBot="1">
      <c r="A68" s="332" t="s">
        <v>22</v>
      </c>
      <c r="B68" s="89" t="s">
        <v>2177</v>
      </c>
      <c r="C68" s="334">
        <f ca="1">C49-C59</f>
        <v>-118663</v>
      </c>
      <c r="D68" s="1886" t="s">
        <v>2178</v>
      </c>
      <c r="E68" s="1890"/>
      <c r="F68" s="353"/>
      <c r="H68" s="791"/>
      <c r="I68" s="791"/>
      <c r="J68" s="791"/>
      <c r="K68" s="791"/>
      <c r="L68" s="791"/>
      <c r="M68" s="791"/>
      <c r="O68" s="1369" t="s">
        <v>966</v>
      </c>
      <c r="P68" s="1373" t="s">
        <v>2294</v>
      </c>
      <c r="Q68" s="1367">
        <f ca="1">C13</f>
        <v>924004</v>
      </c>
      <c r="R68" s="1368" t="s">
        <v>2227</v>
      </c>
    </row>
    <row r="69" spans="1:18" ht="15.75" thickBot="1">
      <c r="A69" s="316" t="s">
        <v>23</v>
      </c>
      <c r="B69" s="317" t="s">
        <v>2215</v>
      </c>
      <c r="C69" s="318">
        <f ca="1">ROUND(C68*(1-((1+F71)/(1+F69))^F70)/(F69-F71),0)</f>
        <v>-1870350</v>
      </c>
      <c r="D69" s="346" t="s">
        <v>2183</v>
      </c>
      <c r="E69" s="319" t="s">
        <v>2184</v>
      </c>
      <c r="F69" s="329">
        <f>F40</f>
        <v>0.06</v>
      </c>
      <c r="H69" s="791"/>
      <c r="I69" s="791"/>
      <c r="J69" s="791"/>
      <c r="K69" s="791"/>
      <c r="L69" s="791"/>
      <c r="M69" s="791"/>
      <c r="O69" s="1369" t="s">
        <v>967</v>
      </c>
      <c r="P69" s="1373" t="s">
        <v>2295</v>
      </c>
      <c r="Q69" s="1370">
        <f>J35</f>
        <v>8.5000000000000006E-2</v>
      </c>
      <c r="R69" s="1368"/>
    </row>
    <row r="70" spans="1:18" ht="15.75" thickBot="1">
      <c r="A70" s="321"/>
      <c r="B70" s="322"/>
      <c r="C70" s="323"/>
      <c r="D70" s="354" t="s">
        <v>2217</v>
      </c>
      <c r="E70" s="319" t="s">
        <v>2189</v>
      </c>
      <c r="F70" s="355">
        <f>F41</f>
        <v>50</v>
      </c>
      <c r="H70" s="791"/>
      <c r="I70" s="791"/>
      <c r="J70" s="791"/>
      <c r="K70" s="791"/>
      <c r="L70" s="791"/>
      <c r="M70" s="791"/>
      <c r="O70" s="1369" t="s">
        <v>961</v>
      </c>
      <c r="P70" s="1366" t="s">
        <v>2266</v>
      </c>
      <c r="Q70" s="1370">
        <f>L53</f>
        <v>0</v>
      </c>
      <c r="R70" s="1368"/>
    </row>
    <row r="71" spans="1:18" ht="20.25" thickBot="1">
      <c r="A71" s="325"/>
      <c r="B71" s="326"/>
      <c r="C71" s="327"/>
      <c r="D71" s="349"/>
      <c r="E71" s="319" t="s">
        <v>2193</v>
      </c>
      <c r="F71" s="1355"/>
      <c r="H71" s="791"/>
      <c r="M71" s="791"/>
      <c r="O71" s="1369" t="s">
        <v>962</v>
      </c>
      <c r="P71" s="1366" t="s">
        <v>2269</v>
      </c>
      <c r="Q71" s="1367" t="e">
        <f>L59</f>
        <v>#DIV/0!</v>
      </c>
      <c r="R71" s="1368" t="s">
        <v>2270</v>
      </c>
    </row>
    <row r="72" spans="1:18" ht="15.75" thickBot="1">
      <c r="A72" s="356" t="s">
        <v>24</v>
      </c>
      <c r="B72" s="357" t="s">
        <v>2218</v>
      </c>
      <c r="C72" s="358">
        <f ca="1">ROUND(C69/F72,0)</f>
        <v>-8561</v>
      </c>
      <c r="D72" s="359" t="s">
        <v>2219</v>
      </c>
      <c r="E72" s="360" t="s">
        <v>2220</v>
      </c>
      <c r="F72" s="361">
        <f>F43</f>
        <v>218.48</v>
      </c>
      <c r="O72" s="1369" t="s">
        <v>968</v>
      </c>
      <c r="P72" s="1366" t="str">
        <f>K60</f>
        <v>建筑物剩余耐用年限下的土地年期修正系数Kn</v>
      </c>
      <c r="Q72" s="1367" t="e">
        <f>L60</f>
        <v>#DIV/0!</v>
      </c>
      <c r="R72" s="1368" t="s">
        <v>2273</v>
      </c>
    </row>
    <row r="73" spans="1:18" ht="15.75" thickBot="1">
      <c r="A73" s="791"/>
      <c r="B73" s="795"/>
      <c r="C73" s="795"/>
      <c r="D73" s="791"/>
      <c r="E73" s="791"/>
      <c r="F73" s="791"/>
      <c r="O73" s="1365" t="s">
        <v>963</v>
      </c>
      <c r="P73" s="1366" t="str">
        <f>IF(C2="元","收益价值(元)","收益价值(万元)")</f>
        <v>收益价值(元)</v>
      </c>
      <c r="Q73" s="1367" t="e">
        <f ca="1">ROUND(IF(C2="元",Q63+Q64,(Q63+Q64)/10000),0)</f>
        <v>#DIV/0!</v>
      </c>
      <c r="R73" s="1368"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5"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44" t="s">
        <v>1024</v>
      </c>
      <c r="B1" s="3045"/>
      <c r="C1" s="3046"/>
      <c r="D1" s="3047">
        <f>SUM(I10,I15,I20,I21,I23)</f>
        <v>0</v>
      </c>
      <c r="E1" s="3047"/>
      <c r="F1" s="3047"/>
      <c r="G1" s="3047"/>
      <c r="H1" s="3047"/>
      <c r="I1" s="3048"/>
    </row>
    <row r="2" spans="1:9">
      <c r="A2" s="3034" t="s">
        <v>1025</v>
      </c>
      <c r="B2" s="3035" t="s">
        <v>974</v>
      </c>
      <c r="C2" s="3035"/>
      <c r="D2" s="1387" t="s">
        <v>975</v>
      </c>
      <c r="E2" s="1387" t="s">
        <v>976</v>
      </c>
      <c r="F2" s="1387" t="s">
        <v>977</v>
      </c>
      <c r="G2" s="1387" t="s">
        <v>978</v>
      </c>
      <c r="H2" s="1387" t="s">
        <v>979</v>
      </c>
      <c r="I2" s="1388" t="s">
        <v>980</v>
      </c>
    </row>
    <row r="3" spans="1:9">
      <c r="A3" s="3034"/>
      <c r="B3" s="3035" t="s">
        <v>981</v>
      </c>
      <c r="C3" s="3035"/>
      <c r="D3" s="1389"/>
      <c r="E3" s="1387"/>
      <c r="F3" s="1390"/>
      <c r="G3" s="1390"/>
      <c r="H3" s="1391"/>
      <c r="I3" s="1392">
        <f>ROUND(D3*E3*F3*G3*H3/10000,0)</f>
        <v>0</v>
      </c>
    </row>
    <row r="4" spans="1:9">
      <c r="A4" s="3034"/>
      <c r="B4" s="3035" t="s">
        <v>982</v>
      </c>
      <c r="C4" s="3035"/>
      <c r="D4" s="1389"/>
      <c r="E4" s="1387"/>
      <c r="F4" s="1390"/>
      <c r="G4" s="1390"/>
      <c r="H4" s="1391"/>
      <c r="I4" s="1392">
        <f t="shared" ref="I4:I9" si="0">ROUND(D4*E4*F4*G4*H4/10000,0)</f>
        <v>0</v>
      </c>
    </row>
    <row r="5" spans="1:9">
      <c r="A5" s="3034"/>
      <c r="B5" s="3035" t="s">
        <v>983</v>
      </c>
      <c r="C5" s="3035"/>
      <c r="D5" s="1389"/>
      <c r="E5" s="1387"/>
      <c r="F5" s="1390"/>
      <c r="G5" s="1390"/>
      <c r="H5" s="1391"/>
      <c r="I5" s="1392">
        <f t="shared" si="0"/>
        <v>0</v>
      </c>
    </row>
    <row r="6" spans="1:9">
      <c r="A6" s="3034"/>
      <c r="B6" s="3035" t="s">
        <v>984</v>
      </c>
      <c r="C6" s="3035"/>
      <c r="D6" s="1389"/>
      <c r="E6" s="1387"/>
      <c r="F6" s="1390"/>
      <c r="G6" s="1390"/>
      <c r="H6" s="1391"/>
      <c r="I6" s="1392">
        <f t="shared" si="0"/>
        <v>0</v>
      </c>
    </row>
    <row r="7" spans="1:9">
      <c r="A7" s="3034"/>
      <c r="B7" s="3035" t="s">
        <v>985</v>
      </c>
      <c r="C7" s="3035"/>
      <c r="D7" s="1389"/>
      <c r="E7" s="1387"/>
      <c r="F7" s="1390"/>
      <c r="G7" s="1390"/>
      <c r="H7" s="1391"/>
      <c r="I7" s="1392">
        <f t="shared" si="0"/>
        <v>0</v>
      </c>
    </row>
    <row r="8" spans="1:9">
      <c r="A8" s="3034"/>
      <c r="B8" s="3035" t="s">
        <v>986</v>
      </c>
      <c r="C8" s="3035"/>
      <c r="D8" s="1389"/>
      <c r="E8" s="1387"/>
      <c r="F8" s="1390"/>
      <c r="G8" s="1390"/>
      <c r="H8" s="1391"/>
      <c r="I8" s="1392">
        <f t="shared" si="0"/>
        <v>0</v>
      </c>
    </row>
    <row r="9" spans="1:9">
      <c r="A9" s="3034"/>
      <c r="B9" s="3035" t="s">
        <v>987</v>
      </c>
      <c r="C9" s="3035"/>
      <c r="D9" s="1389"/>
      <c r="E9" s="1387"/>
      <c r="F9" s="1390"/>
      <c r="G9" s="1390"/>
      <c r="H9" s="1391"/>
      <c r="I9" s="1392">
        <f t="shared" si="0"/>
        <v>0</v>
      </c>
    </row>
    <row r="10" spans="1:9">
      <c r="A10" s="3034"/>
      <c r="B10" s="3036" t="s">
        <v>988</v>
      </c>
      <c r="C10" s="3036"/>
      <c r="D10" s="1393">
        <v>527</v>
      </c>
      <c r="E10" s="1393" t="e">
        <f>ROUND(D1*10000/D10/H9,0)</f>
        <v>#DIV/0!</v>
      </c>
      <c r="F10" s="1394"/>
      <c r="G10" s="1394"/>
      <c r="H10" s="1395"/>
      <c r="I10" s="1396">
        <f>SUM(I3:I9)</f>
        <v>0</v>
      </c>
    </row>
    <row r="11" spans="1:9" ht="14.25">
      <c r="A11" s="3034" t="s">
        <v>1026</v>
      </c>
      <c r="B11" s="3035" t="s">
        <v>989</v>
      </c>
      <c r="C11" s="3035"/>
      <c r="D11" s="1389" t="s">
        <v>990</v>
      </c>
      <c r="E11" s="1389" t="s">
        <v>991</v>
      </c>
      <c r="F11" s="1390" t="s">
        <v>992</v>
      </c>
      <c r="G11" s="1390" t="s">
        <v>979</v>
      </c>
      <c r="H11" s="1397" t="s">
        <v>993</v>
      </c>
      <c r="I11" s="1388" t="s">
        <v>980</v>
      </c>
    </row>
    <row r="12" spans="1:9">
      <c r="A12" s="3034"/>
      <c r="B12" s="3035" t="s">
        <v>994</v>
      </c>
      <c r="C12" s="3035"/>
      <c r="D12" s="1389"/>
      <c r="E12" s="1389"/>
      <c r="F12" s="1390"/>
      <c r="G12" s="1391"/>
      <c r="H12" s="1398"/>
      <c r="I12" s="1388">
        <f>ROUND(D12*E12*F12*G12/10000,0)</f>
        <v>0</v>
      </c>
    </row>
    <row r="13" spans="1:9">
      <c r="A13" s="3034"/>
      <c r="B13" s="3035" t="s">
        <v>995</v>
      </c>
      <c r="C13" s="3035"/>
      <c r="D13" s="1389"/>
      <c r="E13" s="1389"/>
      <c r="F13" s="1390"/>
      <c r="G13" s="1391"/>
      <c r="H13" s="1398"/>
      <c r="I13" s="1388">
        <f>ROUND(D13*E13*F13*G13/10000,0)</f>
        <v>0</v>
      </c>
    </row>
    <row r="14" spans="1:9">
      <c r="A14" s="3034"/>
      <c r="B14" s="3035" t="s">
        <v>996</v>
      </c>
      <c r="C14" s="3035"/>
      <c r="D14" s="1389"/>
      <c r="E14" s="1389"/>
      <c r="F14" s="1390"/>
      <c r="G14" s="1391"/>
      <c r="H14" s="1398"/>
      <c r="I14" s="1388">
        <f>ROUND(D14*E14*F14*G14/10000,0)</f>
        <v>0</v>
      </c>
    </row>
    <row r="15" spans="1:9">
      <c r="A15" s="3034"/>
      <c r="B15" s="3036" t="s">
        <v>988</v>
      </c>
      <c r="C15" s="3036"/>
      <c r="D15" s="1393"/>
      <c r="E15" s="1393">
        <f>SUM(E12:E14)</f>
        <v>0</v>
      </c>
      <c r="F15" s="1394"/>
      <c r="G15" s="1391"/>
      <c r="H15" s="1398"/>
      <c r="I15" s="1399">
        <f>SUM(I12:I14)</f>
        <v>0</v>
      </c>
    </row>
    <row r="16" spans="1:9" ht="24">
      <c r="A16" s="3034" t="s">
        <v>1027</v>
      </c>
      <c r="B16" s="3035" t="s">
        <v>997</v>
      </c>
      <c r="C16" s="3035"/>
      <c r="D16" s="1389" t="s">
        <v>975</v>
      </c>
      <c r="E16" s="1400" t="s">
        <v>998</v>
      </c>
      <c r="F16" s="1390" t="s">
        <v>999</v>
      </c>
      <c r="G16" s="1391" t="s">
        <v>979</v>
      </c>
      <c r="H16" s="1397" t="s">
        <v>993</v>
      </c>
      <c r="I16" s="1388" t="s">
        <v>980</v>
      </c>
    </row>
    <row r="17" spans="1:9" ht="14.25">
      <c r="A17" s="3034"/>
      <c r="B17" s="3035" t="s">
        <v>1000</v>
      </c>
      <c r="C17" s="3035"/>
      <c r="D17" s="1389"/>
      <c r="E17" s="1389"/>
      <c r="F17" s="1390"/>
      <c r="G17" s="1391"/>
      <c r="H17" s="1401"/>
      <c r="I17" s="1402">
        <f>ROUND(D17*E17*F17*G17/10000,0)</f>
        <v>0</v>
      </c>
    </row>
    <row r="18" spans="1:9" ht="14.25">
      <c r="A18" s="3034"/>
      <c r="B18" s="3035" t="s">
        <v>1001</v>
      </c>
      <c r="C18" s="3035"/>
      <c r="D18" s="1389"/>
      <c r="E18" s="1389"/>
      <c r="F18" s="1390"/>
      <c r="G18" s="1391"/>
      <c r="H18" s="1401"/>
      <c r="I18" s="1402">
        <f>ROUND(D18*E18*F18*G18/10000,0)</f>
        <v>0</v>
      </c>
    </row>
    <row r="19" spans="1:9" ht="14.25">
      <c r="A19" s="3034"/>
      <c r="B19" s="3035" t="s">
        <v>1002</v>
      </c>
      <c r="C19" s="3035"/>
      <c r="D19" s="1389"/>
      <c r="E19" s="1389"/>
      <c r="F19" s="1390"/>
      <c r="G19" s="1391"/>
      <c r="H19" s="1401"/>
      <c r="I19" s="1402">
        <f>ROUND(D19*E19*F19*G19/10000,0)</f>
        <v>0</v>
      </c>
    </row>
    <row r="20" spans="1:9">
      <c r="A20" s="3034"/>
      <c r="B20" s="3036" t="s">
        <v>988</v>
      </c>
      <c r="C20" s="3036"/>
      <c r="D20" s="1393">
        <f>SUM(D17:D19)</f>
        <v>0</v>
      </c>
      <c r="E20" s="1393"/>
      <c r="F20" s="1394"/>
      <c r="G20" s="1391"/>
      <c r="H20" s="1398"/>
      <c r="I20" s="1399">
        <f>SUM(I17:I19)</f>
        <v>0</v>
      </c>
    </row>
    <row r="21" spans="1:9">
      <c r="A21" s="3034" t="s">
        <v>1028</v>
      </c>
      <c r="B21" s="3037"/>
      <c r="C21" s="3037"/>
      <c r="D21" s="3037"/>
      <c r="E21" s="3037"/>
      <c r="F21" s="3037"/>
      <c r="G21" s="3037"/>
      <c r="H21" s="1403">
        <v>0.1</v>
      </c>
      <c r="I21" s="1396">
        <f>ROUND(I10*H21,0)</f>
        <v>0</v>
      </c>
    </row>
    <row r="22" spans="1:9" ht="14.25">
      <c r="A22" s="3038" t="s">
        <v>1029</v>
      </c>
      <c r="B22" s="3039"/>
      <c r="C22" s="3040"/>
      <c r="D22" s="1404" t="s">
        <v>1003</v>
      </c>
      <c r="E22" s="1404" t="s">
        <v>1004</v>
      </c>
      <c r="F22" s="1405" t="s">
        <v>979</v>
      </c>
      <c r="G22" s="1405" t="s">
        <v>1005</v>
      </c>
      <c r="H22" s="1397" t="s">
        <v>993</v>
      </c>
      <c r="I22" s="1388" t="s">
        <v>980</v>
      </c>
    </row>
    <row r="23" spans="1:9" ht="14.25" thickBot="1">
      <c r="A23" s="3041"/>
      <c r="B23" s="3042"/>
      <c r="C23" s="3043"/>
      <c r="D23" s="1406"/>
      <c r="E23" s="1406"/>
      <c r="F23" s="1406"/>
      <c r="G23" s="1407"/>
      <c r="H23" s="1408"/>
      <c r="I23" s="1409">
        <f>ROUND(E23*D23*F23*(1-G23)/10000,0)</f>
        <v>0</v>
      </c>
    </row>
    <row r="26" spans="1:9">
      <c r="A26" s="1410" t="s">
        <v>1006</v>
      </c>
      <c r="B26" s="1410"/>
      <c r="C26" s="1410"/>
      <c r="D26" s="1410"/>
      <c r="E26" s="3031">
        <f>C27-C30-C31-C32</f>
        <v>0</v>
      </c>
      <c r="F26" s="3031"/>
      <c r="G26" s="3031"/>
      <c r="H26" s="1827" t="s">
        <v>1219</v>
      </c>
    </row>
    <row r="27" spans="1:9">
      <c r="A27" s="1411">
        <v>1</v>
      </c>
      <c r="B27" s="1412" t="s">
        <v>1007</v>
      </c>
      <c r="C27" s="1412">
        <f>C28+C29</f>
        <v>0</v>
      </c>
      <c r="D27" s="1412"/>
      <c r="E27" s="3032"/>
      <c r="F27" s="3032"/>
      <c r="G27" s="3032"/>
    </row>
    <row r="28" spans="1:9">
      <c r="A28" s="1413" t="s">
        <v>1008</v>
      </c>
      <c r="B28" s="1412" t="s">
        <v>1009</v>
      </c>
      <c r="C28" s="1412"/>
      <c r="D28" s="1412"/>
      <c r="E28" s="3032"/>
      <c r="F28" s="3032"/>
      <c r="G28" s="3032"/>
    </row>
    <row r="29" spans="1:9">
      <c r="A29" s="1413" t="s">
        <v>1010</v>
      </c>
      <c r="B29" s="1412" t="s">
        <v>1011</v>
      </c>
      <c r="C29" s="1412"/>
      <c r="D29" s="1412"/>
      <c r="E29" s="1412" t="s">
        <v>1012</v>
      </c>
      <c r="F29" s="1412"/>
      <c r="G29" s="1412"/>
    </row>
    <row r="30" spans="1:9">
      <c r="A30" s="1411">
        <v>2</v>
      </c>
      <c r="B30" s="1412" t="s">
        <v>1013</v>
      </c>
      <c r="C30" s="1412">
        <f>C27*D30</f>
        <v>0</v>
      </c>
      <c r="D30" s="1414">
        <v>0.2</v>
      </c>
      <c r="E30" s="1412" t="s">
        <v>1014</v>
      </c>
      <c r="F30" s="1412"/>
      <c r="G30" s="1412"/>
    </row>
    <row r="31" spans="1:9">
      <c r="A31" s="1411">
        <v>3</v>
      </c>
      <c r="B31" s="1412" t="s">
        <v>1015</v>
      </c>
      <c r="C31" s="1412">
        <f>C25*D31</f>
        <v>0</v>
      </c>
      <c r="D31" s="1414">
        <v>0.15</v>
      </c>
      <c r="E31" s="1412" t="s">
        <v>1016</v>
      </c>
      <c r="F31" s="1412"/>
      <c r="G31" s="1412"/>
    </row>
    <row r="32" spans="1:9">
      <c r="A32" s="1411">
        <v>4</v>
      </c>
      <c r="B32" s="1412" t="s">
        <v>1017</v>
      </c>
      <c r="C32" s="1412">
        <f>C27*D32</f>
        <v>0</v>
      </c>
      <c r="D32" s="1414">
        <v>0.05</v>
      </c>
      <c r="E32" s="3033"/>
      <c r="F32" s="3033"/>
      <c r="G32" s="3033"/>
    </row>
    <row r="33" spans="1:7" hidden="1">
      <c r="A33" s="3028" t="s">
        <v>1018</v>
      </c>
      <c r="B33" s="3029"/>
      <c r="C33" s="3029"/>
      <c r="D33" s="3030"/>
      <c r="E33" s="3031"/>
      <c r="F33" s="3031"/>
      <c r="G33" s="3031"/>
    </row>
    <row r="34" spans="1:7" hidden="1">
      <c r="A34" s="1415">
        <v>1</v>
      </c>
      <c r="B34" s="1412" t="s">
        <v>1019</v>
      </c>
      <c r="C34" s="1412"/>
      <c r="D34" s="1412"/>
      <c r="E34" s="3032"/>
      <c r="F34" s="3032"/>
      <c r="G34" s="3032"/>
    </row>
    <row r="35" spans="1:7" hidden="1">
      <c r="A35" s="1415">
        <v>2</v>
      </c>
      <c r="B35" s="1412" t="s">
        <v>1020</v>
      </c>
      <c r="C35" s="1412"/>
      <c r="D35" s="1412"/>
      <c r="E35" s="3032"/>
      <c r="F35" s="3032"/>
      <c r="G35" s="3032"/>
    </row>
    <row r="36" spans="1:7" hidden="1">
      <c r="A36" s="1415">
        <v>3</v>
      </c>
      <c r="B36" s="1412" t="s">
        <v>1021</v>
      </c>
      <c r="C36" s="1412"/>
      <c r="D36" s="1412"/>
      <c r="E36" s="3032"/>
      <c r="F36" s="3032"/>
      <c r="G36" s="3032"/>
    </row>
    <row r="37" spans="1:7" hidden="1">
      <c r="A37" s="1415">
        <v>4</v>
      </c>
      <c r="B37" s="1412" t="s">
        <v>1022</v>
      </c>
      <c r="C37" s="1412"/>
      <c r="D37" s="1412"/>
      <c r="E37" s="3032"/>
      <c r="F37" s="3032"/>
      <c r="G37" s="3032"/>
    </row>
    <row r="38" spans="1:7" hidden="1">
      <c r="A38" s="3028" t="s">
        <v>1023</v>
      </c>
      <c r="B38" s="3029"/>
      <c r="C38" s="3029"/>
      <c r="D38" s="3030"/>
      <c r="E38" s="3031"/>
      <c r="F38" s="3031"/>
      <c r="G38" s="303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7"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2296</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2297</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2298</v>
      </c>
      <c r="B3" s="334" t="e">
        <f>B24</f>
        <v>#DIV/0!</v>
      </c>
      <c r="C3" s="1182" t="s">
        <v>2299</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2300</v>
      </c>
      <c r="C4" s="3052" t="s">
        <v>2301</v>
      </c>
      <c r="D4" s="3053"/>
      <c r="E4" s="3053"/>
      <c r="F4" s="3053"/>
      <c r="G4" s="3053"/>
      <c r="H4" s="3053"/>
      <c r="I4" s="3053"/>
      <c r="J4" s="3053"/>
      <c r="K4" s="3053"/>
      <c r="L4" s="3053"/>
      <c r="M4" s="3053"/>
      <c r="N4" s="3053"/>
      <c r="O4" s="3053"/>
      <c r="P4" s="3053"/>
      <c r="Q4" s="3053"/>
      <c r="R4" s="3053"/>
      <c r="S4" s="3054"/>
      <c r="T4" s="678" t="s">
        <v>2302</v>
      </c>
      <c r="U4" s="1311"/>
      <c r="V4" s="1311"/>
      <c r="X4" s="1311"/>
      <c r="Y4" s="1311"/>
    </row>
    <row r="5" spans="1:44" s="692" customFormat="1">
      <c r="A5" s="1321"/>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2304</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2305</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2306</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2307</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2308</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2309</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2310</v>
      </c>
      <c r="B20" s="2368" t="s">
        <v>2311</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9" t="s">
        <v>2312</v>
      </c>
      <c r="G22" s="1876"/>
      <c r="H22" s="1876"/>
      <c r="I22" s="1876"/>
      <c r="J22" s="1877"/>
      <c r="K22" s="84"/>
      <c r="L22" s="84"/>
      <c r="M22" s="84"/>
      <c r="N22" s="84"/>
      <c r="O22" s="84"/>
      <c r="P22" s="84"/>
      <c r="Q22" s="84"/>
      <c r="R22" s="769"/>
      <c r="S22" s="54"/>
      <c r="T22" s="54"/>
      <c r="U22" s="1311"/>
      <c r="V22" s="1312"/>
      <c r="W22" s="801"/>
      <c r="X22" s="36"/>
      <c r="Y22" s="36"/>
      <c r="Z22" s="801"/>
    </row>
    <row r="23" spans="1:45" ht="16.5" thickBot="1">
      <c r="A23" s="165" t="s">
        <v>2313</v>
      </c>
      <c r="B23" s="308">
        <f>IF(F23="——",IF(C23="万元",T25,S25),IF(C23="万元",T25-H23,S25-H23))</f>
        <v>0</v>
      </c>
      <c r="C23" s="2370" t="str">
        <f>'数据-取费表'!B3</f>
        <v>元</v>
      </c>
      <c r="D23" s="84"/>
      <c r="E23" s="84"/>
      <c r="F23" s="2371" t="s">
        <v>1253</v>
      </c>
      <c r="G23" s="1878"/>
      <c r="H23" s="678" t="e">
        <f ca="1">SUMIF(INDIRECT("'"&amp;J23&amp;"'"&amp;"!A:A"),"承租人权益价值",INDIRECT("'"&amp;J23&amp;"'"&amp;"!c:c"))</f>
        <v>#REF!</v>
      </c>
      <c r="I23" s="678" t="str">
        <f>C2</f>
        <v>元</v>
      </c>
      <c r="J23" s="2372"/>
      <c r="K23" s="84"/>
      <c r="L23" s="84"/>
      <c r="M23" s="84"/>
      <c r="N23" s="84"/>
      <c r="O23" s="84"/>
      <c r="P23" s="84"/>
      <c r="Q23" s="84"/>
      <c r="R23" s="769"/>
      <c r="S23" s="54"/>
      <c r="T23" s="54"/>
      <c r="V23" s="1312"/>
      <c r="W23" s="801"/>
      <c r="X23" s="36"/>
      <c r="Y23" s="36"/>
      <c r="Z23" s="801"/>
    </row>
    <row r="24" spans="1:45" ht="15.75">
      <c r="A24" s="2370" t="s">
        <v>2314</v>
      </c>
      <c r="B24" s="308" t="e">
        <f>R25</f>
        <v>#DIV/0!</v>
      </c>
      <c r="C24" s="1143"/>
      <c r="D24" s="84"/>
      <c r="E24" s="84"/>
      <c r="F24" s="84"/>
      <c r="G24" s="84"/>
      <c r="H24" s="84"/>
      <c r="I24" s="84"/>
      <c r="J24" s="84"/>
      <c r="K24" s="84"/>
      <c r="L24" s="84"/>
      <c r="M24" s="84"/>
      <c r="N24" s="84"/>
      <c r="O24" s="84"/>
      <c r="P24" s="84"/>
      <c r="Q24" s="84"/>
      <c r="R24" s="769"/>
      <c r="S24" s="14" t="s">
        <v>2315</v>
      </c>
      <c r="T24" s="1895" t="s">
        <v>2316</v>
      </c>
      <c r="U24" s="2373" t="s">
        <v>2317</v>
      </c>
      <c r="V24" s="1341"/>
      <c r="W24" s="2374" t="s">
        <v>2318</v>
      </c>
      <c r="X24" s="2373" t="s">
        <v>2319</v>
      </c>
      <c r="Y24" s="1341"/>
      <c r="Z24" s="2375" t="s">
        <v>2318</v>
      </c>
    </row>
    <row r="25" spans="1:45">
      <c r="A25" s="334" t="s">
        <v>2320</v>
      </c>
      <c r="B25" s="14">
        <f>SUM(B27:B10000)</f>
        <v>0</v>
      </c>
      <c r="C25" s="3049" t="s">
        <v>45</v>
      </c>
      <c r="D25" s="3050"/>
      <c r="E25" s="3050"/>
      <c r="F25" s="3050"/>
      <c r="G25" s="3050"/>
      <c r="H25" s="3050"/>
      <c r="I25" s="3050"/>
      <c r="J25" s="3050"/>
      <c r="K25" s="3050"/>
      <c r="L25" s="3050"/>
      <c r="M25" s="3050"/>
      <c r="N25" s="3050"/>
      <c r="O25" s="3050"/>
      <c r="P25" s="3050"/>
      <c r="Q25" s="305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81" t="s">
        <v>2326</v>
      </c>
      <c r="V26" s="2377" t="s">
        <v>2327</v>
      </c>
      <c r="W26" s="2378" t="s">
        <v>2328</v>
      </c>
      <c r="X26" s="1881" t="s">
        <v>2326</v>
      </c>
      <c r="Y26" s="2377" t="s">
        <v>2327</v>
      </c>
      <c r="Z26" s="2378"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1"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2330</v>
      </c>
      <c r="B1" s="1732" t="s">
        <v>2331</v>
      </c>
      <c r="C1" s="1724"/>
      <c r="D1" s="2379"/>
      <c r="E1" s="2380"/>
      <c r="F1" s="1738" t="s">
        <v>2332</v>
      </c>
      <c r="G1" s="1737"/>
      <c r="H1" s="1737"/>
      <c r="I1" s="1737"/>
      <c r="J1" s="1737"/>
      <c r="K1" s="1739"/>
      <c r="L1" s="1731"/>
      <c r="M1" s="1732"/>
      <c r="N1" s="1732"/>
      <c r="O1" s="1732"/>
      <c r="P1" s="2381"/>
      <c r="Q1" s="1733"/>
      <c r="R1" s="1733"/>
      <c r="S1" s="1733"/>
      <c r="T1" s="1733"/>
      <c r="U1" s="1733"/>
      <c r="V1" s="1733"/>
      <c r="W1" s="1733"/>
      <c r="X1" s="1733"/>
      <c r="Y1" s="1733"/>
      <c r="Z1" s="1733"/>
      <c r="AA1" s="1733"/>
      <c r="AB1" s="1733"/>
      <c r="AC1" s="1734"/>
    </row>
    <row r="2" spans="1:29" s="372" customFormat="1" ht="28.5" customHeight="1" thickTop="1">
      <c r="A2" s="1725" t="s">
        <v>2000</v>
      </c>
      <c r="B2" s="1723" t="e">
        <f ca="1">IF(D2="——",IF(C2="元",ROUND(C49*D3,0),ROUND(C49*D3/10000,0)),IF(C2="元",ROUND(C49*D3,0),ROUND(C49*D3/10000,0))-E2)</f>
        <v>#DIV/0!</v>
      </c>
      <c r="C2" s="163" t="str">
        <f>'数据-取费表'!B3</f>
        <v>元</v>
      </c>
      <c r="D2" s="2382"/>
      <c r="E2" s="1841"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2001</v>
      </c>
      <c r="B3" s="378" t="e">
        <f ca="1">ROUND(IF(D2="——",C49,IF(C2="万元",B2*10000/D3,B2/D3)),0)</f>
        <v>#DIV/0!</v>
      </c>
      <c r="C3" s="379" t="s">
        <v>2333</v>
      </c>
      <c r="D3" s="378">
        <f>IF(C1="仅计算典型户型",'数据-取费表'!E5,'数据-取费表'!B5)</f>
        <v>218.48</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6"/>
    </row>
    <row r="4" spans="1:29" ht="15">
      <c r="A4" s="380" t="s">
        <v>2334</v>
      </c>
      <c r="B4" s="381"/>
      <c r="C4" s="3008" t="s">
        <v>2335</v>
      </c>
      <c r="D4" s="3009"/>
      <c r="E4" s="3010" t="s">
        <v>2336</v>
      </c>
      <c r="F4" s="3011"/>
      <c r="G4" s="3008" t="s">
        <v>2337</v>
      </c>
      <c r="H4" s="3009"/>
      <c r="I4" s="3008" t="s">
        <v>2338</v>
      </c>
      <c r="J4" s="3009"/>
      <c r="K4" s="2393" t="s">
        <v>2339</v>
      </c>
      <c r="L4" s="1242"/>
      <c r="M4" s="1243"/>
      <c r="N4" s="1243"/>
      <c r="O4" s="1243"/>
      <c r="P4" s="3064" t="s">
        <v>2340</v>
      </c>
      <c r="Q4" s="3001"/>
      <c r="R4" s="2994" t="s">
        <v>2336</v>
      </c>
      <c r="S4" s="2995"/>
      <c r="T4" s="2994" t="s">
        <v>2337</v>
      </c>
      <c r="U4" s="2995"/>
      <c r="V4" s="3016" t="s">
        <v>2338</v>
      </c>
      <c r="W4" s="3016"/>
      <c r="X4" s="1898"/>
      <c r="Y4" s="2994" t="s">
        <v>2340</v>
      </c>
      <c r="Z4" s="2995"/>
      <c r="AA4" s="3005" t="s">
        <v>2336</v>
      </c>
      <c r="AB4" s="3005" t="s">
        <v>2337</v>
      </c>
      <c r="AC4" s="3005" t="s">
        <v>2338</v>
      </c>
    </row>
    <row r="5" spans="1:29" ht="15">
      <c r="A5" s="383"/>
      <c r="B5" s="384"/>
      <c r="C5" s="3023" t="s">
        <v>2341</v>
      </c>
      <c r="D5" s="3020"/>
      <c r="E5" s="3017" t="s">
        <v>2342</v>
      </c>
      <c r="F5" s="3018"/>
      <c r="G5" s="3023" t="s">
        <v>2343</v>
      </c>
      <c r="H5" s="3020"/>
      <c r="I5" s="3023" t="s">
        <v>2344</v>
      </c>
      <c r="J5" s="3020"/>
      <c r="K5" s="2394"/>
      <c r="L5" s="1242"/>
      <c r="M5" s="1243"/>
      <c r="N5" s="1243"/>
      <c r="O5" s="1243"/>
      <c r="P5" s="3065"/>
      <c r="Q5" s="3002"/>
      <c r="R5" s="2996"/>
      <c r="S5" s="2997"/>
      <c r="T5" s="2996"/>
      <c r="U5" s="2997"/>
      <c r="V5" s="3016"/>
      <c r="W5" s="3016"/>
      <c r="X5" s="1898"/>
      <c r="Y5" s="2996"/>
      <c r="Z5" s="2997"/>
      <c r="AA5" s="3006"/>
      <c r="AB5" s="3006"/>
      <c r="AC5" s="3006"/>
    </row>
    <row r="6" spans="1:29" ht="15.75" thickBot="1">
      <c r="A6" s="385"/>
      <c r="B6" s="386"/>
      <c r="C6" s="3021" t="s">
        <v>2345</v>
      </c>
      <c r="D6" s="3022"/>
      <c r="E6" s="3024" t="s">
        <v>2345</v>
      </c>
      <c r="F6" s="3025"/>
      <c r="G6" s="3021" t="s">
        <v>2345</v>
      </c>
      <c r="H6" s="3022"/>
      <c r="I6" s="3021" t="s">
        <v>2345</v>
      </c>
      <c r="J6" s="3022"/>
      <c r="K6" s="2394" t="s">
        <v>2346</v>
      </c>
      <c r="L6" s="1242"/>
      <c r="M6" s="1243"/>
      <c r="N6" s="1243"/>
      <c r="O6" s="1243"/>
      <c r="P6" s="3066"/>
      <c r="Q6" s="3015"/>
      <c r="R6" s="2996"/>
      <c r="S6" s="2997"/>
      <c r="T6" s="2998"/>
      <c r="U6" s="2999"/>
      <c r="V6" s="3016"/>
      <c r="W6" s="3016"/>
      <c r="X6" s="1898"/>
      <c r="Y6" s="2998"/>
      <c r="Z6" s="2999"/>
      <c r="AA6" s="3007"/>
      <c r="AB6" s="3007"/>
      <c r="AC6" s="3007"/>
    </row>
    <row r="7" spans="1:29" s="35" customFormat="1" ht="15.75" thickBot="1">
      <c r="A7" s="387" t="s">
        <v>2347</v>
      </c>
      <c r="B7" s="388"/>
      <c r="C7" s="389">
        <f>'数据-取费表'!B2</f>
        <v>43257</v>
      </c>
      <c r="D7" s="390">
        <v>100</v>
      </c>
      <c r="E7" s="391"/>
      <c r="F7" s="392">
        <f>SUMIF(58:58,YEAR(E7)&amp;"-"&amp;MONTH(E7),59:59)</f>
        <v>0</v>
      </c>
      <c r="G7" s="391"/>
      <c r="H7" s="390">
        <f>SUMIF(58:58,YEAR(G7)&amp;"-"&amp;MONTH(G7),59:59)</f>
        <v>0</v>
      </c>
      <c r="I7" s="391"/>
      <c r="J7" s="390">
        <f>SUMIF(58:58,YEAR(I7)&amp;"-"&amp;MONTH(I7),59:59)</f>
        <v>0</v>
      </c>
      <c r="K7" s="2395"/>
      <c r="L7" s="1244"/>
      <c r="M7" s="1245"/>
      <c r="N7" s="1245"/>
      <c r="O7" s="1245"/>
      <c r="P7" s="2992" t="s">
        <v>2348</v>
      </c>
      <c r="Q7" s="3000"/>
      <c r="R7" s="749" t="s">
        <v>34</v>
      </c>
      <c r="S7" s="750">
        <f t="shared" ref="S7:S15" si="0">F7</f>
        <v>0</v>
      </c>
      <c r="T7" s="749" t="s">
        <v>34</v>
      </c>
      <c r="U7" s="750">
        <f t="shared" ref="U7:U15" si="1">H7</f>
        <v>0</v>
      </c>
      <c r="V7" s="749" t="s">
        <v>34</v>
      </c>
      <c r="W7" s="750">
        <f t="shared" ref="W7:W15" si="2">J7</f>
        <v>0</v>
      </c>
      <c r="X7" s="751"/>
      <c r="Y7" s="2992" t="s">
        <v>2348</v>
      </c>
      <c r="Z7" s="2993"/>
      <c r="AA7" s="752" t="e">
        <f>D7/F7</f>
        <v>#DIV/0!</v>
      </c>
      <c r="AB7" s="752" t="e">
        <f>D7/H7</f>
        <v>#DIV/0!</v>
      </c>
      <c r="AC7" s="752" t="e">
        <f>D7/J7</f>
        <v>#DIV/0!</v>
      </c>
    </row>
    <row r="8" spans="1:29" s="35" customFormat="1" ht="15.75" thickBot="1">
      <c r="A8" s="387" t="s">
        <v>2349</v>
      </c>
      <c r="B8" s="388"/>
      <c r="C8" s="394" t="s">
        <v>2350</v>
      </c>
      <c r="D8" s="390">
        <v>100</v>
      </c>
      <c r="E8" s="2396"/>
      <c r="F8" s="392">
        <f>SUMIF(61:61,E8,62:62)-SUMIF(61:61,C8,62:62)+100</f>
        <v>0</v>
      </c>
      <c r="G8" s="394"/>
      <c r="H8" s="390">
        <f>SUMIF(61:61,G8,62:62)-SUMIF(61:61,C8,62:62)+100</f>
        <v>0</v>
      </c>
      <c r="I8" s="2396"/>
      <c r="J8" s="390">
        <f>SUMIF(61:61,I8,62:62)-SUMIF(61:61,C8,62:62)+100</f>
        <v>0</v>
      </c>
      <c r="K8" s="2395"/>
      <c r="L8" s="1244"/>
      <c r="M8" s="1245"/>
      <c r="N8" s="1245"/>
      <c r="O8" s="1245"/>
      <c r="P8" s="2992" t="s">
        <v>2351</v>
      </c>
      <c r="Q8" s="2993"/>
      <c r="R8" s="749" t="s">
        <v>34</v>
      </c>
      <c r="S8" s="750">
        <f t="shared" si="0"/>
        <v>0</v>
      </c>
      <c r="T8" s="749" t="s">
        <v>34</v>
      </c>
      <c r="U8" s="750">
        <f t="shared" si="1"/>
        <v>0</v>
      </c>
      <c r="V8" s="749" t="s">
        <v>34</v>
      </c>
      <c r="W8" s="750">
        <f t="shared" si="2"/>
        <v>0</v>
      </c>
      <c r="X8" s="751"/>
      <c r="Y8" s="2992" t="s">
        <v>2351</v>
      </c>
      <c r="Z8" s="2993"/>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9"/>
      <c r="H9" s="51">
        <f>SUMIF(63:63,G9,64:64)-SUMIF(63:63,C9,64:64)+100</f>
        <v>100</v>
      </c>
      <c r="I9" s="399"/>
      <c r="J9" s="51">
        <f>SUMIF(63:63,I9,64:64)-SUMIF(63:63,C9,64:64)+100</f>
        <v>100</v>
      </c>
      <c r="K9" s="2395"/>
      <c r="L9" s="1244"/>
      <c r="M9" s="1245"/>
      <c r="N9" s="1245"/>
      <c r="O9" s="1245"/>
      <c r="P9" s="3063" t="s">
        <v>2354</v>
      </c>
      <c r="Q9" s="1885" t="str">
        <f t="shared" ref="Q9:Q15" si="6">B9</f>
        <v>用途</v>
      </c>
      <c r="R9" s="749" t="s">
        <v>25</v>
      </c>
      <c r="S9" s="750">
        <f t="shared" si="0"/>
        <v>100</v>
      </c>
      <c r="T9" s="749" t="s">
        <v>25</v>
      </c>
      <c r="U9" s="750">
        <f t="shared" si="1"/>
        <v>100</v>
      </c>
      <c r="V9" s="749" t="s">
        <v>25</v>
      </c>
      <c r="W9" s="750">
        <f t="shared" si="2"/>
        <v>100</v>
      </c>
      <c r="X9" s="751"/>
      <c r="Y9" s="2843"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63"/>
      <c r="Q10" s="1885"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406"/>
      <c r="L11" s="1250"/>
      <c r="M11" s="1243"/>
      <c r="N11" s="1243"/>
      <c r="O11" s="1243"/>
      <c r="P11" s="3063"/>
      <c r="Q11" s="1885" t="str">
        <f t="shared" si="6"/>
        <v>容积率</v>
      </c>
      <c r="R11" s="749" t="s">
        <v>28</v>
      </c>
      <c r="S11" s="750" t="e">
        <f t="shared" si="0"/>
        <v>#N/A</v>
      </c>
      <c r="T11" s="749" t="s">
        <v>28</v>
      </c>
      <c r="U11" s="750" t="e">
        <f t="shared" si="1"/>
        <v>#N/A</v>
      </c>
      <c r="V11" s="749" t="s">
        <v>28</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4"/>
      <c r="M12" s="1245"/>
      <c r="N12" s="1245"/>
      <c r="O12" s="1245"/>
      <c r="P12" s="3063"/>
      <c r="Q12" s="1885">
        <f t="shared" si="6"/>
        <v>111</v>
      </c>
      <c r="R12" s="749" t="s">
        <v>28</v>
      </c>
      <c r="S12" s="750">
        <f t="shared" si="0"/>
        <v>100</v>
      </c>
      <c r="T12" s="749" t="s">
        <v>28</v>
      </c>
      <c r="U12" s="750">
        <f t="shared" si="1"/>
        <v>100</v>
      </c>
      <c r="V12" s="749" t="s">
        <v>28</v>
      </c>
      <c r="W12" s="750">
        <f t="shared" si="2"/>
        <v>100</v>
      </c>
      <c r="X12" s="751"/>
      <c r="Y12" s="2843"/>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2"/>
      <c r="M13" s="1243"/>
      <c r="N13" s="1243"/>
      <c r="O13" s="1243"/>
      <c r="P13" s="3063"/>
      <c r="Q13" s="1885">
        <f t="shared" si="6"/>
        <v>111</v>
      </c>
      <c r="R13" s="749" t="s">
        <v>28</v>
      </c>
      <c r="S13" s="750">
        <f t="shared" si="0"/>
        <v>100</v>
      </c>
      <c r="T13" s="749" t="s">
        <v>28</v>
      </c>
      <c r="U13" s="750">
        <f t="shared" si="1"/>
        <v>100</v>
      </c>
      <c r="V13" s="749" t="s">
        <v>28</v>
      </c>
      <c r="W13" s="750">
        <f t="shared" si="2"/>
        <v>100</v>
      </c>
      <c r="X13" s="751"/>
      <c r="Y13" s="2843"/>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2"/>
      <c r="M14" s="1243"/>
      <c r="N14" s="1243"/>
      <c r="O14" s="1243"/>
      <c r="P14" s="3063"/>
      <c r="Q14" s="1885">
        <f t="shared" si="6"/>
        <v>111</v>
      </c>
      <c r="R14" s="749" t="s">
        <v>28</v>
      </c>
      <c r="S14" s="750">
        <f t="shared" si="0"/>
        <v>100</v>
      </c>
      <c r="T14" s="749" t="s">
        <v>28</v>
      </c>
      <c r="U14" s="750">
        <f t="shared" si="1"/>
        <v>100</v>
      </c>
      <c r="V14" s="749" t="s">
        <v>28</v>
      </c>
      <c r="W14" s="750">
        <f t="shared" si="2"/>
        <v>100</v>
      </c>
      <c r="X14" s="751"/>
      <c r="Y14" s="2843"/>
      <c r="Z14" s="23">
        <f t="shared" si="7"/>
        <v>111</v>
      </c>
      <c r="AA14" s="752">
        <f t="shared" si="3"/>
        <v>1</v>
      </c>
      <c r="AB14" s="752">
        <f t="shared" si="4"/>
        <v>1</v>
      </c>
      <c r="AC14" s="752">
        <f t="shared" si="5"/>
        <v>1</v>
      </c>
    </row>
    <row r="15" spans="1:29" ht="15">
      <c r="A15" s="419" t="s">
        <v>2358</v>
      </c>
      <c r="B15" s="26" t="s">
        <v>1734</v>
      </c>
      <c r="C15" s="2401">
        <f>估价对象房地状况!C3</f>
        <v>0</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3058" t="s">
        <v>2359</v>
      </c>
      <c r="Q15" s="1897" t="str">
        <f t="shared" si="6"/>
        <v>居住社区成熟度</v>
      </c>
      <c r="R15" s="753" t="s">
        <v>28</v>
      </c>
      <c r="S15" s="754">
        <f t="shared" si="0"/>
        <v>100</v>
      </c>
      <c r="T15" s="753" t="s">
        <v>28</v>
      </c>
      <c r="U15" s="754">
        <f t="shared" si="1"/>
        <v>100</v>
      </c>
      <c r="V15" s="753" t="s">
        <v>28</v>
      </c>
      <c r="W15" s="754">
        <f t="shared" si="2"/>
        <v>100</v>
      </c>
      <c r="X15" s="1898"/>
      <c r="Y15" s="3003" t="s">
        <v>2359</v>
      </c>
      <c r="Z15" s="1900" t="str">
        <f t="shared" si="7"/>
        <v>居住社区成熟度</v>
      </c>
      <c r="AA15" s="1901">
        <f t="shared" si="3"/>
        <v>1</v>
      </c>
      <c r="AB15" s="1901">
        <f t="shared" si="4"/>
        <v>1</v>
      </c>
      <c r="AC15" s="1901">
        <f t="shared" si="5"/>
        <v>1</v>
      </c>
    </row>
    <row r="16" spans="1:29" ht="15">
      <c r="A16" s="408"/>
      <c r="B16" s="425"/>
      <c r="C16" s="426"/>
      <c r="D16" s="427"/>
      <c r="E16" s="428"/>
      <c r="F16" s="429"/>
      <c r="G16" s="2402"/>
      <c r="H16" s="430"/>
      <c r="I16" s="428"/>
      <c r="J16" s="427"/>
      <c r="K16" s="2403"/>
      <c r="L16" s="1252"/>
      <c r="M16" s="1243"/>
      <c r="N16" s="1243"/>
      <c r="O16" s="1243"/>
      <c r="P16" s="3059"/>
      <c r="Q16" s="1897"/>
      <c r="R16" s="753"/>
      <c r="S16" s="754"/>
      <c r="T16" s="753"/>
      <c r="U16" s="754"/>
      <c r="V16" s="753"/>
      <c r="W16" s="754"/>
      <c r="X16" s="1898"/>
      <c r="Y16" s="3004"/>
      <c r="Z16" s="1900"/>
      <c r="AA16" s="1901">
        <v>1</v>
      </c>
      <c r="AB16" s="1901">
        <v>1</v>
      </c>
      <c r="AC16" s="1901">
        <v>1</v>
      </c>
    </row>
    <row r="17" spans="1:29" ht="15">
      <c r="A17" s="408"/>
      <c r="B17" s="431" t="s">
        <v>1743</v>
      </c>
      <c r="C17" s="2404" t="str">
        <f>估价对象房地状况!C6</f>
        <v>较好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3059"/>
      <c r="Q17" s="1897" t="str">
        <f>B17</f>
        <v>交通便捷度</v>
      </c>
      <c r="R17" s="753" t="s">
        <v>28</v>
      </c>
      <c r="S17" s="754">
        <f>F17</f>
        <v>100</v>
      </c>
      <c r="T17" s="753" t="s">
        <v>28</v>
      </c>
      <c r="U17" s="754">
        <f>H17</f>
        <v>100</v>
      </c>
      <c r="V17" s="753" t="s">
        <v>28</v>
      </c>
      <c r="W17" s="754">
        <f>J17</f>
        <v>100</v>
      </c>
      <c r="X17" s="1898"/>
      <c r="Y17" s="3004"/>
      <c r="Z17" s="1900" t="str">
        <f>Q17</f>
        <v>交通便捷度</v>
      </c>
      <c r="AA17" s="1901">
        <f t="shared" si="3"/>
        <v>1</v>
      </c>
      <c r="AB17" s="1901">
        <f t="shared" si="4"/>
        <v>1</v>
      </c>
      <c r="AC17" s="1901">
        <f t="shared" si="5"/>
        <v>1</v>
      </c>
    </row>
    <row r="18" spans="1:29" ht="15">
      <c r="A18" s="408"/>
      <c r="B18" s="436"/>
      <c r="C18" s="437"/>
      <c r="D18" s="430"/>
      <c r="E18" s="1466"/>
      <c r="F18" s="433"/>
      <c r="G18" s="2405"/>
      <c r="H18" s="427"/>
      <c r="I18" s="1466"/>
      <c r="J18" s="427"/>
      <c r="K18" s="2403"/>
      <c r="L18" s="1252"/>
      <c r="M18" s="1243"/>
      <c r="N18" s="1243"/>
      <c r="O18" s="1243"/>
      <c r="P18" s="3059"/>
      <c r="Q18" s="1897"/>
      <c r="R18" s="753"/>
      <c r="S18" s="754"/>
      <c r="T18" s="753"/>
      <c r="U18" s="754"/>
      <c r="V18" s="753"/>
      <c r="W18" s="754"/>
      <c r="X18" s="1898"/>
      <c r="Y18" s="3004"/>
      <c r="Z18" s="1900"/>
      <c r="AA18" s="1901">
        <v>1</v>
      </c>
      <c r="AB18" s="1901">
        <v>1</v>
      </c>
      <c r="AC18" s="1901">
        <v>1</v>
      </c>
    </row>
    <row r="19" spans="1:29" ht="15">
      <c r="A19" s="408"/>
      <c r="B19" s="431" t="s">
        <v>1741</v>
      </c>
      <c r="C19" s="2404" t="str">
        <f>估价对象房地状况!C7</f>
        <v>较好</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3059"/>
      <c r="Q19" s="1897" t="str">
        <f>B19</f>
        <v>公共配套设施</v>
      </c>
      <c r="R19" s="753" t="s">
        <v>28</v>
      </c>
      <c r="S19" s="754">
        <f>F19</f>
        <v>100</v>
      </c>
      <c r="T19" s="753" t="s">
        <v>28</v>
      </c>
      <c r="U19" s="754">
        <f>H19</f>
        <v>100</v>
      </c>
      <c r="V19" s="753" t="s">
        <v>28</v>
      </c>
      <c r="W19" s="754">
        <f>J19</f>
        <v>100</v>
      </c>
      <c r="X19" s="1898"/>
      <c r="Y19" s="3004"/>
      <c r="Z19" s="1900" t="str">
        <f>Q19</f>
        <v>公共配套设施</v>
      </c>
      <c r="AA19" s="1901">
        <f t="shared" si="3"/>
        <v>1</v>
      </c>
      <c r="AB19" s="1901">
        <f t="shared" si="4"/>
        <v>1</v>
      </c>
      <c r="AC19" s="1901">
        <f t="shared" si="5"/>
        <v>1</v>
      </c>
    </row>
    <row r="20" spans="1:29" ht="15">
      <c r="A20" s="408"/>
      <c r="B20" s="436"/>
      <c r="C20" s="426"/>
      <c r="D20" s="427"/>
      <c r="E20" s="428"/>
      <c r="F20" s="429"/>
      <c r="G20" s="2402"/>
      <c r="H20" s="427"/>
      <c r="I20" s="428"/>
      <c r="J20" s="427"/>
      <c r="K20" s="2403"/>
      <c r="L20" s="1252"/>
      <c r="M20" s="1243"/>
      <c r="N20" s="1243"/>
      <c r="O20" s="1243"/>
      <c r="P20" s="3059"/>
      <c r="Q20" s="1897"/>
      <c r="R20" s="753"/>
      <c r="S20" s="754"/>
      <c r="T20" s="753"/>
      <c r="U20" s="754"/>
      <c r="V20" s="753"/>
      <c r="W20" s="754"/>
      <c r="X20" s="1898"/>
      <c r="Y20" s="3004"/>
      <c r="Z20" s="1900"/>
      <c r="AA20" s="1901">
        <v>1</v>
      </c>
      <c r="AB20" s="1901">
        <v>1</v>
      </c>
      <c r="AC20" s="1901">
        <v>1</v>
      </c>
    </row>
    <row r="21" spans="1:29" ht="15">
      <c r="A21" s="408"/>
      <c r="B21" s="2406" t="s">
        <v>1744</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3059"/>
      <c r="Q21" s="1897" t="str">
        <f>B21</f>
        <v>基础设施水平</v>
      </c>
      <c r="R21" s="753" t="s">
        <v>28</v>
      </c>
      <c r="S21" s="754">
        <f>F21</f>
        <v>100</v>
      </c>
      <c r="T21" s="753" t="s">
        <v>28</v>
      </c>
      <c r="U21" s="754">
        <f>H21</f>
        <v>100</v>
      </c>
      <c r="V21" s="753" t="s">
        <v>28</v>
      </c>
      <c r="W21" s="754">
        <f>J21</f>
        <v>100</v>
      </c>
      <c r="X21" s="1898"/>
      <c r="Y21" s="3004"/>
      <c r="Z21" s="1900" t="str">
        <f>Q21</f>
        <v>基础设施水平</v>
      </c>
      <c r="AA21" s="1901">
        <f t="shared" ref="AA21" si="8">D21/F21</f>
        <v>1</v>
      </c>
      <c r="AB21" s="1901">
        <f t="shared" ref="AB21" si="9">D21/H21</f>
        <v>1</v>
      </c>
      <c r="AC21" s="1901">
        <f t="shared" ref="AC21" si="10">D21/J21</f>
        <v>1</v>
      </c>
    </row>
    <row r="22" spans="1:29" ht="15">
      <c r="A22" s="408"/>
      <c r="B22" s="2406"/>
      <c r="C22" s="437"/>
      <c r="D22" s="427"/>
      <c r="E22" s="426"/>
      <c r="F22" s="429"/>
      <c r="G22" s="426"/>
      <c r="H22" s="427"/>
      <c r="I22" s="426"/>
      <c r="J22" s="427"/>
      <c r="K22" s="2407"/>
      <c r="L22" s="1252"/>
      <c r="M22" s="1243"/>
      <c r="N22" s="1243"/>
      <c r="O22" s="1243"/>
      <c r="P22" s="3059"/>
      <c r="Q22" s="1897"/>
      <c r="R22" s="753"/>
      <c r="S22" s="754"/>
      <c r="T22" s="753"/>
      <c r="U22" s="754"/>
      <c r="V22" s="753"/>
      <c r="W22" s="754"/>
      <c r="X22" s="1898"/>
      <c r="Y22" s="3004"/>
      <c r="Z22" s="1900"/>
      <c r="AA22" s="1901">
        <v>1</v>
      </c>
      <c r="AB22" s="1901">
        <v>1</v>
      </c>
      <c r="AC22" s="1901">
        <v>1</v>
      </c>
    </row>
    <row r="23" spans="1:29" ht="15">
      <c r="A23" s="408"/>
      <c r="B23" s="431" t="s">
        <v>1748</v>
      </c>
      <c r="C23" s="2404" t="str">
        <f>估价对象房地状况!C9</f>
        <v>较好</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3059"/>
      <c r="Q23" s="1897" t="str">
        <f>B23</f>
        <v>自然及人文环境</v>
      </c>
      <c r="R23" s="753" t="s">
        <v>28</v>
      </c>
      <c r="S23" s="754">
        <f>F23</f>
        <v>100</v>
      </c>
      <c r="T23" s="753" t="s">
        <v>28</v>
      </c>
      <c r="U23" s="754">
        <f>H23</f>
        <v>100</v>
      </c>
      <c r="V23" s="753" t="s">
        <v>28</v>
      </c>
      <c r="W23" s="754">
        <f>J23</f>
        <v>100</v>
      </c>
      <c r="X23" s="1898"/>
      <c r="Y23" s="3004"/>
      <c r="Z23" s="1900" t="str">
        <f>Q23</f>
        <v>自然及人文环境</v>
      </c>
      <c r="AA23" s="1901">
        <f t="shared" si="3"/>
        <v>1</v>
      </c>
      <c r="AB23" s="1901">
        <f t="shared" si="4"/>
        <v>1</v>
      </c>
      <c r="AC23" s="1901">
        <f t="shared" si="5"/>
        <v>1</v>
      </c>
    </row>
    <row r="24" spans="1:29" ht="15">
      <c r="A24" s="408"/>
      <c r="B24" s="436"/>
      <c r="C24" s="426"/>
      <c r="D24" s="427"/>
      <c r="E24" s="428"/>
      <c r="F24" s="429"/>
      <c r="G24" s="2402"/>
      <c r="H24" s="427"/>
      <c r="I24" s="428"/>
      <c r="J24" s="427"/>
      <c r="K24" s="2403"/>
      <c r="L24" s="1252"/>
      <c r="M24" s="1243"/>
      <c r="N24" s="1243"/>
      <c r="O24" s="1243"/>
      <c r="P24" s="3059"/>
      <c r="Q24" s="1897"/>
      <c r="R24" s="753"/>
      <c r="S24" s="754"/>
      <c r="T24" s="753"/>
      <c r="U24" s="754"/>
      <c r="V24" s="753"/>
      <c r="W24" s="754"/>
      <c r="X24" s="1898"/>
      <c r="Y24" s="3004"/>
      <c r="Z24" s="1900"/>
      <c r="AA24" s="1901">
        <v>1</v>
      </c>
      <c r="AB24" s="1901">
        <v>1</v>
      </c>
      <c r="AC24" s="1901">
        <v>1</v>
      </c>
    </row>
    <row r="25" spans="1:29" ht="15">
      <c r="A25" s="408"/>
      <c r="B25" s="402" t="s">
        <v>2360</v>
      </c>
      <c r="C25" s="441"/>
      <c r="D25" s="415">
        <v>100</v>
      </c>
      <c r="E25" s="2408"/>
      <c r="F25" s="442">
        <f>SUMIF(86:86,E25,87:87)-SUMIF(86:86,C25,87:87)+100</f>
        <v>100</v>
      </c>
      <c r="G25" s="2409"/>
      <c r="H25" s="415">
        <f>SUMIF(86:86,G25,87:87)-SUMIF(86:86,C25,87:87)+100</f>
        <v>100</v>
      </c>
      <c r="I25" s="2408"/>
      <c r="J25" s="415">
        <f>SUMIF(86:86,I25,87:87)-SUMIF(86:86,C25,87:87)+100</f>
        <v>100</v>
      </c>
      <c r="K25" s="406"/>
      <c r="L25" s="1252"/>
      <c r="M25" s="1243"/>
      <c r="N25" s="1243"/>
      <c r="O25" s="1243"/>
      <c r="P25" s="3059"/>
      <c r="Q25" s="1897" t="str">
        <f t="shared" ref="Q25:Q46" si="11">B25</f>
        <v>楼层-1</v>
      </c>
      <c r="R25" s="753" t="s">
        <v>28</v>
      </c>
      <c r="S25" s="754">
        <f>F25</f>
        <v>100</v>
      </c>
      <c r="T25" s="753" t="s">
        <v>28</v>
      </c>
      <c r="U25" s="754">
        <f>H25</f>
        <v>100</v>
      </c>
      <c r="V25" s="753" t="s">
        <v>28</v>
      </c>
      <c r="W25" s="754">
        <f>J25</f>
        <v>100</v>
      </c>
      <c r="X25" s="1898"/>
      <c r="Y25" s="3004"/>
      <c r="Z25" s="1900" t="str">
        <f>Q25</f>
        <v>楼层-1</v>
      </c>
      <c r="AA25" s="1901">
        <f t="shared" si="3"/>
        <v>1</v>
      </c>
      <c r="AB25" s="1901">
        <f t="shared" si="4"/>
        <v>1</v>
      </c>
      <c r="AC25" s="1901">
        <f t="shared" si="5"/>
        <v>1</v>
      </c>
    </row>
    <row r="26" spans="1:29" ht="15">
      <c r="A26" s="408"/>
      <c r="B26" s="402" t="s">
        <v>2361</v>
      </c>
      <c r="C26" s="441"/>
      <c r="D26" s="415">
        <v>100</v>
      </c>
      <c r="E26" s="2408"/>
      <c r="F26" s="442">
        <f>SUMIF(88:88,E26,89:89)-SUMIF(88:88,C26,89:89)+100</f>
        <v>100</v>
      </c>
      <c r="G26" s="2409"/>
      <c r="H26" s="415">
        <f>SUMIF(88:88,G26,89:89)-SUMIF(88:88,C26,89:89)+100</f>
        <v>100</v>
      </c>
      <c r="I26" s="2408"/>
      <c r="J26" s="415">
        <f>SUMIF(88:88,I26,89:89)-SUMIF(88:88,C26,89:89)+100</f>
        <v>100</v>
      </c>
      <c r="K26" s="406"/>
      <c r="L26" s="1252"/>
      <c r="M26" s="1243"/>
      <c r="N26" s="1243"/>
      <c r="O26" s="1243"/>
      <c r="P26" s="3059"/>
      <c r="Q26" s="1897" t="str">
        <f t="shared" si="11"/>
        <v>朝向</v>
      </c>
      <c r="R26" s="753" t="s">
        <v>28</v>
      </c>
      <c r="S26" s="754">
        <f>F26</f>
        <v>100</v>
      </c>
      <c r="T26" s="753" t="s">
        <v>28</v>
      </c>
      <c r="U26" s="754">
        <f>H26</f>
        <v>100</v>
      </c>
      <c r="V26" s="753" t="s">
        <v>28</v>
      </c>
      <c r="W26" s="754">
        <f>J26</f>
        <v>100</v>
      </c>
      <c r="X26" s="1898"/>
      <c r="Y26" s="3004"/>
      <c r="Z26" s="1900" t="str">
        <f>Q26</f>
        <v>朝向</v>
      </c>
      <c r="AA26" s="1901">
        <f t="shared" si="3"/>
        <v>1</v>
      </c>
      <c r="AB26" s="1901">
        <f t="shared" si="4"/>
        <v>1</v>
      </c>
      <c r="AC26" s="1901">
        <f t="shared" si="5"/>
        <v>1</v>
      </c>
    </row>
    <row r="27" spans="1:29" s="35" customFormat="1" ht="15">
      <c r="A27" s="411"/>
      <c r="B27" s="2397" t="s">
        <v>2362</v>
      </c>
      <c r="C27" s="412"/>
      <c r="D27" s="443">
        <v>100</v>
      </c>
      <c r="E27" s="444"/>
      <c r="F27" s="445">
        <f>SUMIF(90:90,E27,91:91)-SUMIF(90:90,C27,91:91)+100</f>
        <v>100</v>
      </c>
      <c r="G27" s="446"/>
      <c r="H27" s="443">
        <f>SUMIF(90:90,G27,91:91)-SUMIF(90:90,C27,91:91)+100</f>
        <v>100</v>
      </c>
      <c r="I27" s="444"/>
      <c r="J27" s="443">
        <f>SUMIF(90:90,I27,91:91)-SUMIF(90:90,C27,91:91)+100</f>
        <v>100</v>
      </c>
      <c r="K27" s="2398"/>
      <c r="L27" s="1244"/>
      <c r="M27" s="1245"/>
      <c r="N27" s="1245"/>
      <c r="O27" s="1245"/>
      <c r="P27" s="3059"/>
      <c r="Q27" s="1885" t="str">
        <f t="shared" si="11"/>
        <v>道路级别</v>
      </c>
      <c r="R27" s="749" t="s">
        <v>28</v>
      </c>
      <c r="S27" s="750">
        <f>F27</f>
        <v>100</v>
      </c>
      <c r="T27" s="749" t="s">
        <v>28</v>
      </c>
      <c r="U27" s="750">
        <f>H27</f>
        <v>100</v>
      </c>
      <c r="V27" s="749" t="s">
        <v>28</v>
      </c>
      <c r="W27" s="750">
        <f>J27</f>
        <v>100</v>
      </c>
      <c r="X27" s="751"/>
      <c r="Y27" s="3004"/>
      <c r="Z27" s="23" t="str">
        <f>Q27</f>
        <v>道路级别</v>
      </c>
      <c r="AA27" s="1901">
        <f>D27/F27</f>
        <v>1</v>
      </c>
      <c r="AB27" s="1901">
        <f>D27/H27</f>
        <v>1</v>
      </c>
      <c r="AC27" s="1901">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2"/>
      <c r="M28" s="1243"/>
      <c r="N28" s="1243"/>
      <c r="O28" s="1243"/>
      <c r="P28" s="3059"/>
      <c r="Q28" s="1897">
        <f t="shared" si="11"/>
        <v>111</v>
      </c>
      <c r="R28" s="753" t="s">
        <v>28</v>
      </c>
      <c r="S28" s="754">
        <f t="shared" ref="S28:S46" si="12">F28</f>
        <v>100</v>
      </c>
      <c r="T28" s="753" t="s">
        <v>28</v>
      </c>
      <c r="U28" s="754">
        <f t="shared" ref="U28:U46" si="13">H28</f>
        <v>100</v>
      </c>
      <c r="V28" s="753" t="s">
        <v>28</v>
      </c>
      <c r="W28" s="754">
        <f t="shared" ref="W28:W46" si="14">J28</f>
        <v>100</v>
      </c>
      <c r="X28" s="1898"/>
      <c r="Y28" s="3004"/>
      <c r="Z28" s="1900">
        <f t="shared" ref="Z28:Z46" si="15">Q28</f>
        <v>111</v>
      </c>
      <c r="AA28" s="1901">
        <f t="shared" si="3"/>
        <v>1</v>
      </c>
      <c r="AB28" s="1901">
        <f t="shared" si="4"/>
        <v>1</v>
      </c>
      <c r="AC28" s="1901">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2"/>
      <c r="M29" s="1243"/>
      <c r="N29" s="1243"/>
      <c r="O29" s="1243"/>
      <c r="P29" s="3059"/>
      <c r="Q29" s="1897">
        <f t="shared" si="11"/>
        <v>111</v>
      </c>
      <c r="R29" s="753" t="s">
        <v>28</v>
      </c>
      <c r="S29" s="754">
        <f t="shared" si="12"/>
        <v>100</v>
      </c>
      <c r="T29" s="753" t="s">
        <v>28</v>
      </c>
      <c r="U29" s="754">
        <f t="shared" si="13"/>
        <v>100</v>
      </c>
      <c r="V29" s="753" t="s">
        <v>28</v>
      </c>
      <c r="W29" s="754">
        <f t="shared" si="14"/>
        <v>100</v>
      </c>
      <c r="X29" s="1898"/>
      <c r="Y29" s="3004"/>
      <c r="Z29" s="1900">
        <f t="shared" si="15"/>
        <v>111</v>
      </c>
      <c r="AA29" s="1901">
        <f t="shared" si="3"/>
        <v>1</v>
      </c>
      <c r="AB29" s="1901">
        <f t="shared" si="4"/>
        <v>1</v>
      </c>
      <c r="AC29" s="1901">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2"/>
      <c r="M30" s="1243"/>
      <c r="N30" s="1243"/>
      <c r="O30" s="1243"/>
      <c r="P30" s="3059"/>
      <c r="Q30" s="1897">
        <f t="shared" si="11"/>
        <v>111</v>
      </c>
      <c r="R30" s="753" t="s">
        <v>28</v>
      </c>
      <c r="S30" s="754">
        <f t="shared" si="12"/>
        <v>100</v>
      </c>
      <c r="T30" s="753" t="s">
        <v>28</v>
      </c>
      <c r="U30" s="754">
        <f t="shared" si="13"/>
        <v>100</v>
      </c>
      <c r="V30" s="753" t="s">
        <v>28</v>
      </c>
      <c r="W30" s="754">
        <f t="shared" si="14"/>
        <v>100</v>
      </c>
      <c r="X30" s="1898"/>
      <c r="Y30" s="3004"/>
      <c r="Z30" s="1900">
        <f t="shared" si="15"/>
        <v>111</v>
      </c>
      <c r="AA30" s="1901">
        <f t="shared" si="3"/>
        <v>1</v>
      </c>
      <c r="AB30" s="1901">
        <f t="shared" si="4"/>
        <v>1</v>
      </c>
      <c r="AC30" s="1901">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2"/>
      <c r="M31" s="1243"/>
      <c r="N31" s="1243"/>
      <c r="O31" s="1243"/>
      <c r="P31" s="3059"/>
      <c r="Q31" s="1897">
        <f t="shared" si="11"/>
        <v>111</v>
      </c>
      <c r="R31" s="753" t="s">
        <v>28</v>
      </c>
      <c r="S31" s="754">
        <f t="shared" si="12"/>
        <v>100</v>
      </c>
      <c r="T31" s="753" t="s">
        <v>28</v>
      </c>
      <c r="U31" s="754">
        <f t="shared" si="13"/>
        <v>100</v>
      </c>
      <c r="V31" s="753" t="s">
        <v>28</v>
      </c>
      <c r="W31" s="754">
        <f t="shared" si="14"/>
        <v>100</v>
      </c>
      <c r="X31" s="1898"/>
      <c r="Y31" s="3004"/>
      <c r="Z31" s="1900">
        <f t="shared" si="15"/>
        <v>111</v>
      </c>
      <c r="AA31" s="1901">
        <f t="shared" si="3"/>
        <v>1</v>
      </c>
      <c r="AB31" s="1901">
        <f t="shared" si="4"/>
        <v>1</v>
      </c>
      <c r="AC31" s="1901">
        <f t="shared" si="5"/>
        <v>1</v>
      </c>
    </row>
    <row r="32" spans="1:29" ht="15">
      <c r="A32" s="419" t="s">
        <v>2363</v>
      </c>
      <c r="B32" s="28" t="s">
        <v>2364</v>
      </c>
      <c r="C32" s="2411"/>
      <c r="D32" s="448">
        <v>100</v>
      </c>
      <c r="E32" s="2412"/>
      <c r="F32" s="442">
        <f>SUMIF(100:100,E32,101:101)-SUMIF(100:100,C32,101:101)+100</f>
        <v>100</v>
      </c>
      <c r="G32" s="2411"/>
      <c r="H32" s="448">
        <f>SUMIF(100:100,G32,101:101)-SUMIF(100:100,C32,101:101)+100</f>
        <v>100</v>
      </c>
      <c r="I32" s="2412"/>
      <c r="J32" s="415">
        <f>SUMIF(100:100,I32,101:101)-SUMIF(100:100,C32,101:101)+100</f>
        <v>100</v>
      </c>
      <c r="K32" s="406"/>
      <c r="L32" s="1252"/>
      <c r="M32" s="1243"/>
      <c r="N32" s="1243"/>
      <c r="O32" s="1243"/>
      <c r="P32" s="3060" t="s">
        <v>2365</v>
      </c>
      <c r="Q32" s="1897" t="str">
        <f t="shared" si="11"/>
        <v>建筑类型</v>
      </c>
      <c r="R32" s="753" t="s">
        <v>28</v>
      </c>
      <c r="S32" s="754">
        <f t="shared" si="12"/>
        <v>100</v>
      </c>
      <c r="T32" s="753" t="s">
        <v>28</v>
      </c>
      <c r="U32" s="754">
        <f t="shared" si="13"/>
        <v>100</v>
      </c>
      <c r="V32" s="753" t="s">
        <v>28</v>
      </c>
      <c r="W32" s="754">
        <f t="shared" si="14"/>
        <v>100</v>
      </c>
      <c r="X32" s="1898"/>
      <c r="Y32" s="2990" t="s">
        <v>2365</v>
      </c>
      <c r="Z32" s="1900" t="str">
        <f t="shared" si="15"/>
        <v>建筑类型</v>
      </c>
      <c r="AA32" s="1901">
        <f t="shared" si="3"/>
        <v>1</v>
      </c>
      <c r="AB32" s="1901">
        <f t="shared" si="4"/>
        <v>1</v>
      </c>
      <c r="AC32" s="1901">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8"/>
      <c r="L33" s="1250"/>
      <c r="M33" s="1253"/>
      <c r="N33" s="1253"/>
      <c r="O33" s="1253"/>
      <c r="P33" s="3061"/>
      <c r="Q33" s="755" t="str">
        <f t="shared" si="11"/>
        <v>项目建筑规模</v>
      </c>
      <c r="R33" s="756" t="s">
        <v>28</v>
      </c>
      <c r="S33" s="757" t="e">
        <f t="shared" si="12"/>
        <v>#N/A</v>
      </c>
      <c r="T33" s="756" t="s">
        <v>28</v>
      </c>
      <c r="U33" s="757" t="e">
        <f t="shared" si="13"/>
        <v>#N/A</v>
      </c>
      <c r="V33" s="756" t="s">
        <v>28</v>
      </c>
      <c r="W33" s="757" t="e">
        <f t="shared" si="14"/>
        <v>#N/A</v>
      </c>
      <c r="X33" s="758"/>
      <c r="Y33" s="2990"/>
      <c r="Z33" s="759" t="str">
        <f t="shared" si="15"/>
        <v>项目建筑规模</v>
      </c>
      <c r="AA33" s="1901" t="e">
        <f t="shared" si="3"/>
        <v>#N/A</v>
      </c>
      <c r="AB33" s="1901" t="e">
        <f t="shared" si="4"/>
        <v>#N/A</v>
      </c>
      <c r="AC33" s="1901" t="e">
        <f t="shared" si="5"/>
        <v>#N/A</v>
      </c>
    </row>
    <row r="34" spans="1:29" ht="15">
      <c r="A34" s="453"/>
      <c r="B34" s="402" t="s">
        <v>2367</v>
      </c>
      <c r="C34" s="2413"/>
      <c r="D34" s="415">
        <v>100</v>
      </c>
      <c r="E34" s="2414"/>
      <c r="F34" s="442">
        <f>SUMIF(105:105,E34,106:106)-SUMIF(105:105,C34,106:106)+100</f>
        <v>100</v>
      </c>
      <c r="G34" s="2413"/>
      <c r="H34" s="415">
        <f>SUMIF(105:105,G34,106:106)-SUMIF(105:105,C34,106:106)+100</f>
        <v>100</v>
      </c>
      <c r="I34" s="2414"/>
      <c r="J34" s="415">
        <f>SUMIF(105:105,I34,106:106)-SUMIF(105:105,C34,106:106)+100</f>
        <v>100</v>
      </c>
      <c r="K34" s="406"/>
      <c r="L34" s="1252"/>
      <c r="M34" s="1243"/>
      <c r="N34" s="1243"/>
      <c r="O34" s="1243"/>
      <c r="P34" s="3061"/>
      <c r="Q34" s="1897" t="str">
        <f t="shared" si="11"/>
        <v>建筑结构</v>
      </c>
      <c r="R34" s="753" t="s">
        <v>28</v>
      </c>
      <c r="S34" s="754">
        <f t="shared" si="12"/>
        <v>100</v>
      </c>
      <c r="T34" s="753" t="s">
        <v>28</v>
      </c>
      <c r="U34" s="754">
        <f t="shared" si="13"/>
        <v>100</v>
      </c>
      <c r="V34" s="753" t="s">
        <v>28</v>
      </c>
      <c r="W34" s="754">
        <f t="shared" si="14"/>
        <v>100</v>
      </c>
      <c r="X34" s="1898"/>
      <c r="Y34" s="2990"/>
      <c r="Z34" s="1900" t="str">
        <f t="shared" si="15"/>
        <v>建筑结构</v>
      </c>
      <c r="AA34" s="1901">
        <f t="shared" si="3"/>
        <v>1</v>
      </c>
      <c r="AB34" s="1901">
        <f t="shared" si="4"/>
        <v>1</v>
      </c>
      <c r="AC34" s="1901">
        <f t="shared" si="5"/>
        <v>1</v>
      </c>
    </row>
    <row r="35" spans="1:29" ht="15">
      <c r="A35" s="453"/>
      <c r="B35" s="402" t="s">
        <v>2368</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2"/>
      <c r="M35" s="1243"/>
      <c r="N35" s="1243"/>
      <c r="O35" s="1243"/>
      <c r="P35" s="3061"/>
      <c r="Q35" s="1897" t="str">
        <f t="shared" si="11"/>
        <v>建筑品质</v>
      </c>
      <c r="R35" s="753" t="s">
        <v>28</v>
      </c>
      <c r="S35" s="754">
        <f t="shared" si="12"/>
        <v>100</v>
      </c>
      <c r="T35" s="753" t="s">
        <v>28</v>
      </c>
      <c r="U35" s="754">
        <f t="shared" si="13"/>
        <v>100</v>
      </c>
      <c r="V35" s="753" t="s">
        <v>28</v>
      </c>
      <c r="W35" s="754">
        <f t="shared" si="14"/>
        <v>100</v>
      </c>
      <c r="X35" s="1898"/>
      <c r="Y35" s="2990"/>
      <c r="Z35" s="1900" t="str">
        <f t="shared" si="15"/>
        <v>建筑品质</v>
      </c>
      <c r="AA35" s="1901">
        <f t="shared" si="3"/>
        <v>1</v>
      </c>
      <c r="AB35" s="1901">
        <f t="shared" si="4"/>
        <v>1</v>
      </c>
      <c r="AC35" s="1901">
        <f t="shared" si="5"/>
        <v>1</v>
      </c>
    </row>
    <row r="36" spans="1:29" ht="15">
      <c r="A36" s="453"/>
      <c r="B36" s="402" t="s">
        <v>2369</v>
      </c>
      <c r="C36" s="2409"/>
      <c r="D36" s="415">
        <v>100</v>
      </c>
      <c r="E36" s="2408"/>
      <c r="F36" s="442">
        <f>SUMIF(109:109,E36,110:110)-SUMIF(109:109,C36,110:110)+100</f>
        <v>100</v>
      </c>
      <c r="G36" s="2409"/>
      <c r="H36" s="415">
        <f>SUMIF(109:109,G36,110:110)-SUMIF(109:109,C36,110:110)+100</f>
        <v>100</v>
      </c>
      <c r="I36" s="2408"/>
      <c r="J36" s="415">
        <f>SUMIF(109:109,I36,110:110)-SUMIF(109:109,C36,110:110)+100</f>
        <v>100</v>
      </c>
      <c r="K36" s="406"/>
      <c r="L36" s="1252"/>
      <c r="M36" s="1243"/>
      <c r="N36" s="1243"/>
      <c r="O36" s="1243"/>
      <c r="P36" s="3061"/>
      <c r="Q36" s="1897" t="str">
        <f t="shared" si="11"/>
        <v>公共部分装修</v>
      </c>
      <c r="R36" s="753" t="s">
        <v>28</v>
      </c>
      <c r="S36" s="754">
        <f t="shared" si="12"/>
        <v>100</v>
      </c>
      <c r="T36" s="753" t="s">
        <v>28</v>
      </c>
      <c r="U36" s="754">
        <f t="shared" si="13"/>
        <v>100</v>
      </c>
      <c r="V36" s="753" t="s">
        <v>28</v>
      </c>
      <c r="W36" s="754">
        <f t="shared" si="14"/>
        <v>100</v>
      </c>
      <c r="X36" s="1898"/>
      <c r="Y36" s="2990"/>
      <c r="Z36" s="1900" t="str">
        <f t="shared" si="15"/>
        <v>公共部分装修</v>
      </c>
      <c r="AA36" s="1901">
        <f t="shared" si="3"/>
        <v>1</v>
      </c>
      <c r="AB36" s="1901">
        <f t="shared" si="4"/>
        <v>1</v>
      </c>
      <c r="AC36" s="1901">
        <f t="shared" si="5"/>
        <v>1</v>
      </c>
    </row>
    <row r="37" spans="1:29" s="35" customFormat="1" ht="15">
      <c r="A37" s="454"/>
      <c r="B37" s="402" t="s">
        <v>2370</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4"/>
      <c r="M37" s="1245"/>
      <c r="N37" s="1245"/>
      <c r="O37" s="1245"/>
      <c r="P37" s="3061"/>
      <c r="Q37" s="1885" t="str">
        <f t="shared" si="11"/>
        <v>成新度</v>
      </c>
      <c r="R37" s="749" t="s">
        <v>28</v>
      </c>
      <c r="S37" s="750" t="e">
        <f t="shared" si="12"/>
        <v>#N/A</v>
      </c>
      <c r="T37" s="749" t="s">
        <v>28</v>
      </c>
      <c r="U37" s="750" t="e">
        <f t="shared" si="13"/>
        <v>#N/A</v>
      </c>
      <c r="V37" s="749" t="s">
        <v>28</v>
      </c>
      <c r="W37" s="750" t="e">
        <f t="shared" si="14"/>
        <v>#N/A</v>
      </c>
      <c r="X37" s="751"/>
      <c r="Y37" s="2990"/>
      <c r="Z37" s="23" t="str">
        <f t="shared" si="15"/>
        <v>成新度</v>
      </c>
      <c r="AA37" s="752" t="e">
        <f t="shared" si="3"/>
        <v>#N/A</v>
      </c>
      <c r="AB37" s="752" t="e">
        <f t="shared" si="4"/>
        <v>#N/A</v>
      </c>
      <c r="AC37" s="752" t="e">
        <f t="shared" si="5"/>
        <v>#N/A</v>
      </c>
    </row>
    <row r="38" spans="1:29" ht="15">
      <c r="A38" s="453"/>
      <c r="B38" s="402" t="s">
        <v>2371</v>
      </c>
      <c r="C38" s="2409"/>
      <c r="D38" s="415">
        <v>100</v>
      </c>
      <c r="E38" s="2408"/>
      <c r="F38" s="442">
        <f>SUMIF(114:114,E38,115:115)-SUMIF(114:114,C38,115:115)+100</f>
        <v>100</v>
      </c>
      <c r="G38" s="2409"/>
      <c r="H38" s="415">
        <f>SUMIF(114:114,G38,115:115)-SUMIF(114:114,C38,115:115)+100</f>
        <v>100</v>
      </c>
      <c r="I38" s="2408"/>
      <c r="J38" s="415">
        <f>SUMIF(114:114,I38,115:115)-SUMIF(114:114,C38,115:115)+100</f>
        <v>100</v>
      </c>
      <c r="K38" s="406"/>
      <c r="L38" s="1252"/>
      <c r="M38" s="1243"/>
      <c r="N38" s="1243"/>
      <c r="O38" s="1243"/>
      <c r="P38" s="3061" t="s">
        <v>2365</v>
      </c>
      <c r="Q38" s="1897" t="str">
        <f t="shared" si="11"/>
        <v>物业管理</v>
      </c>
      <c r="R38" s="753" t="s">
        <v>28</v>
      </c>
      <c r="S38" s="754">
        <f t="shared" si="12"/>
        <v>100</v>
      </c>
      <c r="T38" s="753" t="s">
        <v>28</v>
      </c>
      <c r="U38" s="754">
        <f t="shared" si="13"/>
        <v>100</v>
      </c>
      <c r="V38" s="753" t="s">
        <v>28</v>
      </c>
      <c r="W38" s="754">
        <f t="shared" si="14"/>
        <v>100</v>
      </c>
      <c r="X38" s="1898"/>
      <c r="Y38" s="2990" t="s">
        <v>2365</v>
      </c>
      <c r="Z38" s="1900" t="str">
        <f t="shared" si="15"/>
        <v>物业管理</v>
      </c>
      <c r="AA38" s="1901">
        <f t="shared" si="3"/>
        <v>1</v>
      </c>
      <c r="AB38" s="1901">
        <f t="shared" si="4"/>
        <v>1</v>
      </c>
      <c r="AC38" s="1901">
        <f t="shared" si="5"/>
        <v>1</v>
      </c>
    </row>
    <row r="39" spans="1:29" ht="15">
      <c r="A39" s="453"/>
      <c r="B39" s="402" t="s">
        <v>2372</v>
      </c>
      <c r="C39" s="2409"/>
      <c r="D39" s="415">
        <v>100</v>
      </c>
      <c r="E39" s="2408"/>
      <c r="F39" s="442">
        <f>SUMIF(116:116,E39,117:117)-SUMIF(116:116,C39,117:117)+100</f>
        <v>100</v>
      </c>
      <c r="G39" s="2409"/>
      <c r="H39" s="415">
        <f>SUMIF(116:116,G39,117:117)-SUMIF(116:116,C39,117:117)+100</f>
        <v>100</v>
      </c>
      <c r="I39" s="2408"/>
      <c r="J39" s="415">
        <f>SUMIF(116:116,I39,117:117)-SUMIF(116:116,C39,117:117)+100</f>
        <v>100</v>
      </c>
      <c r="K39" s="406"/>
      <c r="L39" s="1252"/>
      <c r="M39" s="1243"/>
      <c r="N39" s="1243"/>
      <c r="O39" s="1243"/>
      <c r="P39" s="3061"/>
      <c r="Q39" s="1897" t="str">
        <f t="shared" si="11"/>
        <v>市政基础设施</v>
      </c>
      <c r="R39" s="753" t="s">
        <v>28</v>
      </c>
      <c r="S39" s="754">
        <f t="shared" si="12"/>
        <v>100</v>
      </c>
      <c r="T39" s="753" t="s">
        <v>28</v>
      </c>
      <c r="U39" s="754">
        <f t="shared" si="13"/>
        <v>100</v>
      </c>
      <c r="V39" s="753" t="s">
        <v>28</v>
      </c>
      <c r="W39" s="754">
        <f t="shared" si="14"/>
        <v>100</v>
      </c>
      <c r="X39" s="1898"/>
      <c r="Y39" s="2990"/>
      <c r="Z39" s="1900" t="str">
        <f t="shared" si="15"/>
        <v>市政基础设施</v>
      </c>
      <c r="AA39" s="1901">
        <f t="shared" si="3"/>
        <v>1</v>
      </c>
      <c r="AB39" s="1901">
        <f t="shared" si="4"/>
        <v>1</v>
      </c>
      <c r="AC39" s="1901">
        <f t="shared" si="5"/>
        <v>1</v>
      </c>
    </row>
    <row r="40" spans="1:29" ht="15">
      <c r="A40" s="453"/>
      <c r="B40" s="402" t="s">
        <v>2373</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c r="L40" s="1252"/>
      <c r="M40" s="1243"/>
      <c r="N40" s="1243"/>
      <c r="O40" s="1243"/>
      <c r="P40" s="3061"/>
      <c r="Q40" s="1897" t="str">
        <f t="shared" si="11"/>
        <v>房型</v>
      </c>
      <c r="R40" s="753" t="s">
        <v>28</v>
      </c>
      <c r="S40" s="754">
        <f t="shared" si="12"/>
        <v>100</v>
      </c>
      <c r="T40" s="753" t="s">
        <v>28</v>
      </c>
      <c r="U40" s="754">
        <f t="shared" si="13"/>
        <v>100</v>
      </c>
      <c r="V40" s="753" t="s">
        <v>28</v>
      </c>
      <c r="W40" s="754">
        <f t="shared" si="14"/>
        <v>100</v>
      </c>
      <c r="X40" s="1898"/>
      <c r="Y40" s="2990"/>
      <c r="Z40" s="1900" t="str">
        <f t="shared" si="15"/>
        <v>房型</v>
      </c>
      <c r="AA40" s="1901">
        <f t="shared" si="3"/>
        <v>1</v>
      </c>
      <c r="AB40" s="1901">
        <f t="shared" si="4"/>
        <v>1</v>
      </c>
      <c r="AC40" s="1901">
        <f t="shared" si="5"/>
        <v>1</v>
      </c>
    </row>
    <row r="41" spans="1:29" s="452" customFormat="1" ht="28.5">
      <c r="A41" s="449"/>
      <c r="B41" s="402" t="s">
        <v>2374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0"/>
      <c r="M41" s="1253"/>
      <c r="N41" s="1253"/>
      <c r="O41" s="1253"/>
      <c r="P41" s="3061"/>
      <c r="Q41" s="755" t="str">
        <f t="shared" si="11"/>
        <v>单套/主力户型建筑面积</v>
      </c>
      <c r="R41" s="756" t="s">
        <v>28</v>
      </c>
      <c r="S41" s="757">
        <f t="shared" si="12"/>
        <v>100</v>
      </c>
      <c r="T41" s="756" t="s">
        <v>28</v>
      </c>
      <c r="U41" s="757">
        <f t="shared" si="13"/>
        <v>100</v>
      </c>
      <c r="V41" s="756" t="s">
        <v>28</v>
      </c>
      <c r="W41" s="757">
        <f t="shared" si="14"/>
        <v>100</v>
      </c>
      <c r="X41" s="758"/>
      <c r="Y41" s="2990"/>
      <c r="Z41" s="759" t="str">
        <f t="shared" si="15"/>
        <v>单套/主力户型建筑面积</v>
      </c>
      <c r="AA41" s="1901">
        <f t="shared" si="3"/>
        <v>1</v>
      </c>
      <c r="AB41" s="1901">
        <f t="shared" si="4"/>
        <v>1</v>
      </c>
      <c r="AC41" s="1901">
        <f t="shared" si="5"/>
        <v>1</v>
      </c>
    </row>
    <row r="42" spans="1:29" ht="15">
      <c r="A42" s="453"/>
      <c r="B42" s="402" t="s">
        <v>2375</v>
      </c>
      <c r="C42" s="2409"/>
      <c r="D42" s="415">
        <v>100</v>
      </c>
      <c r="E42" s="2408"/>
      <c r="F42" s="442">
        <f>SUMIF(122:122,E42,123:123)-SUMIF(122:122,C42,123:123)+100</f>
        <v>100</v>
      </c>
      <c r="G42" s="2409"/>
      <c r="H42" s="415">
        <f>SUMIF(122:122,G42,123:123)-SUMIF(122:122,C42,123:123)+100</f>
        <v>100</v>
      </c>
      <c r="I42" s="2408"/>
      <c r="J42" s="415">
        <f>SUMIF(122:122,I42,123:123)-SUMIF(122:122,C42,123:123)+100</f>
        <v>100</v>
      </c>
      <c r="K42" s="406"/>
      <c r="L42" s="1252"/>
      <c r="M42" s="1243"/>
      <c r="N42" s="1243"/>
      <c r="O42" s="1243"/>
      <c r="P42" s="3061"/>
      <c r="Q42" s="1897" t="str">
        <f t="shared" si="11"/>
        <v>内部装修</v>
      </c>
      <c r="R42" s="753" t="s">
        <v>28</v>
      </c>
      <c r="S42" s="754">
        <f t="shared" si="12"/>
        <v>100</v>
      </c>
      <c r="T42" s="753" t="s">
        <v>28</v>
      </c>
      <c r="U42" s="754">
        <f t="shared" si="13"/>
        <v>100</v>
      </c>
      <c r="V42" s="753" t="s">
        <v>28</v>
      </c>
      <c r="W42" s="754">
        <f t="shared" si="14"/>
        <v>100</v>
      </c>
      <c r="X42" s="1898"/>
      <c r="Y42" s="2990"/>
      <c r="Z42" s="1900" t="str">
        <f t="shared" si="15"/>
        <v>内部装修</v>
      </c>
      <c r="AA42" s="1901">
        <f t="shared" si="3"/>
        <v>1</v>
      </c>
      <c r="AB42" s="1901">
        <f t="shared" si="4"/>
        <v>1</v>
      </c>
      <c r="AC42" s="1901">
        <f t="shared" si="5"/>
        <v>1</v>
      </c>
    </row>
    <row r="43" spans="1:29" ht="15">
      <c r="A43" s="453"/>
      <c r="B43" s="402" t="s">
        <v>2376</v>
      </c>
      <c r="C43" s="2409"/>
      <c r="D43" s="415">
        <v>100</v>
      </c>
      <c r="E43" s="2408"/>
      <c r="F43" s="442">
        <f>SUMIF(124:124,E43,125:125)-SUMIF(124:124,C43,125:125)+100</f>
        <v>100</v>
      </c>
      <c r="G43" s="2409"/>
      <c r="H43" s="415">
        <f>SUMIF(124:124,G43,125:125)-SUMIF(124:124,C43,125:125)+100</f>
        <v>100</v>
      </c>
      <c r="I43" s="2408"/>
      <c r="J43" s="415">
        <f>SUMIF(124:124,I43,125:125)-SUMIF(124:124,C43,125:125)+100</f>
        <v>100</v>
      </c>
      <c r="K43" s="406"/>
      <c r="L43" s="1252"/>
      <c r="M43" s="1243"/>
      <c r="N43" s="1243"/>
      <c r="O43" s="1243"/>
      <c r="P43" s="3061"/>
      <c r="Q43" s="1897" t="str">
        <f t="shared" si="11"/>
        <v>内部装修维护情况</v>
      </c>
      <c r="R43" s="753" t="s">
        <v>28</v>
      </c>
      <c r="S43" s="754">
        <f t="shared" si="12"/>
        <v>100</v>
      </c>
      <c r="T43" s="753" t="s">
        <v>28</v>
      </c>
      <c r="U43" s="754">
        <f t="shared" si="13"/>
        <v>100</v>
      </c>
      <c r="V43" s="753" t="s">
        <v>28</v>
      </c>
      <c r="W43" s="754">
        <f t="shared" si="14"/>
        <v>100</v>
      </c>
      <c r="X43" s="1898"/>
      <c r="Y43" s="2990"/>
      <c r="Z43" s="1900" t="str">
        <f t="shared" si="15"/>
        <v>内部装修维护情况</v>
      </c>
      <c r="AA43" s="1901">
        <f t="shared" si="3"/>
        <v>1</v>
      </c>
      <c r="AB43" s="1901">
        <f t="shared" si="4"/>
        <v>1</v>
      </c>
      <c r="AC43" s="1901">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4"/>
      <c r="M44" s="1245"/>
      <c r="N44" s="1245"/>
      <c r="O44" s="1245"/>
      <c r="P44" s="3061"/>
      <c r="Q44" s="1885">
        <f t="shared" si="11"/>
        <v>111</v>
      </c>
      <c r="R44" s="749" t="s">
        <v>28</v>
      </c>
      <c r="S44" s="750">
        <f t="shared" si="12"/>
        <v>100</v>
      </c>
      <c r="T44" s="749" t="s">
        <v>28</v>
      </c>
      <c r="U44" s="750">
        <f t="shared" si="13"/>
        <v>100</v>
      </c>
      <c r="V44" s="749" t="s">
        <v>28</v>
      </c>
      <c r="W44" s="750">
        <f t="shared" si="14"/>
        <v>100</v>
      </c>
      <c r="X44" s="751"/>
      <c r="Y44" s="2990"/>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2"/>
      <c r="M45" s="1243"/>
      <c r="N45" s="1243"/>
      <c r="O45" s="1243"/>
      <c r="P45" s="3061"/>
      <c r="Q45" s="1897">
        <f t="shared" si="11"/>
        <v>111</v>
      </c>
      <c r="R45" s="753" t="s">
        <v>28</v>
      </c>
      <c r="S45" s="754">
        <f t="shared" si="12"/>
        <v>100</v>
      </c>
      <c r="T45" s="753" t="s">
        <v>28</v>
      </c>
      <c r="U45" s="754">
        <f t="shared" si="13"/>
        <v>100</v>
      </c>
      <c r="V45" s="753" t="s">
        <v>28</v>
      </c>
      <c r="W45" s="754">
        <f t="shared" si="14"/>
        <v>100</v>
      </c>
      <c r="X45" s="1898"/>
      <c r="Y45" s="2990"/>
      <c r="Z45" s="1900">
        <f t="shared" si="15"/>
        <v>111</v>
      </c>
      <c r="AA45" s="1901">
        <f t="shared" si="3"/>
        <v>1</v>
      </c>
      <c r="AB45" s="1901">
        <f t="shared" si="4"/>
        <v>1</v>
      </c>
      <c r="AC45" s="1901">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2"/>
      <c r="M46" s="1243"/>
      <c r="N46" s="1243"/>
      <c r="O46" s="1243"/>
      <c r="P46" s="3062"/>
      <c r="Q46" s="1897">
        <f t="shared" si="11"/>
        <v>111</v>
      </c>
      <c r="R46" s="753" t="s">
        <v>27</v>
      </c>
      <c r="S46" s="754">
        <f t="shared" si="12"/>
        <v>100</v>
      </c>
      <c r="T46" s="753" t="s">
        <v>27</v>
      </c>
      <c r="U46" s="754">
        <f t="shared" si="13"/>
        <v>100</v>
      </c>
      <c r="V46" s="753" t="s">
        <v>27</v>
      </c>
      <c r="W46" s="754">
        <f t="shared" si="14"/>
        <v>100</v>
      </c>
      <c r="X46" s="1898"/>
      <c r="Y46" s="2991"/>
      <c r="Z46" s="1900">
        <f t="shared" si="15"/>
        <v>111</v>
      </c>
      <c r="AA46" s="1901">
        <f t="shared" si="3"/>
        <v>1</v>
      </c>
      <c r="AB46" s="1901">
        <f t="shared" si="4"/>
        <v>1</v>
      </c>
      <c r="AC46" s="1901">
        <f t="shared" si="5"/>
        <v>1</v>
      </c>
    </row>
    <row r="47" spans="1:29" ht="15">
      <c r="A47" s="460" t="s">
        <v>2377</v>
      </c>
      <c r="B47" s="461"/>
      <c r="C47" s="1500" t="s">
        <v>26</v>
      </c>
      <c r="D47" s="1501"/>
      <c r="E47" s="1502"/>
      <c r="F47" s="1503"/>
      <c r="G47" s="1504"/>
      <c r="H47" s="1505"/>
      <c r="I47" s="1502"/>
      <c r="J47" s="1505"/>
      <c r="K47" s="2415"/>
      <c r="L47" s="1255"/>
      <c r="M47" s="1256"/>
      <c r="N47" s="1243"/>
      <c r="O47" s="1256"/>
      <c r="P47" s="2983" t="str">
        <f>A47</f>
        <v>成交单价（元/平方米）</v>
      </c>
      <c r="Q47" s="2983"/>
      <c r="R47" s="2984">
        <f>E47</f>
        <v>0</v>
      </c>
      <c r="S47" s="2984"/>
      <c r="T47" s="2984">
        <f>G47</f>
        <v>0</v>
      </c>
      <c r="U47" s="2984"/>
      <c r="V47" s="2984">
        <f>I47</f>
        <v>0</v>
      </c>
      <c r="W47" s="2984"/>
      <c r="X47" s="738"/>
      <c r="Y47" s="760"/>
      <c r="Z47" s="738"/>
      <c r="AA47" s="738"/>
      <c r="AB47" s="738"/>
      <c r="AC47" s="738"/>
    </row>
    <row r="48" spans="1:29" ht="15.75" thickBot="1">
      <c r="A48" s="467" t="s">
        <v>2378</v>
      </c>
      <c r="B48" s="468"/>
      <c r="C48" s="1506" t="e">
        <f>R49</f>
        <v>#DIV/0!</v>
      </c>
      <c r="D48" s="1507"/>
      <c r="E48" s="1508" t="e">
        <f>R48</f>
        <v>#DIV/0!</v>
      </c>
      <c r="F48" s="1508"/>
      <c r="G48" s="1506" t="e">
        <f>T48</f>
        <v>#DIV/0!</v>
      </c>
      <c r="H48" s="1507"/>
      <c r="I48" s="1508" t="e">
        <f>V48</f>
        <v>#DIV/0!</v>
      </c>
      <c r="J48" s="1507"/>
      <c r="K48" s="2416"/>
      <c r="L48" s="1255"/>
      <c r="M48" s="1256"/>
      <c r="N48" s="1256"/>
      <c r="O48" s="1256"/>
      <c r="P48" s="2983" t="str">
        <f>A48</f>
        <v>比较价值（元/平方米）</v>
      </c>
      <c r="Q48" s="2983"/>
      <c r="R48" s="2984" t="e">
        <f>IF(E1="售价",ROUND(PRODUCT(R47,AA7:AA46),0),ROUND(PRODUCT(R47,AA7:AA46),1))</f>
        <v>#DIV/0!</v>
      </c>
      <c r="S48" s="2984"/>
      <c r="T48" s="3055" t="e">
        <f>IF(E1="售价",ROUND(PRODUCT(T47,AB7:AB46),0),ROUND(PRODUCT(T47,AB7:AB46),1))</f>
        <v>#DIV/0!</v>
      </c>
      <c r="U48" s="3056"/>
      <c r="V48" s="2984" t="e">
        <f>IF(E1="售价",ROUND(PRODUCT(V47,AC7:AC46),0),ROUND(PRODUCT(V47,AC7:AC46),1))</f>
        <v>#DIV/0!</v>
      </c>
      <c r="W48" s="2984"/>
      <c r="X48" s="738"/>
      <c r="Y48" s="738"/>
      <c r="Z48" s="738"/>
      <c r="AA48" s="738"/>
      <c r="AB48" s="738"/>
      <c r="AC48" s="738"/>
    </row>
    <row r="49" spans="1:29" ht="15.75" thickBot="1">
      <c r="A49" s="473" t="s">
        <v>2379</v>
      </c>
      <c r="B49" s="474"/>
      <c r="C49" s="1509" t="e">
        <f>R49</f>
        <v>#DIV/0!</v>
      </c>
      <c r="D49" s="1510"/>
      <c r="E49" s="1510"/>
      <c r="F49" s="1510"/>
      <c r="G49" s="1510"/>
      <c r="H49" s="1510"/>
      <c r="I49" s="1510"/>
      <c r="J49" s="1510"/>
      <c r="K49" s="2417"/>
      <c r="L49" s="1255"/>
      <c r="M49" s="1256"/>
      <c r="N49" s="1256"/>
      <c r="O49" s="1256"/>
      <c r="P49" s="3057" t="str">
        <f>A49</f>
        <v>估价对象XX用房的比较价值（楼面单价，元/平方米）</v>
      </c>
      <c r="Q49" s="2982"/>
      <c r="R49" s="2986" t="e">
        <f>IF(E1="售价",ROUND(AVERAGE(R48:V48),0),ROUND(AVERAGE(R48:V48),1))</f>
        <v>#DIV/0!</v>
      </c>
      <c r="S49" s="2986"/>
      <c r="T49" s="2986"/>
      <c r="U49" s="2986"/>
      <c r="V49" s="2986"/>
      <c r="W49" s="2986"/>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row>
    <row r="53" spans="1:29" ht="13.5" customHeight="1">
      <c r="A53" s="1256"/>
      <c r="B53" s="1256"/>
      <c r="C53" s="478" t="s">
        <v>2381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row>
    <row r="54" spans="1:29" s="483" customFormat="1" ht="13.5" customHeight="1">
      <c r="A54" s="1258"/>
      <c r="B54" s="1258"/>
      <c r="C54" s="478" t="s">
        <v>2382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19"/>
    </row>
    <row r="55" spans="1:29" s="483" customFormat="1">
      <c r="A55" s="1258"/>
      <c r="B55" s="1259"/>
      <c r="C55" s="1264"/>
      <c r="D55" s="1258"/>
      <c r="E55" s="1258"/>
      <c r="F55" s="1258"/>
      <c r="G55" s="1258"/>
      <c r="H55" s="1258"/>
      <c r="I55" s="1258"/>
      <c r="J55" s="1258"/>
      <c r="K55" s="1262"/>
      <c r="L55" s="1263"/>
      <c r="M55" s="1258"/>
      <c r="N55" s="1258"/>
      <c r="O55" s="1258"/>
      <c r="P55" s="2419"/>
    </row>
    <row r="56" spans="1:29">
      <c r="A56" s="1256"/>
      <c r="B56" s="1259"/>
      <c r="C56" s="1264"/>
      <c r="D56" s="1256"/>
      <c r="E56" s="1256"/>
      <c r="F56" s="1256"/>
      <c r="G56" s="1256"/>
      <c r="H56" s="1256"/>
      <c r="I56" s="1256"/>
      <c r="J56" s="1256"/>
      <c r="K56" s="1261"/>
      <c r="L56" s="1257"/>
      <c r="M56" s="1256"/>
      <c r="N56" s="1256"/>
      <c r="O56" s="1256"/>
    </row>
    <row r="57" spans="1:29" ht="21.75" thickBot="1">
      <c r="A57" s="742" t="s">
        <v>2383</v>
      </c>
      <c r="B57" s="738"/>
      <c r="C57" s="743"/>
      <c r="D57" s="743"/>
      <c r="E57" s="743"/>
      <c r="F57" s="744"/>
      <c r="G57" s="744"/>
      <c r="H57" s="743"/>
      <c r="I57" s="743"/>
      <c r="J57" s="743"/>
      <c r="K57" s="745"/>
      <c r="L57" s="746"/>
      <c r="M57" s="743"/>
      <c r="N57" s="743"/>
      <c r="O57" s="743"/>
      <c r="P57" s="2420"/>
      <c r="Q57" s="485"/>
    </row>
    <row r="58" spans="1:29" s="489" customFormat="1" ht="15">
      <c r="A58" s="486" t="s">
        <v>2384</v>
      </c>
      <c r="B58" s="487"/>
      <c r="C58" s="1676" t="str">
        <f>YEAR(C7)&amp;"-"&amp;MONTH(C7)</f>
        <v>2018-6</v>
      </c>
      <c r="D58" s="1677">
        <f>EDATE(C58,-1)</f>
        <v>43221</v>
      </c>
      <c r="E58" s="1677">
        <f t="shared" ref="E58:O58" si="16">EDATE(D58,-1)</f>
        <v>43191</v>
      </c>
      <c r="F58" s="1677">
        <f t="shared" si="16"/>
        <v>43160</v>
      </c>
      <c r="G58" s="1677">
        <f t="shared" si="16"/>
        <v>43132</v>
      </c>
      <c r="H58" s="1677">
        <f t="shared" si="16"/>
        <v>43101</v>
      </c>
      <c r="I58" s="1677">
        <f t="shared" si="16"/>
        <v>43070</v>
      </c>
      <c r="J58" s="1677">
        <f t="shared" si="16"/>
        <v>43040</v>
      </c>
      <c r="K58" s="1677">
        <f t="shared" si="16"/>
        <v>43009</v>
      </c>
      <c r="L58" s="1677">
        <f t="shared" si="16"/>
        <v>42979</v>
      </c>
      <c r="M58" s="1677">
        <f t="shared" si="16"/>
        <v>42948</v>
      </c>
      <c r="N58" s="1677">
        <f t="shared" si="16"/>
        <v>42917</v>
      </c>
      <c r="O58" s="1677">
        <f t="shared" si="16"/>
        <v>42887</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2385</v>
      </c>
      <c r="B60" s="497"/>
      <c r="C60" s="498"/>
      <c r="D60" s="499"/>
      <c r="E60" s="499"/>
      <c r="F60" s="499"/>
      <c r="G60" s="499"/>
      <c r="H60" s="499"/>
      <c r="I60" s="499"/>
      <c r="J60" s="499"/>
      <c r="K60" s="499"/>
      <c r="L60" s="499"/>
      <c r="M60" s="500"/>
      <c r="N60" s="499"/>
      <c r="O60" s="500"/>
      <c r="P60" s="2422"/>
      <c r="Q60" s="485"/>
    </row>
    <row r="61" spans="1:29" s="35" customFormat="1" ht="15">
      <c r="A61" s="502" t="s">
        <v>2386</v>
      </c>
      <c r="B61" s="491"/>
      <c r="C61" s="503" t="s">
        <v>2387</v>
      </c>
      <c r="D61" s="504"/>
      <c r="E61" s="504"/>
      <c r="F61" s="504"/>
      <c r="G61" s="504"/>
      <c r="H61" s="504"/>
      <c r="I61" s="504"/>
      <c r="J61" s="504"/>
      <c r="K61" s="504"/>
      <c r="L61" s="505"/>
      <c r="M61" s="506"/>
      <c r="N61" s="1265"/>
      <c r="O61" s="1265"/>
      <c r="P61" s="2423"/>
      <c r="Q61" s="485"/>
    </row>
    <row r="62" spans="1:29" s="35" customFormat="1" ht="15.75" thickBot="1">
      <c r="A62" s="502"/>
      <c r="B62" s="491"/>
      <c r="C62" s="492">
        <v>100</v>
      </c>
      <c r="D62" s="493"/>
      <c r="E62" s="493"/>
      <c r="F62" s="493"/>
      <c r="G62" s="493"/>
      <c r="H62" s="493"/>
      <c r="I62" s="493"/>
      <c r="J62" s="493"/>
      <c r="K62" s="493"/>
      <c r="L62" s="493"/>
      <c r="M62" s="495"/>
      <c r="N62" s="1265"/>
      <c r="O62" s="1265"/>
      <c r="P62" s="2422"/>
      <c r="Q62" s="485"/>
    </row>
    <row r="63" spans="1:29">
      <c r="A63" s="508" t="s">
        <v>2388</v>
      </c>
      <c r="B63" s="509" t="s">
        <v>2353</v>
      </c>
      <c r="C63" s="510">
        <f>C9</f>
        <v>0</v>
      </c>
      <c r="D63" s="511"/>
      <c r="E63" s="511"/>
      <c r="F63" s="511"/>
      <c r="G63" s="511"/>
      <c r="H63" s="511"/>
      <c r="I63" s="511"/>
      <c r="J63" s="511"/>
      <c r="K63" s="512"/>
      <c r="L63" s="513"/>
      <c r="M63" s="514"/>
      <c r="N63" s="1266"/>
      <c r="O63" s="1266"/>
      <c r="P63" s="2424"/>
      <c r="Q63" s="485"/>
    </row>
    <row r="64" spans="1:29" ht="15.75" thickBot="1">
      <c r="A64" s="516"/>
      <c r="B64" s="517"/>
      <c r="C64" s="518">
        <v>100</v>
      </c>
      <c r="D64" s="518"/>
      <c r="E64" s="518"/>
      <c r="F64" s="518"/>
      <c r="G64" s="518"/>
      <c r="H64" s="518"/>
      <c r="I64" s="518"/>
      <c r="J64" s="518"/>
      <c r="K64" s="518"/>
      <c r="L64" s="518"/>
      <c r="M64" s="519"/>
      <c r="N64" s="1267"/>
      <c r="O64" s="1267"/>
      <c r="P64" s="2424"/>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4"/>
      <c r="Q66" s="485"/>
    </row>
    <row r="67" spans="1:17" ht="15.75" thickTop="1">
      <c r="A67" s="516"/>
      <c r="B67" s="529" t="s">
        <v>2357</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4"/>
      <c r="Q67" s="485"/>
    </row>
    <row r="68" spans="1:17" ht="15">
      <c r="A68" s="516"/>
      <c r="B68" s="531"/>
      <c r="C68" s="532"/>
      <c r="D68" s="532"/>
      <c r="E68" s="532"/>
      <c r="F68" s="532"/>
      <c r="G68" s="532"/>
      <c r="H68" s="532"/>
      <c r="I68" s="532"/>
      <c r="J68" s="532"/>
      <c r="K68" s="533"/>
      <c r="L68" s="534"/>
      <c r="M68" s="535"/>
      <c r="N68" s="1266"/>
      <c r="O68" s="1266"/>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4"/>
      <c r="Q69" s="485"/>
    </row>
    <row r="70" spans="1:17" s="452" customFormat="1" ht="15.75" thickTop="1">
      <c r="A70" s="536"/>
      <c r="B70" s="521">
        <f>B12</f>
        <v>111</v>
      </c>
      <c r="C70" s="537"/>
      <c r="D70" s="537"/>
      <c r="E70" s="537"/>
      <c r="F70" s="537"/>
      <c r="G70" s="537"/>
      <c r="H70" s="538"/>
      <c r="I70" s="538"/>
      <c r="J70" s="538"/>
      <c r="K70" s="538"/>
      <c r="L70" s="539"/>
      <c r="M70" s="540"/>
      <c r="N70" s="1268"/>
      <c r="O70" s="1268"/>
      <c r="P70" s="2425"/>
      <c r="Q70" s="543"/>
    </row>
    <row r="71" spans="1:17" s="452" customFormat="1" ht="15.75" thickBot="1">
      <c r="A71" s="536"/>
      <c r="B71" s="526"/>
      <c r="C71" s="544"/>
      <c r="D71" s="518"/>
      <c r="E71" s="518"/>
      <c r="F71" s="518"/>
      <c r="G71" s="518"/>
      <c r="H71" s="518"/>
      <c r="I71" s="518"/>
      <c r="J71" s="518"/>
      <c r="K71" s="518"/>
      <c r="L71" s="518"/>
      <c r="M71" s="519"/>
      <c r="N71" s="1267"/>
      <c r="O71" s="1267"/>
      <c r="P71" s="2425"/>
      <c r="Q71" s="543"/>
    </row>
    <row r="72" spans="1:17" s="452" customFormat="1" ht="15.75" thickTop="1">
      <c r="A72" s="536"/>
      <c r="B72" s="521">
        <f>B13</f>
        <v>111</v>
      </c>
      <c r="C72" s="537"/>
      <c r="D72" s="537"/>
      <c r="E72" s="537"/>
      <c r="F72" s="537"/>
      <c r="G72" s="537"/>
      <c r="H72" s="538"/>
      <c r="I72" s="538"/>
      <c r="J72" s="538"/>
      <c r="K72" s="538"/>
      <c r="L72" s="539"/>
      <c r="M72" s="540"/>
      <c r="N72" s="1268"/>
      <c r="O72" s="1268"/>
      <c r="P72" s="2426"/>
      <c r="Q72" s="545"/>
    </row>
    <row r="73" spans="1:17" s="452" customFormat="1" ht="15.75" thickBot="1">
      <c r="A73" s="536"/>
      <c r="B73" s="526"/>
      <c r="C73" s="544"/>
      <c r="D73" s="544"/>
      <c r="E73" s="544"/>
      <c r="F73" s="544"/>
      <c r="G73" s="544"/>
      <c r="H73" s="546"/>
      <c r="I73" s="546"/>
      <c r="J73" s="546"/>
      <c r="K73" s="546"/>
      <c r="L73" s="546"/>
      <c r="M73" s="547"/>
      <c r="N73" s="1268"/>
      <c r="O73" s="1268"/>
      <c r="P73" s="2425"/>
      <c r="Q73" s="543"/>
    </row>
    <row r="74" spans="1:17" s="452" customFormat="1" ht="15.75" thickTop="1">
      <c r="A74" s="536"/>
      <c r="B74" s="529">
        <f>B14</f>
        <v>111</v>
      </c>
      <c r="C74" s="537"/>
      <c r="D74" s="537"/>
      <c r="E74" s="537"/>
      <c r="F74" s="537"/>
      <c r="G74" s="504"/>
      <c r="H74" s="548"/>
      <c r="I74" s="548"/>
      <c r="J74" s="548"/>
      <c r="K74" s="548"/>
      <c r="L74" s="549"/>
      <c r="M74" s="550"/>
      <c r="N74" s="1268"/>
      <c r="O74" s="1268"/>
      <c r="P74" s="2427"/>
      <c r="Q74" s="543"/>
    </row>
    <row r="75" spans="1:17" s="452" customFormat="1" ht="15.75" thickBot="1">
      <c r="A75" s="552"/>
      <c r="B75" s="553"/>
      <c r="C75" s="554"/>
      <c r="D75" s="554"/>
      <c r="E75" s="554"/>
      <c r="F75" s="554"/>
      <c r="G75" s="554"/>
      <c r="H75" s="555"/>
      <c r="I75" s="555"/>
      <c r="J75" s="555"/>
      <c r="K75" s="555"/>
      <c r="L75" s="555"/>
      <c r="M75" s="556"/>
      <c r="N75" s="1268"/>
      <c r="O75" s="1268"/>
      <c r="P75" s="2425"/>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4"/>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4"/>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4"/>
      <c r="Q81" s="485"/>
    </row>
    <row r="82" spans="1:17" ht="15.75" thickTop="1">
      <c r="A82" s="516"/>
      <c r="B82" s="529" t="s">
        <v>1744</v>
      </c>
      <c r="C82" s="522" t="s">
        <v>2404</v>
      </c>
      <c r="D82" s="522" t="s">
        <v>2405</v>
      </c>
      <c r="E82" s="522" t="s">
        <v>2406</v>
      </c>
      <c r="F82" s="522" t="s">
        <v>2407</v>
      </c>
      <c r="G82" s="522" t="s">
        <v>2408</v>
      </c>
      <c r="H82" s="522"/>
      <c r="I82" s="522"/>
      <c r="J82" s="522"/>
      <c r="K82" s="522"/>
      <c r="L82" s="522"/>
      <c r="M82" s="1465"/>
      <c r="N82" s="1267"/>
      <c r="O82" s="1267"/>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4"/>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4"/>
      <c r="Q85" s="485"/>
    </row>
    <row r="86" spans="1:17" s="35" customFormat="1" ht="15.75" thickTop="1">
      <c r="A86" s="563"/>
      <c r="B86" s="521" t="s">
        <v>2410</v>
      </c>
      <c r="C86" s="537"/>
      <c r="D86" s="537"/>
      <c r="E86" s="537"/>
      <c r="F86" s="537"/>
      <c r="G86" s="537"/>
      <c r="H86" s="537"/>
      <c r="I86" s="537"/>
      <c r="J86" s="537"/>
      <c r="K86" s="537"/>
      <c r="L86" s="564"/>
      <c r="M86" s="565"/>
      <c r="N86" s="1265"/>
      <c r="O86" s="1265"/>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4"/>
      <c r="Q87" s="485"/>
    </row>
    <row r="88" spans="1:17" s="35" customFormat="1" ht="15.75" thickTop="1">
      <c r="A88" s="563"/>
      <c r="B88" s="521" t="s">
        <v>2411</v>
      </c>
      <c r="C88" s="537"/>
      <c r="D88" s="537"/>
      <c r="E88" s="537"/>
      <c r="F88" s="2429"/>
      <c r="G88" s="537"/>
      <c r="H88" s="537"/>
      <c r="I88" s="537"/>
      <c r="J88" s="537"/>
      <c r="K88" s="537"/>
      <c r="L88" s="537"/>
      <c r="M88" s="565"/>
      <c r="N88" s="1265"/>
      <c r="O88" s="1265"/>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4"/>
      <c r="Q89" s="485"/>
    </row>
    <row r="90" spans="1:17" s="452" customFormat="1" ht="15.75" thickTop="1">
      <c r="A90" s="536"/>
      <c r="B90" s="521" t="str">
        <f>B27</f>
        <v>道路级别</v>
      </c>
      <c r="C90" s="537"/>
      <c r="D90" s="537"/>
      <c r="E90" s="537"/>
      <c r="F90" s="537"/>
      <c r="G90" s="537"/>
      <c r="H90" s="538"/>
      <c r="I90" s="538"/>
      <c r="J90" s="538"/>
      <c r="K90" s="538"/>
      <c r="L90" s="539"/>
      <c r="M90" s="540"/>
      <c r="N90" s="1268"/>
      <c r="O90" s="1268"/>
      <c r="P90" s="2425"/>
      <c r="Q90" s="543"/>
    </row>
    <row r="91" spans="1:17" s="452" customFormat="1" ht="15.75" thickBot="1">
      <c r="A91" s="536"/>
      <c r="B91" s="526"/>
      <c r="C91" s="544"/>
      <c r="D91" s="544"/>
      <c r="E91" s="544"/>
      <c r="F91" s="544"/>
      <c r="G91" s="544"/>
      <c r="H91" s="546"/>
      <c r="I91" s="546"/>
      <c r="J91" s="546"/>
      <c r="K91" s="546"/>
      <c r="L91" s="546"/>
      <c r="M91" s="547"/>
      <c r="N91" s="1268"/>
      <c r="O91" s="1268"/>
      <c r="P91" s="2425"/>
      <c r="Q91" s="543"/>
    </row>
    <row r="92" spans="1:17" ht="15.75" thickTop="1">
      <c r="A92" s="516"/>
      <c r="B92" s="521">
        <f>B28</f>
        <v>111</v>
      </c>
      <c r="C92" s="537"/>
      <c r="D92" s="537"/>
      <c r="E92" s="537"/>
      <c r="F92" s="537"/>
      <c r="G92" s="567"/>
      <c r="H92" s="567"/>
      <c r="I92" s="567"/>
      <c r="J92" s="567"/>
      <c r="K92" s="568"/>
      <c r="L92" s="569"/>
      <c r="M92" s="570"/>
      <c r="N92" s="1266"/>
      <c r="O92" s="1266"/>
      <c r="P92" s="2424"/>
      <c r="Q92" s="485"/>
    </row>
    <row r="93" spans="1:17" ht="15.75" thickBot="1">
      <c r="A93" s="516"/>
      <c r="B93" s="526"/>
      <c r="C93" s="544"/>
      <c r="D93" s="518"/>
      <c r="E93" s="518"/>
      <c r="F93" s="518"/>
      <c r="G93" s="518"/>
      <c r="H93" s="518"/>
      <c r="I93" s="518"/>
      <c r="J93" s="518"/>
      <c r="K93" s="518"/>
      <c r="L93" s="518"/>
      <c r="M93" s="519"/>
      <c r="N93" s="1267"/>
      <c r="O93" s="1267"/>
      <c r="P93" s="2424"/>
      <c r="Q93" s="485"/>
    </row>
    <row r="94" spans="1:17" ht="15.75" thickTop="1">
      <c r="A94" s="516"/>
      <c r="B94" s="521">
        <f>B29</f>
        <v>111</v>
      </c>
      <c r="C94" s="537"/>
      <c r="D94" s="537"/>
      <c r="E94" s="537"/>
      <c r="F94" s="537"/>
      <c r="G94" s="567"/>
      <c r="H94" s="567"/>
      <c r="I94" s="567"/>
      <c r="J94" s="567"/>
      <c r="K94" s="568"/>
      <c r="L94" s="569"/>
      <c r="M94" s="570"/>
      <c r="N94" s="1266"/>
      <c r="O94" s="1266"/>
      <c r="P94" s="2424"/>
      <c r="Q94" s="485"/>
    </row>
    <row r="95" spans="1:17" ht="15.75" thickBot="1">
      <c r="A95" s="516"/>
      <c r="B95" s="526"/>
      <c r="C95" s="544"/>
      <c r="D95" s="544"/>
      <c r="E95" s="544"/>
      <c r="F95" s="544"/>
      <c r="G95" s="518"/>
      <c r="H95" s="518"/>
      <c r="I95" s="518"/>
      <c r="J95" s="518"/>
      <c r="K95" s="518"/>
      <c r="L95" s="518"/>
      <c r="M95" s="519"/>
      <c r="N95" s="1267"/>
      <c r="O95" s="1267"/>
      <c r="P95" s="2424"/>
      <c r="Q95" s="485"/>
    </row>
    <row r="96" spans="1:17" ht="15.75" thickTop="1">
      <c r="A96" s="516"/>
      <c r="B96" s="521">
        <f>B30</f>
        <v>111</v>
      </c>
      <c r="C96" s="537"/>
      <c r="D96" s="537"/>
      <c r="E96" s="537"/>
      <c r="F96" s="537"/>
      <c r="G96" s="567"/>
      <c r="H96" s="567"/>
      <c r="I96" s="567"/>
      <c r="J96" s="567"/>
      <c r="K96" s="568"/>
      <c r="L96" s="569"/>
      <c r="M96" s="570"/>
      <c r="N96" s="1266"/>
      <c r="O96" s="1266"/>
      <c r="P96" s="2424"/>
      <c r="Q96" s="485"/>
    </row>
    <row r="97" spans="1:17" ht="15.75" thickBot="1">
      <c r="A97" s="516"/>
      <c r="B97" s="526"/>
      <c r="C97" s="554"/>
      <c r="D97" s="554"/>
      <c r="E97" s="554"/>
      <c r="F97" s="554"/>
      <c r="G97" s="518"/>
      <c r="H97" s="518"/>
      <c r="I97" s="518"/>
      <c r="J97" s="518"/>
      <c r="K97" s="518"/>
      <c r="L97" s="518"/>
      <c r="M97" s="519"/>
      <c r="N97" s="1267"/>
      <c r="O97" s="1267"/>
      <c r="P97" s="2424"/>
      <c r="Q97" s="485"/>
    </row>
    <row r="98" spans="1:17" ht="15.75" thickTop="1">
      <c r="A98" s="516"/>
      <c r="B98" s="529">
        <f>B31</f>
        <v>111</v>
      </c>
      <c r="C98" s="571"/>
      <c r="D98" s="571"/>
      <c r="E98" s="571"/>
      <c r="F98" s="571"/>
      <c r="G98" s="571"/>
      <c r="H98" s="571"/>
      <c r="I98" s="571"/>
      <c r="J98" s="571"/>
      <c r="K98" s="572"/>
      <c r="L98" s="573"/>
      <c r="M98" s="574"/>
      <c r="N98" s="1266"/>
      <c r="O98" s="1266"/>
      <c r="P98" s="2424"/>
      <c r="Q98" s="485"/>
    </row>
    <row r="99" spans="1:17" ht="15.75" thickBot="1">
      <c r="A99" s="2430"/>
      <c r="B99" s="553"/>
      <c r="C99" s="575"/>
      <c r="D99" s="575"/>
      <c r="E99" s="575"/>
      <c r="F99" s="575"/>
      <c r="G99" s="575"/>
      <c r="H99" s="575"/>
      <c r="I99" s="575"/>
      <c r="J99" s="575"/>
      <c r="K99" s="575"/>
      <c r="L99" s="575"/>
      <c r="M99" s="576"/>
      <c r="N99" s="1267"/>
      <c r="O99" s="1267"/>
      <c r="P99" s="2424"/>
      <c r="Q99" s="485"/>
    </row>
    <row r="100" spans="1:17">
      <c r="A100" s="508" t="s">
        <v>2363</v>
      </c>
      <c r="B100" s="509" t="s">
        <v>2412</v>
      </c>
      <c r="C100" s="511"/>
      <c r="D100" s="511"/>
      <c r="E100" s="511"/>
      <c r="F100" s="511"/>
      <c r="G100" s="511"/>
      <c r="H100" s="511"/>
      <c r="I100" s="511"/>
      <c r="J100" s="511"/>
      <c r="K100" s="512"/>
      <c r="L100" s="513"/>
      <c r="M100" s="514"/>
      <c r="N100" s="1266"/>
      <c r="O100" s="1266"/>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4"/>
      <c r="Q101" s="485"/>
    </row>
    <row r="102" spans="1:17" ht="15.75" thickTop="1">
      <c r="A102" s="516"/>
      <c r="B102" s="521" t="s">
        <v>2413</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4"/>
      <c r="Q102" s="485"/>
    </row>
    <row r="103" spans="1:17" s="452" customFormat="1">
      <c r="A103" s="577"/>
      <c r="B103" s="578"/>
      <c r="C103" s="579"/>
      <c r="D103" s="579"/>
      <c r="E103" s="579"/>
      <c r="F103" s="579"/>
      <c r="G103" s="579"/>
      <c r="H103" s="579"/>
      <c r="I103" s="579"/>
      <c r="J103" s="580"/>
      <c r="K103" s="580"/>
      <c r="L103" s="581"/>
      <c r="M103" s="582"/>
      <c r="N103" s="1268"/>
      <c r="O103" s="1268"/>
      <c r="P103" s="2425"/>
      <c r="Q103" s="543"/>
    </row>
    <row r="104" spans="1:17" s="452" customFormat="1" ht="15.75" thickBot="1">
      <c r="A104" s="536"/>
      <c r="B104" s="526"/>
      <c r="C104" s="544"/>
      <c r="D104" s="518"/>
      <c r="E104" s="518"/>
      <c r="F104" s="518"/>
      <c r="G104" s="518"/>
      <c r="H104" s="518"/>
      <c r="I104" s="518"/>
      <c r="J104" s="518"/>
      <c r="K104" s="518"/>
      <c r="L104" s="518"/>
      <c r="M104" s="518"/>
      <c r="N104" s="1267"/>
      <c r="O104" s="1267"/>
      <c r="P104" s="2425"/>
      <c r="Q104" s="543"/>
    </row>
    <row r="105" spans="1:17" ht="15" thickTop="1">
      <c r="A105" s="583"/>
      <c r="B105" s="521" t="s">
        <v>2414</v>
      </c>
      <c r="C105" s="537"/>
      <c r="D105" s="537"/>
      <c r="E105" s="567"/>
      <c r="F105" s="567"/>
      <c r="G105" s="567"/>
      <c r="H105" s="567"/>
      <c r="I105" s="567"/>
      <c r="J105" s="567"/>
      <c r="K105" s="568"/>
      <c r="L105" s="569"/>
      <c r="M105" s="570"/>
      <c r="N105" s="1266"/>
      <c r="O105" s="1266"/>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4"/>
      <c r="Q106" s="485"/>
    </row>
    <row r="107" spans="1:17" ht="15" thickTop="1">
      <c r="A107" s="583"/>
      <c r="B107" s="521" t="s">
        <v>2415</v>
      </c>
      <c r="C107" s="567"/>
      <c r="D107" s="567"/>
      <c r="E107" s="567"/>
      <c r="F107" s="567"/>
      <c r="G107" s="567"/>
      <c r="H107" s="567"/>
      <c r="I107" s="567"/>
      <c r="J107" s="567"/>
      <c r="K107" s="568"/>
      <c r="L107" s="569"/>
      <c r="M107" s="570"/>
      <c r="N107" s="1266"/>
      <c r="O107" s="1266"/>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4"/>
      <c r="Q108" s="485"/>
    </row>
    <row r="109" spans="1:17" ht="15" thickTop="1">
      <c r="A109" s="583"/>
      <c r="B109" s="521" t="s">
        <v>2416</v>
      </c>
      <c r="C109" s="537"/>
      <c r="D109" s="537"/>
      <c r="E109" s="537"/>
      <c r="F109" s="567"/>
      <c r="G109" s="567"/>
      <c r="H109" s="567"/>
      <c r="I109" s="567"/>
      <c r="J109" s="567"/>
      <c r="K109" s="568"/>
      <c r="L109" s="569"/>
      <c r="M109" s="570"/>
      <c r="N109" s="1266"/>
      <c r="O109" s="1266"/>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4"/>
      <c r="Q110" s="485"/>
    </row>
    <row r="111" spans="1:17" s="452" customFormat="1" ht="15" thickTop="1">
      <c r="A111" s="577"/>
      <c r="B111" s="521" t="s">
        <v>2417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5"/>
      <c r="Q113" s="543"/>
    </row>
    <row r="114" spans="1:17" ht="15" thickTop="1">
      <c r="A114" s="583"/>
      <c r="B114" s="521" t="s">
        <v>2418</v>
      </c>
      <c r="C114" s="537"/>
      <c r="D114" s="537"/>
      <c r="E114" s="567"/>
      <c r="F114" s="567"/>
      <c r="G114" s="567"/>
      <c r="H114" s="567"/>
      <c r="I114" s="567"/>
      <c r="J114" s="567"/>
      <c r="K114" s="568"/>
      <c r="L114" s="569"/>
      <c r="M114" s="570"/>
      <c r="N114" s="1266"/>
      <c r="O114" s="1266"/>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4"/>
      <c r="Q115" s="485"/>
    </row>
    <row r="116" spans="1:17" ht="15" thickTop="1">
      <c r="A116" s="583"/>
      <c r="B116" s="521" t="s">
        <v>2419</v>
      </c>
      <c r="C116" s="537"/>
      <c r="D116" s="537"/>
      <c r="E116" s="537"/>
      <c r="F116" s="537"/>
      <c r="G116" s="537"/>
      <c r="H116" s="567"/>
      <c r="I116" s="567"/>
      <c r="J116" s="567"/>
      <c r="K116" s="568"/>
      <c r="L116" s="569"/>
      <c r="M116" s="570"/>
      <c r="N116" s="1266"/>
      <c r="O116" s="1266"/>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4"/>
      <c r="Q117" s="485"/>
    </row>
    <row r="118" spans="1:17" ht="15" thickTop="1">
      <c r="A118" s="583"/>
      <c r="B118" s="521" t="s">
        <v>2420</v>
      </c>
      <c r="C118" s="567"/>
      <c r="D118" s="567"/>
      <c r="E118" s="567"/>
      <c r="F118" s="567"/>
      <c r="G118" s="567"/>
      <c r="H118" s="567"/>
      <c r="I118" s="567"/>
      <c r="J118" s="567"/>
      <c r="K118" s="568"/>
      <c r="L118" s="569"/>
      <c r="M118" s="570"/>
      <c r="N118" s="1266"/>
      <c r="O118" s="1266"/>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4"/>
      <c r="Q119" s="485"/>
    </row>
    <row r="120" spans="1:17" s="452" customFormat="1" ht="28.5" thickTop="1">
      <c r="A120" s="577"/>
      <c r="B120" s="521" t="s">
        <v>2374</v>
      </c>
      <c r="C120" s="537"/>
      <c r="D120" s="537"/>
      <c r="E120" s="537"/>
      <c r="F120" s="537"/>
      <c r="G120" s="537"/>
      <c r="H120" s="537"/>
      <c r="I120" s="537"/>
      <c r="J120" s="537"/>
      <c r="K120" s="537"/>
      <c r="L120" s="564"/>
      <c r="M120" s="565"/>
      <c r="N120" s="1268"/>
      <c r="O120" s="1268"/>
      <c r="P120" s="2425"/>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5"/>
      <c r="Q121" s="543"/>
    </row>
    <row r="122" spans="1:17" ht="15" thickTop="1">
      <c r="A122" s="583"/>
      <c r="B122" s="521" t="s">
        <v>2421</v>
      </c>
      <c r="C122" s="537"/>
      <c r="D122" s="537"/>
      <c r="E122" s="537"/>
      <c r="F122" s="567"/>
      <c r="G122" s="567"/>
      <c r="H122" s="567"/>
      <c r="I122" s="567"/>
      <c r="J122" s="567"/>
      <c r="K122" s="568"/>
      <c r="L122" s="569"/>
      <c r="M122" s="570"/>
      <c r="N122" s="1266"/>
      <c r="O122" s="1266"/>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7"/>
      <c r="O123" s="1267"/>
      <c r="P123" s="2424"/>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4"/>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5"/>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5"/>
      <c r="Q127" s="543"/>
    </row>
    <row r="128" spans="1:17" ht="15" thickTop="1">
      <c r="A128" s="583"/>
      <c r="B128" s="521">
        <f>B45</f>
        <v>111</v>
      </c>
      <c r="C128" s="537"/>
      <c r="D128" s="537"/>
      <c r="E128" s="537"/>
      <c r="F128" s="537"/>
      <c r="G128" s="567"/>
      <c r="H128" s="567"/>
      <c r="I128" s="567"/>
      <c r="J128" s="567"/>
      <c r="K128" s="568"/>
      <c r="L128" s="569"/>
      <c r="M128" s="570"/>
      <c r="N128" s="1266"/>
      <c r="O128" s="1266"/>
      <c r="P128" s="2424"/>
      <c r="Q128" s="485"/>
    </row>
    <row r="129" spans="1:17" ht="15.75" thickBot="1">
      <c r="A129" s="516"/>
      <c r="B129" s="526"/>
      <c r="C129" s="544"/>
      <c r="D129" s="544"/>
      <c r="E129" s="544"/>
      <c r="F129" s="544"/>
      <c r="G129" s="518"/>
      <c r="H129" s="518"/>
      <c r="I129" s="518"/>
      <c r="J129" s="518"/>
      <c r="K129" s="518"/>
      <c r="L129" s="518"/>
      <c r="M129" s="519"/>
      <c r="N129" s="1267"/>
      <c r="O129" s="1267"/>
      <c r="P129" s="2424"/>
      <c r="Q129" s="485"/>
    </row>
    <row r="130" spans="1:17" ht="15" thickTop="1">
      <c r="A130" s="583"/>
      <c r="B130" s="529">
        <f>B46</f>
        <v>111</v>
      </c>
      <c r="C130" s="537"/>
      <c r="D130" s="537"/>
      <c r="E130" s="537"/>
      <c r="F130" s="537"/>
      <c r="G130" s="571"/>
      <c r="H130" s="571"/>
      <c r="I130" s="571"/>
      <c r="J130" s="571"/>
      <c r="K130" s="504"/>
      <c r="L130" s="505"/>
      <c r="M130" s="574"/>
      <c r="N130" s="1266"/>
      <c r="O130" s="1266"/>
      <c r="P130" s="2424"/>
      <c r="Q130" s="485"/>
    </row>
    <row r="131" spans="1:17" ht="15.75" thickBot="1">
      <c r="A131" s="2430"/>
      <c r="B131" s="553"/>
      <c r="C131" s="554"/>
      <c r="D131" s="554"/>
      <c r="E131" s="554"/>
      <c r="F131" s="554"/>
      <c r="G131" s="575"/>
      <c r="H131" s="575"/>
      <c r="I131" s="575"/>
      <c r="J131" s="575"/>
      <c r="K131" s="575"/>
      <c r="L131" s="575"/>
      <c r="M131" s="576"/>
      <c r="N131" s="1267"/>
      <c r="O131" s="1267"/>
      <c r="P131" s="2424"/>
      <c r="Q131" s="485"/>
    </row>
    <row r="136" spans="1:17" ht="15" thickBot="1">
      <c r="B136" s="2431" t="s">
        <v>2423</v>
      </c>
    </row>
    <row r="137" spans="1:17" ht="15">
      <c r="B137" s="2432" t="s">
        <v>2424</v>
      </c>
      <c r="C137" s="2433"/>
      <c r="D137" s="2433"/>
      <c r="E137" s="2433"/>
      <c r="F137" s="2433"/>
      <c r="G137" s="2434"/>
      <c r="H137" s="2435"/>
      <c r="I137" s="2436" t="s">
        <v>2425</v>
      </c>
      <c r="J137" s="2433"/>
      <c r="K137" s="2437"/>
    </row>
    <row r="138" spans="1:17" ht="15">
      <c r="B138" s="2438"/>
      <c r="C138" s="62" t="s">
        <v>2426</v>
      </c>
      <c r="D138" s="62" t="s">
        <v>2427</v>
      </c>
      <c r="E138" s="2439" t="s">
        <v>2428</v>
      </c>
      <c r="F138" s="2440" t="s">
        <v>2429</v>
      </c>
      <c r="G138" s="62" t="s">
        <v>2427</v>
      </c>
      <c r="H138" s="63" t="s">
        <v>2428</v>
      </c>
      <c r="I138" s="2441"/>
      <c r="J138" s="62" t="s">
        <v>2430</v>
      </c>
      <c r="K138" s="63" t="s">
        <v>2431</v>
      </c>
    </row>
    <row r="139" spans="1:17" ht="15">
      <c r="B139" s="1124">
        <v>6</v>
      </c>
      <c r="C139" s="1132">
        <v>96</v>
      </c>
      <c r="D139" s="2442" t="s">
        <v>2432</v>
      </c>
      <c r="E139" s="1133">
        <v>100</v>
      </c>
      <c r="F139" s="1134">
        <v>102.5</v>
      </c>
      <c r="G139" s="2442" t="s">
        <v>2432</v>
      </c>
      <c r="H139" s="1135">
        <v>105</v>
      </c>
      <c r="I139" s="2443" t="s">
        <v>2433</v>
      </c>
      <c r="J139" s="1132">
        <v>20</v>
      </c>
      <c r="K139" s="1126">
        <f>C145/(J139-2)</f>
        <v>4.0555555555555553E-3</v>
      </c>
    </row>
    <row r="140" spans="1:17" ht="15">
      <c r="B140" s="1125">
        <v>5</v>
      </c>
      <c r="C140" s="1136">
        <v>100</v>
      </c>
      <c r="D140" s="1136"/>
      <c r="E140" s="1137"/>
      <c r="F140" s="1138">
        <v>102</v>
      </c>
      <c r="G140" s="1136"/>
      <c r="H140" s="1139"/>
      <c r="I140" s="2444" t="s">
        <v>2434</v>
      </c>
      <c r="J140" s="217">
        <f>ROUNDUP((J139-1)/2,0)</f>
        <v>10</v>
      </c>
      <c r="K140" s="1127">
        <v>100</v>
      </c>
    </row>
    <row r="141" spans="1:17" ht="15">
      <c r="B141" s="1125">
        <v>4</v>
      </c>
      <c r="C141" s="1136">
        <v>102</v>
      </c>
      <c r="D141" s="1136"/>
      <c r="E141" s="1137"/>
      <c r="F141" s="1138">
        <v>101.5</v>
      </c>
      <c r="G141" s="1136"/>
      <c r="H141" s="1139"/>
      <c r="I141" s="2444" t="s">
        <v>2435</v>
      </c>
      <c r="J141" s="217">
        <v>1</v>
      </c>
      <c r="K141" s="1128">
        <f>ROUND(100+(J141-J140)*K139*100,1)</f>
        <v>96.4</v>
      </c>
    </row>
    <row r="142" spans="1:17" ht="15">
      <c r="B142" s="1125">
        <v>3</v>
      </c>
      <c r="C142" s="1136">
        <v>103</v>
      </c>
      <c r="D142" s="1136"/>
      <c r="E142" s="1137"/>
      <c r="F142" s="1138">
        <v>101</v>
      </c>
      <c r="G142" s="1136"/>
      <c r="H142" s="1139"/>
      <c r="I142" s="2444" t="s">
        <v>2436</v>
      </c>
      <c r="J142" s="217">
        <f>J139</f>
        <v>20</v>
      </c>
      <c r="K142" s="1141">
        <v>95</v>
      </c>
    </row>
    <row r="143" spans="1:17" ht="15">
      <c r="B143" s="1125">
        <v>2</v>
      </c>
      <c r="C143" s="1136">
        <v>100</v>
      </c>
      <c r="D143" s="1136"/>
      <c r="E143" s="1137"/>
      <c r="F143" s="1138">
        <v>100.5</v>
      </c>
      <c r="G143" s="1136"/>
      <c r="H143" s="1139"/>
      <c r="I143" s="2444" t="s">
        <v>2437</v>
      </c>
      <c r="J143" s="1136">
        <v>15</v>
      </c>
      <c r="K143" s="1128">
        <f>ROUND(100+(J143-J140)*K139*100,1)</f>
        <v>102</v>
      </c>
    </row>
    <row r="144" spans="1:17" ht="15">
      <c r="B144" s="1125">
        <v>1</v>
      </c>
      <c r="C144" s="1136">
        <v>98</v>
      </c>
      <c r="D144" s="2445" t="s">
        <v>2438</v>
      </c>
      <c r="E144" s="1137">
        <v>102</v>
      </c>
      <c r="F144" s="1140">
        <v>100</v>
      </c>
      <c r="G144" s="2445" t="s">
        <v>2438</v>
      </c>
      <c r="H144" s="1139">
        <v>105</v>
      </c>
      <c r="I144" s="2444" t="s">
        <v>2437</v>
      </c>
      <c r="J144" s="1136">
        <v>18</v>
      </c>
      <c r="K144" s="1128">
        <f>ROUND(100+(J144-J140)*K139*100,1)</f>
        <v>103.2</v>
      </c>
    </row>
    <row r="145" spans="2:11" ht="15.75" thickBot="1">
      <c r="B145" s="2446" t="s">
        <v>2439</v>
      </c>
      <c r="C145" s="1130">
        <f>ROUND(MAX(C139:C144)/MIN(C139:C144)-1,3)</f>
        <v>7.2999999999999995E-2</v>
      </c>
      <c r="D145" s="1131"/>
      <c r="E145" s="1131"/>
      <c r="F145" s="2447" t="s">
        <v>2440</v>
      </c>
      <c r="G145" s="2448"/>
      <c r="H145" s="2449"/>
      <c r="I145" s="2450" t="s">
        <v>2437</v>
      </c>
      <c r="J145" s="1142">
        <v>8</v>
      </c>
      <c r="K145" s="1129">
        <f>ROUND(100+(J145-J140)*K139*100,1)</f>
        <v>99.2</v>
      </c>
    </row>
    <row r="147" spans="2:11">
      <c r="B147" s="2431" t="s">
        <v>2441</v>
      </c>
    </row>
    <row r="148" spans="2:11">
      <c r="B148" s="2431" t="s">
        <v>2442</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2330</v>
      </c>
      <c r="B1" s="1732" t="s">
        <v>2443</v>
      </c>
      <c r="C1" s="1724"/>
      <c r="D1" s="2451"/>
      <c r="E1" s="2380"/>
      <c r="F1" s="1738" t="s">
        <v>2332</v>
      </c>
      <c r="G1" s="1737"/>
      <c r="H1" s="1737"/>
      <c r="I1" s="1737"/>
      <c r="J1" s="1737"/>
      <c r="K1" s="1739"/>
      <c r="L1" s="1731"/>
      <c r="M1" s="1732"/>
      <c r="N1" s="1732"/>
      <c r="O1" s="1732"/>
      <c r="P1" s="2381"/>
      <c r="Q1" s="1733"/>
      <c r="R1" s="1733"/>
      <c r="S1" s="1733"/>
      <c r="T1" s="1733"/>
      <c r="U1" s="1733"/>
      <c r="V1" s="1733"/>
      <c r="W1" s="1733"/>
      <c r="X1" s="1733"/>
      <c r="Y1" s="1733"/>
      <c r="Z1" s="1733"/>
      <c r="AA1" s="1733"/>
      <c r="AB1" s="1733"/>
      <c r="AC1" s="1734"/>
    </row>
    <row r="2" spans="1:29" s="377" customFormat="1" ht="28.5" customHeight="1" thickTop="1">
      <c r="A2" s="1725" t="s">
        <v>2000</v>
      </c>
      <c r="B2" s="1723"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0"/>
      <c r="M2" s="1241"/>
      <c r="N2" s="1241"/>
      <c r="O2" s="1241"/>
      <c r="P2" s="2453"/>
      <c r="Q2" s="747"/>
      <c r="R2" s="747"/>
      <c r="S2" s="747"/>
      <c r="T2" s="747"/>
      <c r="U2" s="747"/>
      <c r="V2" s="747"/>
      <c r="W2" s="747"/>
      <c r="X2" s="747"/>
      <c r="Y2" s="747"/>
      <c r="Z2" s="747"/>
      <c r="AA2" s="747"/>
      <c r="AB2" s="747"/>
      <c r="AC2" s="748"/>
    </row>
    <row r="3" spans="1:29" s="377" customFormat="1" ht="28.5" customHeight="1" thickBot="1">
      <c r="A3" s="167" t="s">
        <v>2001</v>
      </c>
      <c r="B3" s="593" t="e">
        <f ca="1">ROUND(IF(D2="——",C49,IF(C2="万元",B2*10000/D3,B2/D3)),0)</f>
        <v>#DIV/0!</v>
      </c>
      <c r="C3" s="379" t="s">
        <v>2333</v>
      </c>
      <c r="D3" s="378">
        <f>IF(C1="仅计算典型户型",'数据-取费表'!E5,'数据-取费表'!B5)</f>
        <v>218.48</v>
      </c>
      <c r="E3" s="2454"/>
      <c r="F3" s="982"/>
      <c r="G3" s="981"/>
      <c r="H3" s="981"/>
      <c r="I3" s="981"/>
      <c r="J3" s="981"/>
      <c r="K3" s="983"/>
      <c r="L3" s="1240"/>
      <c r="M3" s="1241"/>
      <c r="N3" s="1241"/>
      <c r="O3" s="1241"/>
      <c r="P3" s="2453"/>
      <c r="Q3" s="747"/>
      <c r="R3" s="747"/>
      <c r="S3" s="747"/>
      <c r="T3" s="747"/>
      <c r="U3" s="747"/>
      <c r="V3" s="747"/>
      <c r="W3" s="747"/>
      <c r="X3" s="747"/>
      <c r="Y3" s="747"/>
      <c r="Z3" s="747"/>
      <c r="AA3" s="747"/>
      <c r="AB3" s="747"/>
      <c r="AC3" s="761"/>
    </row>
    <row r="4" spans="1:29" ht="15">
      <c r="A4" s="380" t="s">
        <v>2334</v>
      </c>
      <c r="B4" s="381"/>
      <c r="C4" s="3008" t="s">
        <v>2335</v>
      </c>
      <c r="D4" s="3009"/>
      <c r="E4" s="3010" t="s">
        <v>2336</v>
      </c>
      <c r="F4" s="3011"/>
      <c r="G4" s="3008" t="s">
        <v>2337</v>
      </c>
      <c r="H4" s="3009"/>
      <c r="I4" s="3008" t="s">
        <v>2338</v>
      </c>
      <c r="J4" s="3009"/>
      <c r="K4" s="594" t="s">
        <v>2339</v>
      </c>
      <c r="L4" s="1242"/>
      <c r="M4" s="1243"/>
      <c r="N4" s="1243"/>
      <c r="O4" s="1243"/>
      <c r="P4" s="3064" t="s">
        <v>2340</v>
      </c>
      <c r="Q4" s="3001"/>
      <c r="R4" s="2994" t="s">
        <v>2336</v>
      </c>
      <c r="S4" s="2995"/>
      <c r="T4" s="2994" t="s">
        <v>2337</v>
      </c>
      <c r="U4" s="2995"/>
      <c r="V4" s="3016" t="s">
        <v>2338</v>
      </c>
      <c r="W4" s="3016"/>
      <c r="X4" s="1898"/>
      <c r="Y4" s="2994" t="s">
        <v>2340</v>
      </c>
      <c r="Z4" s="2995"/>
      <c r="AA4" s="3005" t="s">
        <v>2336</v>
      </c>
      <c r="AB4" s="3016" t="s">
        <v>2337</v>
      </c>
      <c r="AC4" s="3005" t="s">
        <v>2338</v>
      </c>
    </row>
    <row r="5" spans="1:29" ht="15">
      <c r="A5" s="383"/>
      <c r="B5" s="384"/>
      <c r="C5" s="3023" t="s">
        <v>2341</v>
      </c>
      <c r="D5" s="3020"/>
      <c r="E5" s="3017" t="s">
        <v>2342</v>
      </c>
      <c r="F5" s="3018"/>
      <c r="G5" s="3023" t="s">
        <v>2343</v>
      </c>
      <c r="H5" s="3020"/>
      <c r="I5" s="3023" t="s">
        <v>2344</v>
      </c>
      <c r="J5" s="3020"/>
      <c r="K5" s="594"/>
      <c r="L5" s="1242"/>
      <c r="M5" s="1243"/>
      <c r="N5" s="1243"/>
      <c r="O5" s="1243"/>
      <c r="P5" s="3065"/>
      <c r="Q5" s="3002"/>
      <c r="R5" s="2996"/>
      <c r="S5" s="2997"/>
      <c r="T5" s="2996"/>
      <c r="U5" s="2997"/>
      <c r="V5" s="3016"/>
      <c r="W5" s="3016"/>
      <c r="X5" s="1898"/>
      <c r="Y5" s="2996"/>
      <c r="Z5" s="2997"/>
      <c r="AA5" s="3006"/>
      <c r="AB5" s="3016"/>
      <c r="AC5" s="3006"/>
    </row>
    <row r="6" spans="1:29" ht="15.75" thickBot="1">
      <c r="A6" s="385"/>
      <c r="B6" s="386"/>
      <c r="C6" s="3021" t="s">
        <v>2345</v>
      </c>
      <c r="D6" s="3022"/>
      <c r="E6" s="3024" t="s">
        <v>2345</v>
      </c>
      <c r="F6" s="3025"/>
      <c r="G6" s="3021" t="s">
        <v>2345</v>
      </c>
      <c r="H6" s="3022"/>
      <c r="I6" s="3021" t="s">
        <v>2345</v>
      </c>
      <c r="J6" s="3022"/>
      <c r="K6" s="594" t="s">
        <v>2346</v>
      </c>
      <c r="L6" s="1242"/>
      <c r="M6" s="1243"/>
      <c r="N6" s="1243"/>
      <c r="O6" s="1243"/>
      <c r="P6" s="3066"/>
      <c r="Q6" s="3015"/>
      <c r="R6" s="2996"/>
      <c r="S6" s="2997"/>
      <c r="T6" s="2998"/>
      <c r="U6" s="2999"/>
      <c r="V6" s="3016"/>
      <c r="W6" s="3016"/>
      <c r="X6" s="1898"/>
      <c r="Y6" s="2998"/>
      <c r="Z6" s="2999"/>
      <c r="AA6" s="3007"/>
      <c r="AB6" s="3016"/>
      <c r="AC6" s="3007"/>
    </row>
    <row r="7" spans="1:29" s="35" customFormat="1" ht="15.75" thickBot="1">
      <c r="A7" s="387" t="s">
        <v>2347</v>
      </c>
      <c r="B7" s="388"/>
      <c r="C7" s="389">
        <f>'数据-取费表'!B2</f>
        <v>43257</v>
      </c>
      <c r="D7" s="390">
        <v>100</v>
      </c>
      <c r="E7" s="391"/>
      <c r="F7" s="392">
        <f>SUMIF(58:58,YEAR(E7)&amp;"-"&amp;MONTH(E7),59:59)</f>
        <v>0</v>
      </c>
      <c r="G7" s="391"/>
      <c r="H7" s="390">
        <f>SUMIF(58:58,YEAR(G7)&amp;"-"&amp;MONTH(G7),59:59)</f>
        <v>0</v>
      </c>
      <c r="I7" s="391"/>
      <c r="J7" s="390">
        <f>SUMIF(58:58,YEAR(I7)&amp;"-"&amp;MONTH(I7),59:59)</f>
        <v>0</v>
      </c>
      <c r="K7" s="595"/>
      <c r="L7" s="1244"/>
      <c r="M7" s="1245"/>
      <c r="N7" s="1245"/>
      <c r="O7" s="1245"/>
      <c r="P7" s="2992" t="s">
        <v>2348</v>
      </c>
      <c r="Q7" s="3000"/>
      <c r="R7" s="749" t="s">
        <v>25</v>
      </c>
      <c r="S7" s="750">
        <f t="shared" ref="S7:S15" si="0">F7</f>
        <v>0</v>
      </c>
      <c r="T7" s="749" t="s">
        <v>25</v>
      </c>
      <c r="U7" s="750">
        <f t="shared" ref="U7:U15" si="1">H7</f>
        <v>0</v>
      </c>
      <c r="V7" s="749" t="s">
        <v>25</v>
      </c>
      <c r="W7" s="750">
        <f t="shared" ref="W7:W15" si="2">J7</f>
        <v>0</v>
      </c>
      <c r="X7" s="751"/>
      <c r="Y7" s="2992" t="s">
        <v>2348</v>
      </c>
      <c r="Z7" s="2993"/>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2992" t="s">
        <v>2351</v>
      </c>
      <c r="Q8" s="2993"/>
      <c r="R8" s="749" t="s">
        <v>25</v>
      </c>
      <c r="S8" s="750">
        <f t="shared" si="0"/>
        <v>0</v>
      </c>
      <c r="T8" s="749" t="s">
        <v>25</v>
      </c>
      <c r="U8" s="750">
        <f t="shared" si="1"/>
        <v>0</v>
      </c>
      <c r="V8" s="749" t="s">
        <v>25</v>
      </c>
      <c r="W8" s="750">
        <f t="shared" si="2"/>
        <v>0</v>
      </c>
      <c r="X8" s="751"/>
      <c r="Y8" s="2992" t="s">
        <v>2351</v>
      </c>
      <c r="Z8" s="2993"/>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63" t="s">
        <v>2354</v>
      </c>
      <c r="Q9" s="1885" t="str">
        <f t="shared" ref="Q9:Q15" si="6">B9</f>
        <v>用途</v>
      </c>
      <c r="R9" s="749" t="s">
        <v>25</v>
      </c>
      <c r="S9" s="750">
        <f t="shared" si="0"/>
        <v>100</v>
      </c>
      <c r="T9" s="749" t="s">
        <v>25</v>
      </c>
      <c r="U9" s="750">
        <f t="shared" si="1"/>
        <v>100</v>
      </c>
      <c r="V9" s="749" t="s">
        <v>25</v>
      </c>
      <c r="W9" s="750">
        <f t="shared" si="2"/>
        <v>100</v>
      </c>
      <c r="X9" s="751"/>
      <c r="Y9" s="2843"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63"/>
      <c r="Q10" s="1885"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63"/>
      <c r="Q11" s="1885"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63"/>
      <c r="Q12" s="1885">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63"/>
      <c r="Q13" s="1885">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63"/>
      <c r="Q14" s="1885">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15">
      <c r="A15" s="419" t="s">
        <v>2358</v>
      </c>
      <c r="B15" s="26" t="s">
        <v>2444</v>
      </c>
      <c r="C15" s="2401">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58" t="s">
        <v>2359</v>
      </c>
      <c r="Q15" s="1897" t="str">
        <f t="shared" si="6"/>
        <v>商业繁华度</v>
      </c>
      <c r="R15" s="753" t="s">
        <v>25</v>
      </c>
      <c r="S15" s="754">
        <f t="shared" si="0"/>
        <v>100</v>
      </c>
      <c r="T15" s="753" t="s">
        <v>25</v>
      </c>
      <c r="U15" s="754">
        <f t="shared" si="1"/>
        <v>100</v>
      </c>
      <c r="V15" s="753" t="s">
        <v>25</v>
      </c>
      <c r="W15" s="754">
        <f t="shared" si="2"/>
        <v>100</v>
      </c>
      <c r="X15" s="1898"/>
      <c r="Y15" s="3003" t="s">
        <v>2359</v>
      </c>
      <c r="Z15" s="1900" t="str">
        <f t="shared" si="7"/>
        <v>商业繁华度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43"/>
      <c r="P16" s="3059"/>
      <c r="Q16" s="1897"/>
      <c r="R16" s="753"/>
      <c r="S16" s="754"/>
      <c r="T16" s="753"/>
      <c r="U16" s="754"/>
      <c r="V16" s="753"/>
      <c r="W16" s="754"/>
      <c r="X16" s="1898"/>
      <c r="Y16" s="3004"/>
      <c r="Z16" s="1900"/>
      <c r="AA16" s="1901">
        <v>1</v>
      </c>
      <c r="AB16" s="1901">
        <v>1</v>
      </c>
      <c r="AC16" s="1901">
        <v>1</v>
      </c>
    </row>
    <row r="17" spans="1:29" ht="15">
      <c r="A17" s="408"/>
      <c r="B17" s="431" t="s">
        <v>1743</v>
      </c>
      <c r="C17" s="2404" t="str">
        <f>估价对象房地状况!C6</f>
        <v>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59"/>
      <c r="Q17" s="1897" t="str">
        <f>B17</f>
        <v>交通便捷度</v>
      </c>
      <c r="R17" s="753" t="s">
        <v>25</v>
      </c>
      <c r="S17" s="754">
        <f>F17</f>
        <v>100</v>
      </c>
      <c r="T17" s="753" t="s">
        <v>25</v>
      </c>
      <c r="U17" s="754">
        <f>H17</f>
        <v>100</v>
      </c>
      <c r="V17" s="753" t="s">
        <v>25</v>
      </c>
      <c r="W17" s="754">
        <f>J17</f>
        <v>100</v>
      </c>
      <c r="X17" s="1898"/>
      <c r="Y17" s="3004"/>
      <c r="Z17" s="1900" t="str">
        <f>Q17</f>
        <v>交通便捷度</v>
      </c>
      <c r="AA17" s="1901">
        <f t="shared" si="3"/>
        <v>1</v>
      </c>
      <c r="AB17" s="1901">
        <f t="shared" si="4"/>
        <v>1</v>
      </c>
      <c r="AC17" s="1901">
        <f t="shared" si="5"/>
        <v>1</v>
      </c>
    </row>
    <row r="18" spans="1:29" ht="15">
      <c r="A18" s="408"/>
      <c r="B18" s="436"/>
      <c r="C18" s="437"/>
      <c r="D18" s="430"/>
      <c r="E18" s="1466"/>
      <c r="F18" s="433"/>
      <c r="G18" s="2405"/>
      <c r="H18" s="427"/>
      <c r="I18" s="1466"/>
      <c r="J18" s="427"/>
      <c r="K18" s="599"/>
      <c r="L18" s="1252"/>
      <c r="M18" s="1243"/>
      <c r="N18" s="1243"/>
      <c r="O18" s="1243"/>
      <c r="P18" s="3059"/>
      <c r="Q18" s="1897"/>
      <c r="R18" s="753"/>
      <c r="S18" s="754"/>
      <c r="T18" s="753"/>
      <c r="U18" s="754"/>
      <c r="V18" s="753"/>
      <c r="W18" s="754"/>
      <c r="X18" s="1898"/>
      <c r="Y18" s="3004"/>
      <c r="Z18" s="1900"/>
      <c r="AA18" s="1901">
        <v>1</v>
      </c>
      <c r="AB18" s="1901">
        <v>1</v>
      </c>
      <c r="AC18" s="1901">
        <v>1</v>
      </c>
    </row>
    <row r="19" spans="1:29" ht="15">
      <c r="A19" s="408"/>
      <c r="B19" s="431" t="s">
        <v>2445</v>
      </c>
      <c r="C19" s="2404" t="str">
        <f>估价对象房地状况!C7</f>
        <v>较好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59"/>
      <c r="Q19" s="1897" t="str">
        <f>B19</f>
        <v>公共配套设施</v>
      </c>
      <c r="R19" s="753" t="s">
        <v>25</v>
      </c>
      <c r="S19" s="754">
        <f>F19</f>
        <v>100</v>
      </c>
      <c r="T19" s="753" t="s">
        <v>25</v>
      </c>
      <c r="U19" s="754">
        <f>H19</f>
        <v>100</v>
      </c>
      <c r="V19" s="753" t="s">
        <v>25</v>
      </c>
      <c r="W19" s="754">
        <f>J19</f>
        <v>100</v>
      </c>
      <c r="X19" s="1898"/>
      <c r="Y19" s="3004"/>
      <c r="Z19" s="1900" t="str">
        <f>Q19</f>
        <v>公共配套设施</v>
      </c>
      <c r="AA19" s="1901">
        <f t="shared" si="3"/>
        <v>1</v>
      </c>
      <c r="AB19" s="1901">
        <f t="shared" si="4"/>
        <v>1</v>
      </c>
      <c r="AC19" s="1901">
        <f t="shared" si="5"/>
        <v>1</v>
      </c>
    </row>
    <row r="20" spans="1:29" ht="15">
      <c r="A20" s="408"/>
      <c r="B20" s="436"/>
      <c r="C20" s="426"/>
      <c r="D20" s="427"/>
      <c r="E20" s="428"/>
      <c r="F20" s="429"/>
      <c r="G20" s="2402"/>
      <c r="H20" s="427"/>
      <c r="I20" s="428"/>
      <c r="J20" s="427"/>
      <c r="K20" s="599"/>
      <c r="L20" s="1252"/>
      <c r="M20" s="1243"/>
      <c r="N20" s="1243"/>
      <c r="O20" s="1243"/>
      <c r="P20" s="3059"/>
      <c r="Q20" s="1897"/>
      <c r="R20" s="753"/>
      <c r="S20" s="754"/>
      <c r="T20" s="753"/>
      <c r="U20" s="754"/>
      <c r="V20" s="753"/>
      <c r="W20" s="754"/>
      <c r="X20" s="1898"/>
      <c r="Y20" s="3004"/>
      <c r="Z20" s="1900"/>
      <c r="AA20" s="1901">
        <v>1</v>
      </c>
      <c r="AB20" s="1901">
        <v>1</v>
      </c>
      <c r="AC20" s="1901">
        <v>1</v>
      </c>
    </row>
    <row r="21" spans="1:29" ht="15">
      <c r="A21" s="408"/>
      <c r="B21" s="2406" t="s">
        <v>2446</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59"/>
      <c r="Q21" s="1897" t="str">
        <f>B21</f>
        <v>基础设施水平</v>
      </c>
      <c r="R21" s="753" t="s">
        <v>25</v>
      </c>
      <c r="S21" s="754">
        <f>F21</f>
        <v>100</v>
      </c>
      <c r="T21" s="753" t="s">
        <v>25</v>
      </c>
      <c r="U21" s="754">
        <f>H21</f>
        <v>100</v>
      </c>
      <c r="V21" s="753" t="s">
        <v>25</v>
      </c>
      <c r="W21" s="754">
        <f>J21</f>
        <v>100</v>
      </c>
      <c r="X21" s="1898"/>
      <c r="Y21" s="3004"/>
      <c r="Z21" s="1900" t="str">
        <f>Q21</f>
        <v>基础设施水平</v>
      </c>
      <c r="AA21" s="1901">
        <f t="shared" ref="AA21" si="8">D21/F21</f>
        <v>1</v>
      </c>
      <c r="AB21" s="1901">
        <f t="shared" ref="AB21" si="9">D21/H21</f>
        <v>1</v>
      </c>
      <c r="AC21" s="1901">
        <f t="shared" ref="AC21" si="10">D21/J21</f>
        <v>1</v>
      </c>
    </row>
    <row r="22" spans="1:29" ht="15">
      <c r="A22" s="408"/>
      <c r="B22" s="2406"/>
      <c r="C22" s="437"/>
      <c r="D22" s="427"/>
      <c r="E22" s="426"/>
      <c r="F22" s="429"/>
      <c r="G22" s="426"/>
      <c r="H22" s="427"/>
      <c r="I22" s="426"/>
      <c r="J22" s="427"/>
      <c r="K22" s="1467"/>
      <c r="L22" s="1252"/>
      <c r="M22" s="1243"/>
      <c r="N22" s="1243"/>
      <c r="O22" s="1243"/>
      <c r="P22" s="3059"/>
      <c r="Q22" s="1897"/>
      <c r="R22" s="753"/>
      <c r="S22" s="754"/>
      <c r="T22" s="753"/>
      <c r="U22" s="754"/>
      <c r="V22" s="753"/>
      <c r="W22" s="754"/>
      <c r="X22" s="1898"/>
      <c r="Y22" s="3004"/>
      <c r="Z22" s="1900"/>
      <c r="AA22" s="1901">
        <v>1</v>
      </c>
      <c r="AB22" s="1901">
        <v>1</v>
      </c>
      <c r="AC22" s="1901">
        <v>1</v>
      </c>
    </row>
    <row r="23" spans="1:29" ht="15">
      <c r="A23" s="408"/>
      <c r="B23" s="431" t="s">
        <v>1748</v>
      </c>
      <c r="C23" s="2455" t="str">
        <f>估价对象房地状况!C9</f>
        <v>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59"/>
      <c r="Q23" s="1897" t="str">
        <f>B23</f>
        <v>自然及人文环境</v>
      </c>
      <c r="R23" s="753" t="s">
        <v>25</v>
      </c>
      <c r="S23" s="754">
        <f>F23</f>
        <v>100</v>
      </c>
      <c r="T23" s="753" t="s">
        <v>25</v>
      </c>
      <c r="U23" s="754">
        <f>H23</f>
        <v>100</v>
      </c>
      <c r="V23" s="753" t="s">
        <v>25</v>
      </c>
      <c r="W23" s="754">
        <f>J23</f>
        <v>100</v>
      </c>
      <c r="X23" s="1898"/>
      <c r="Y23" s="3004"/>
      <c r="Z23" s="1900" t="str">
        <f>Q23</f>
        <v>自然及人文环境</v>
      </c>
      <c r="AA23" s="1901">
        <f t="shared" si="3"/>
        <v>1</v>
      </c>
      <c r="AB23" s="1901">
        <f t="shared" si="4"/>
        <v>1</v>
      </c>
      <c r="AC23" s="1901">
        <f t="shared" si="5"/>
        <v>1</v>
      </c>
    </row>
    <row r="24" spans="1:29" ht="15">
      <c r="A24" s="408"/>
      <c r="B24" s="436"/>
      <c r="C24" s="426"/>
      <c r="D24" s="427"/>
      <c r="E24" s="428"/>
      <c r="F24" s="429"/>
      <c r="G24" s="2402"/>
      <c r="H24" s="427"/>
      <c r="I24" s="428"/>
      <c r="J24" s="427"/>
      <c r="K24" s="599"/>
      <c r="L24" s="1252"/>
      <c r="M24" s="1243"/>
      <c r="N24" s="1243"/>
      <c r="O24" s="1243"/>
      <c r="P24" s="3059"/>
      <c r="Q24" s="1897"/>
      <c r="R24" s="753"/>
      <c r="S24" s="754"/>
      <c r="T24" s="753"/>
      <c r="U24" s="754"/>
      <c r="V24" s="753"/>
      <c r="W24" s="754"/>
      <c r="X24" s="1898"/>
      <c r="Y24" s="3004"/>
      <c r="Z24" s="1900"/>
      <c r="AA24" s="1901">
        <v>1</v>
      </c>
      <c r="AB24" s="1901">
        <v>1</v>
      </c>
      <c r="AC24" s="1901">
        <v>1</v>
      </c>
    </row>
    <row r="25" spans="1:29" ht="15">
      <c r="A25" s="408"/>
      <c r="B25" s="402" t="s">
        <v>2447</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59"/>
      <c r="Q25" s="1897" t="str">
        <f t="shared" ref="Q25:Q46" si="11">B25</f>
        <v>临街状况</v>
      </c>
      <c r="R25" s="753" t="s">
        <v>25</v>
      </c>
      <c r="S25" s="754">
        <f>F25</f>
        <v>100</v>
      </c>
      <c r="T25" s="753" t="s">
        <v>25</v>
      </c>
      <c r="U25" s="754">
        <f>H25</f>
        <v>100</v>
      </c>
      <c r="V25" s="753" t="s">
        <v>25</v>
      </c>
      <c r="W25" s="754">
        <f>J25</f>
        <v>100</v>
      </c>
      <c r="X25" s="1898"/>
      <c r="Y25" s="3004"/>
      <c r="Z25" s="1900" t="str">
        <f>Q25</f>
        <v>临街状况</v>
      </c>
      <c r="AA25" s="1901">
        <f t="shared" si="3"/>
        <v>1</v>
      </c>
      <c r="AB25" s="1901">
        <f t="shared" si="4"/>
        <v>1</v>
      </c>
      <c r="AC25" s="1901">
        <f t="shared" si="5"/>
        <v>1</v>
      </c>
    </row>
    <row r="26" spans="1:29" ht="15">
      <c r="A26" s="408"/>
      <c r="B26" s="2410" t="s">
        <v>2448</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59"/>
      <c r="Q26" s="1897" t="str">
        <f t="shared" si="11"/>
        <v>平面位置/可视性</v>
      </c>
      <c r="R26" s="753" t="s">
        <v>25</v>
      </c>
      <c r="S26" s="754">
        <f>F26</f>
        <v>100</v>
      </c>
      <c r="T26" s="753" t="s">
        <v>25</v>
      </c>
      <c r="U26" s="754">
        <f>H26</f>
        <v>100</v>
      </c>
      <c r="V26" s="753" t="s">
        <v>25</v>
      </c>
      <c r="W26" s="754">
        <f>J26</f>
        <v>100</v>
      </c>
      <c r="X26" s="1898"/>
      <c r="Y26" s="3004"/>
      <c r="Z26" s="1900" t="str">
        <f>Q26</f>
        <v>平面位置/可视性</v>
      </c>
      <c r="AA26" s="1901">
        <f t="shared" si="3"/>
        <v>1</v>
      </c>
      <c r="AB26" s="1901">
        <f t="shared" si="4"/>
        <v>1</v>
      </c>
      <c r="AC26" s="1901">
        <f t="shared" si="5"/>
        <v>1</v>
      </c>
    </row>
    <row r="27" spans="1:29" s="35" customFormat="1" ht="15">
      <c r="A27" s="411"/>
      <c r="B27" s="431" t="s">
        <v>2449</v>
      </c>
      <c r="C27" s="2456"/>
      <c r="D27" s="443">
        <v>100</v>
      </c>
      <c r="E27" s="2456"/>
      <c r="F27" s="445">
        <f>SUMIF(90:90,E27,91:91)-SUMIF(90:90,C27,91:91)+100</f>
        <v>100</v>
      </c>
      <c r="G27" s="2456"/>
      <c r="H27" s="443">
        <f>SUMIF(90:90,G27,91:91)-SUMIF(90:90,C27,91:91)+100</f>
        <v>100</v>
      </c>
      <c r="I27" s="2456"/>
      <c r="J27" s="443">
        <f>SUMIF(90:90,I27,91:91)-SUMIF(90:90,C27,91:91)+100</f>
        <v>100</v>
      </c>
      <c r="K27" s="596"/>
      <c r="L27" s="1244"/>
      <c r="M27" s="1245"/>
      <c r="N27" s="1245"/>
      <c r="O27" s="1245"/>
      <c r="P27" s="3059"/>
      <c r="Q27" s="1885" t="str">
        <f t="shared" si="11"/>
        <v>人流量</v>
      </c>
      <c r="R27" s="749" t="s">
        <v>25</v>
      </c>
      <c r="S27" s="750">
        <f>F27</f>
        <v>100</v>
      </c>
      <c r="T27" s="749" t="s">
        <v>25</v>
      </c>
      <c r="U27" s="750">
        <f>H27</f>
        <v>100</v>
      </c>
      <c r="V27" s="749" t="s">
        <v>25</v>
      </c>
      <c r="W27" s="750">
        <f>J27</f>
        <v>100</v>
      </c>
      <c r="X27" s="751"/>
      <c r="Y27" s="3004"/>
      <c r="Z27" s="23" t="str">
        <f>Q27</f>
        <v>人流量</v>
      </c>
      <c r="AA27" s="1901">
        <f>D27/F27</f>
        <v>1</v>
      </c>
      <c r="AB27" s="1901">
        <f>D27/H27</f>
        <v>1</v>
      </c>
      <c r="AC27" s="1901">
        <f>D27/J27</f>
        <v>1</v>
      </c>
    </row>
    <row r="28" spans="1:29" ht="15">
      <c r="A28" s="408"/>
      <c r="B28" s="402" t="s">
        <v>2450</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59"/>
      <c r="Q28" s="1897" t="str">
        <f t="shared" si="11"/>
        <v>楼层</v>
      </c>
      <c r="R28" s="753" t="s">
        <v>25</v>
      </c>
      <c r="S28" s="754">
        <f t="shared" ref="S28:S46" si="12">F28</f>
        <v>100</v>
      </c>
      <c r="T28" s="753" t="s">
        <v>25</v>
      </c>
      <c r="U28" s="754">
        <f t="shared" ref="U28:U46" si="13">H28</f>
        <v>100</v>
      </c>
      <c r="V28" s="753" t="s">
        <v>25</v>
      </c>
      <c r="W28" s="754">
        <f t="shared" ref="W28:W46" si="14">J28</f>
        <v>100</v>
      </c>
      <c r="X28" s="1898"/>
      <c r="Y28" s="3004"/>
      <c r="Z28" s="1900" t="str">
        <f t="shared" ref="Z28:Z46" si="15">Q28</f>
        <v>楼层</v>
      </c>
      <c r="AA28" s="1901">
        <f t="shared" si="3"/>
        <v>1</v>
      </c>
      <c r="AB28" s="1901">
        <f t="shared" si="4"/>
        <v>1</v>
      </c>
      <c r="AC28" s="1901">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59"/>
      <c r="Q29" s="1897">
        <f t="shared" si="11"/>
        <v>111</v>
      </c>
      <c r="R29" s="753" t="s">
        <v>25</v>
      </c>
      <c r="S29" s="754">
        <f t="shared" si="12"/>
        <v>100</v>
      </c>
      <c r="T29" s="753" t="s">
        <v>25</v>
      </c>
      <c r="U29" s="754">
        <f t="shared" si="13"/>
        <v>100</v>
      </c>
      <c r="V29" s="753" t="s">
        <v>25</v>
      </c>
      <c r="W29" s="754">
        <f t="shared" si="14"/>
        <v>100</v>
      </c>
      <c r="X29" s="1898"/>
      <c r="Y29" s="3004"/>
      <c r="Z29" s="1900">
        <f t="shared" si="15"/>
        <v>111</v>
      </c>
      <c r="AA29" s="1901">
        <f t="shared" si="3"/>
        <v>1</v>
      </c>
      <c r="AB29" s="1901">
        <f t="shared" si="4"/>
        <v>1</v>
      </c>
      <c r="AC29" s="1901">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59"/>
      <c r="Q30" s="1897">
        <f t="shared" si="11"/>
        <v>111</v>
      </c>
      <c r="R30" s="753" t="s">
        <v>25</v>
      </c>
      <c r="S30" s="754">
        <f t="shared" si="12"/>
        <v>100</v>
      </c>
      <c r="T30" s="753" t="s">
        <v>25</v>
      </c>
      <c r="U30" s="754">
        <f t="shared" si="13"/>
        <v>100</v>
      </c>
      <c r="V30" s="753" t="s">
        <v>25</v>
      </c>
      <c r="W30" s="754">
        <f t="shared" si="14"/>
        <v>100</v>
      </c>
      <c r="X30" s="1898"/>
      <c r="Y30" s="3004"/>
      <c r="Z30" s="1900">
        <f t="shared" si="15"/>
        <v>111</v>
      </c>
      <c r="AA30" s="1901">
        <f t="shared" si="3"/>
        <v>1</v>
      </c>
      <c r="AB30" s="1901">
        <f t="shared" si="4"/>
        <v>1</v>
      </c>
      <c r="AC30" s="1901">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59"/>
      <c r="Q31" s="1897">
        <f t="shared" si="11"/>
        <v>111</v>
      </c>
      <c r="R31" s="753" t="s">
        <v>25</v>
      </c>
      <c r="S31" s="754">
        <f t="shared" si="12"/>
        <v>100</v>
      </c>
      <c r="T31" s="753" t="s">
        <v>25</v>
      </c>
      <c r="U31" s="754">
        <f t="shared" si="13"/>
        <v>100</v>
      </c>
      <c r="V31" s="753" t="s">
        <v>25</v>
      </c>
      <c r="W31" s="754">
        <f t="shared" si="14"/>
        <v>100</v>
      </c>
      <c r="X31" s="1898"/>
      <c r="Y31" s="3004"/>
      <c r="Z31" s="1900">
        <f t="shared" si="15"/>
        <v>111</v>
      </c>
      <c r="AA31" s="1901">
        <f t="shared" si="3"/>
        <v>1</v>
      </c>
      <c r="AB31" s="1901">
        <f t="shared" si="4"/>
        <v>1</v>
      </c>
      <c r="AC31" s="1901">
        <f t="shared" si="5"/>
        <v>1</v>
      </c>
    </row>
    <row r="32" spans="1:29" ht="15">
      <c r="A32" s="419" t="s">
        <v>2363</v>
      </c>
      <c r="B32" s="28" t="s">
        <v>2451</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2"/>
      <c r="M32" s="1243"/>
      <c r="N32" s="1243"/>
      <c r="O32" s="1243"/>
      <c r="P32" s="3060" t="s">
        <v>2365</v>
      </c>
      <c r="Q32" s="1897" t="str">
        <f t="shared" si="11"/>
        <v>商业类型</v>
      </c>
      <c r="R32" s="753" t="s">
        <v>25</v>
      </c>
      <c r="S32" s="754">
        <f t="shared" si="12"/>
        <v>100</v>
      </c>
      <c r="T32" s="753" t="s">
        <v>25</v>
      </c>
      <c r="U32" s="754">
        <f t="shared" si="13"/>
        <v>100</v>
      </c>
      <c r="V32" s="753" t="s">
        <v>25</v>
      </c>
      <c r="W32" s="754">
        <f t="shared" si="14"/>
        <v>100</v>
      </c>
      <c r="X32" s="1898"/>
      <c r="Y32" s="2990" t="s">
        <v>2365</v>
      </c>
      <c r="Z32" s="1900" t="str">
        <f t="shared" si="15"/>
        <v>商业类型</v>
      </c>
      <c r="AA32" s="1901">
        <f t="shared" si="3"/>
        <v>1</v>
      </c>
      <c r="AB32" s="1901">
        <f t="shared" si="4"/>
        <v>1</v>
      </c>
      <c r="AC32" s="1901">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61"/>
      <c r="Q33" s="755" t="str">
        <f t="shared" si="11"/>
        <v>项目建筑规模</v>
      </c>
      <c r="R33" s="756" t="s">
        <v>25</v>
      </c>
      <c r="S33" s="757" t="e">
        <f t="shared" si="12"/>
        <v>#N/A</v>
      </c>
      <c r="T33" s="756" t="s">
        <v>25</v>
      </c>
      <c r="U33" s="757" t="e">
        <f t="shared" si="13"/>
        <v>#N/A</v>
      </c>
      <c r="V33" s="756" t="s">
        <v>25</v>
      </c>
      <c r="W33" s="757" t="e">
        <f t="shared" si="14"/>
        <v>#N/A</v>
      </c>
      <c r="X33" s="758"/>
      <c r="Y33" s="2990"/>
      <c r="Z33" s="759" t="str">
        <f t="shared" si="15"/>
        <v>项目建筑规模</v>
      </c>
      <c r="AA33" s="1901" t="e">
        <f t="shared" si="3"/>
        <v>#N/A</v>
      </c>
      <c r="AB33" s="1901" t="e">
        <f t="shared" si="4"/>
        <v>#N/A</v>
      </c>
      <c r="AC33" s="1901" t="e">
        <f t="shared" si="5"/>
        <v>#N/A</v>
      </c>
    </row>
    <row r="34" spans="1:29" ht="15">
      <c r="A34" s="453"/>
      <c r="B34" s="402" t="s">
        <v>2367</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2"/>
      <c r="M34" s="1243"/>
      <c r="N34" s="1243"/>
      <c r="O34" s="1243"/>
      <c r="P34" s="3061"/>
      <c r="Q34" s="1897" t="str">
        <f t="shared" si="11"/>
        <v>建筑结构</v>
      </c>
      <c r="R34" s="753" t="s">
        <v>25</v>
      </c>
      <c r="S34" s="754">
        <f t="shared" si="12"/>
        <v>100</v>
      </c>
      <c r="T34" s="753" t="s">
        <v>25</v>
      </c>
      <c r="U34" s="754">
        <f t="shared" si="13"/>
        <v>100</v>
      </c>
      <c r="V34" s="753" t="s">
        <v>25</v>
      </c>
      <c r="W34" s="754">
        <f t="shared" si="14"/>
        <v>100</v>
      </c>
      <c r="X34" s="1898"/>
      <c r="Y34" s="2990"/>
      <c r="Z34" s="1900" t="str">
        <f t="shared" si="15"/>
        <v>建筑结构</v>
      </c>
      <c r="AA34" s="1901">
        <f t="shared" si="3"/>
        <v>1</v>
      </c>
      <c r="AB34" s="1901">
        <f t="shared" si="4"/>
        <v>1</v>
      </c>
      <c r="AC34" s="1901">
        <f t="shared" si="5"/>
        <v>1</v>
      </c>
    </row>
    <row r="35" spans="1:29" ht="15">
      <c r="A35" s="453"/>
      <c r="B35" s="402" t="s">
        <v>2452</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2"/>
      <c r="M35" s="1243"/>
      <c r="N35" s="1243"/>
      <c r="O35" s="1243"/>
      <c r="P35" s="3061"/>
      <c r="Q35" s="1897" t="str">
        <f t="shared" si="11"/>
        <v>公共部分装修</v>
      </c>
      <c r="R35" s="753" t="s">
        <v>25</v>
      </c>
      <c r="S35" s="754">
        <f t="shared" si="12"/>
        <v>100</v>
      </c>
      <c r="T35" s="753" t="s">
        <v>25</v>
      </c>
      <c r="U35" s="754">
        <f t="shared" si="13"/>
        <v>100</v>
      </c>
      <c r="V35" s="753" t="s">
        <v>25</v>
      </c>
      <c r="W35" s="754">
        <f t="shared" si="14"/>
        <v>100</v>
      </c>
      <c r="X35" s="1898"/>
      <c r="Y35" s="2990"/>
      <c r="Z35" s="1900" t="str">
        <f t="shared" si="15"/>
        <v>公共部分装修</v>
      </c>
      <c r="AA35" s="1901">
        <f t="shared" si="3"/>
        <v>1</v>
      </c>
      <c r="AB35" s="1901">
        <f t="shared" si="4"/>
        <v>1</v>
      </c>
      <c r="AC35" s="1901">
        <f t="shared" si="5"/>
        <v>1</v>
      </c>
    </row>
    <row r="36" spans="1:29" ht="15">
      <c r="A36" s="453"/>
      <c r="B36" s="402" t="s">
        <v>2453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61"/>
      <c r="Q36" s="1897" t="str">
        <f t="shared" si="11"/>
        <v>成新度</v>
      </c>
      <c r="R36" s="753" t="s">
        <v>25</v>
      </c>
      <c r="S36" s="754" t="e">
        <f t="shared" si="12"/>
        <v>#N/A</v>
      </c>
      <c r="T36" s="753" t="s">
        <v>25</v>
      </c>
      <c r="U36" s="754" t="e">
        <f t="shared" si="13"/>
        <v>#N/A</v>
      </c>
      <c r="V36" s="753" t="s">
        <v>25</v>
      </c>
      <c r="W36" s="754" t="e">
        <f t="shared" si="14"/>
        <v>#N/A</v>
      </c>
      <c r="X36" s="1898"/>
      <c r="Y36" s="2990"/>
      <c r="Z36" s="1900" t="str">
        <f t="shared" si="15"/>
        <v>成新度</v>
      </c>
      <c r="AA36" s="1901" t="e">
        <f t="shared" si="3"/>
        <v>#N/A</v>
      </c>
      <c r="AB36" s="1901" t="e">
        <f t="shared" si="4"/>
        <v>#N/A</v>
      </c>
      <c r="AC36" s="1901" t="e">
        <f t="shared" si="5"/>
        <v>#N/A</v>
      </c>
    </row>
    <row r="37" spans="1:29" s="35" customFormat="1" ht="15">
      <c r="A37" s="454"/>
      <c r="B37" s="402" t="s">
        <v>2454</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4"/>
      <c r="M37" s="1245"/>
      <c r="N37" s="1245"/>
      <c r="O37" s="1245"/>
      <c r="P37" s="3061"/>
      <c r="Q37" s="1885" t="str">
        <f t="shared" si="11"/>
        <v>市政基础设施</v>
      </c>
      <c r="R37" s="749" t="s">
        <v>25</v>
      </c>
      <c r="S37" s="750">
        <f t="shared" si="12"/>
        <v>100</v>
      </c>
      <c r="T37" s="749" t="s">
        <v>25</v>
      </c>
      <c r="U37" s="750">
        <f t="shared" si="13"/>
        <v>100</v>
      </c>
      <c r="V37" s="749" t="s">
        <v>25</v>
      </c>
      <c r="W37" s="750">
        <f t="shared" si="14"/>
        <v>100</v>
      </c>
      <c r="X37" s="751"/>
      <c r="Y37" s="2990"/>
      <c r="Z37" s="23" t="str">
        <f t="shared" si="15"/>
        <v>市政基础设施</v>
      </c>
      <c r="AA37" s="752">
        <f t="shared" si="3"/>
        <v>1</v>
      </c>
      <c r="AB37" s="752">
        <f t="shared" si="4"/>
        <v>1</v>
      </c>
      <c r="AC37" s="752">
        <f t="shared" si="5"/>
        <v>1</v>
      </c>
    </row>
    <row r="38" spans="1:29" ht="15">
      <c r="A38" s="453"/>
      <c r="B38" s="402" t="s">
        <v>2455</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2"/>
      <c r="M38" s="1243"/>
      <c r="N38" s="1243"/>
      <c r="O38" s="1243"/>
      <c r="P38" s="3061" t="s">
        <v>2365</v>
      </c>
      <c r="Q38" s="1897" t="str">
        <f t="shared" si="11"/>
        <v>业态</v>
      </c>
      <c r="R38" s="753" t="s">
        <v>25</v>
      </c>
      <c r="S38" s="754">
        <f t="shared" si="12"/>
        <v>100</v>
      </c>
      <c r="T38" s="753" t="s">
        <v>25</v>
      </c>
      <c r="U38" s="754">
        <f t="shared" si="13"/>
        <v>100</v>
      </c>
      <c r="V38" s="753" t="s">
        <v>25</v>
      </c>
      <c r="W38" s="754">
        <f t="shared" si="14"/>
        <v>100</v>
      </c>
      <c r="X38" s="1898"/>
      <c r="Y38" s="2990" t="s">
        <v>2365</v>
      </c>
      <c r="Z38" s="1900" t="str">
        <f t="shared" si="15"/>
        <v>业态</v>
      </c>
      <c r="AA38" s="1901">
        <f t="shared" si="3"/>
        <v>1</v>
      </c>
      <c r="AB38" s="1901">
        <f t="shared" si="4"/>
        <v>1</v>
      </c>
      <c r="AC38" s="1901">
        <f t="shared" si="5"/>
        <v>1</v>
      </c>
    </row>
    <row r="39" spans="1:29" ht="15">
      <c r="A39" s="453"/>
      <c r="B39" s="402" t="s">
        <v>2456</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2"/>
      <c r="M39" s="1243"/>
      <c r="N39" s="1243"/>
      <c r="O39" s="1243"/>
      <c r="P39" s="3061"/>
      <c r="Q39" s="1897" t="str">
        <f t="shared" si="11"/>
        <v>层高</v>
      </c>
      <c r="R39" s="753" t="s">
        <v>25</v>
      </c>
      <c r="S39" s="754">
        <f t="shared" si="12"/>
        <v>100</v>
      </c>
      <c r="T39" s="753" t="s">
        <v>25</v>
      </c>
      <c r="U39" s="754">
        <f t="shared" si="13"/>
        <v>100</v>
      </c>
      <c r="V39" s="753" t="s">
        <v>25</v>
      </c>
      <c r="W39" s="754">
        <f t="shared" si="14"/>
        <v>100</v>
      </c>
      <c r="X39" s="1898"/>
      <c r="Y39" s="2990"/>
      <c r="Z39" s="1900" t="str">
        <f t="shared" si="15"/>
        <v>层高</v>
      </c>
      <c r="AA39" s="1901">
        <f t="shared" si="3"/>
        <v>1</v>
      </c>
      <c r="AB39" s="1901">
        <f t="shared" si="4"/>
        <v>1</v>
      </c>
      <c r="AC39" s="1901">
        <f t="shared" si="5"/>
        <v>1</v>
      </c>
    </row>
    <row r="40" spans="1:29" ht="15">
      <c r="A40" s="453"/>
      <c r="B40" s="402" t="s">
        <v>2457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61"/>
      <c r="Q40" s="1897" t="str">
        <f t="shared" si="11"/>
        <v>单套建筑面积</v>
      </c>
      <c r="R40" s="753" t="s">
        <v>25</v>
      </c>
      <c r="S40" s="754">
        <f t="shared" si="12"/>
        <v>100</v>
      </c>
      <c r="T40" s="753" t="s">
        <v>25</v>
      </c>
      <c r="U40" s="754">
        <f t="shared" si="13"/>
        <v>100</v>
      </c>
      <c r="V40" s="753" t="s">
        <v>25</v>
      </c>
      <c r="W40" s="754">
        <f t="shared" si="14"/>
        <v>100</v>
      </c>
      <c r="X40" s="1898"/>
      <c r="Y40" s="2990"/>
      <c r="Z40" s="1900" t="str">
        <f t="shared" si="15"/>
        <v>单套建筑面积</v>
      </c>
      <c r="AA40" s="1901">
        <f t="shared" si="3"/>
        <v>1</v>
      </c>
      <c r="AB40" s="1901">
        <f t="shared" si="4"/>
        <v>1</v>
      </c>
      <c r="AC40" s="1901">
        <f t="shared" si="5"/>
        <v>1</v>
      </c>
    </row>
    <row r="41" spans="1:29" s="452" customFormat="1" ht="15">
      <c r="A41" s="449"/>
      <c r="B41" s="1902" t="s">
        <v>2458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61"/>
      <c r="Q41" s="755" t="str">
        <f t="shared" si="11"/>
        <v>进深比</v>
      </c>
      <c r="R41" s="756" t="s">
        <v>25</v>
      </c>
      <c r="S41" s="757">
        <f t="shared" si="12"/>
        <v>100</v>
      </c>
      <c r="T41" s="756" t="s">
        <v>25</v>
      </c>
      <c r="U41" s="757">
        <f t="shared" si="13"/>
        <v>100</v>
      </c>
      <c r="V41" s="756" t="s">
        <v>25</v>
      </c>
      <c r="W41" s="757">
        <f t="shared" si="14"/>
        <v>100</v>
      </c>
      <c r="X41" s="758"/>
      <c r="Y41" s="2990"/>
      <c r="Z41" s="759" t="str">
        <f t="shared" si="15"/>
        <v>进深比</v>
      </c>
      <c r="AA41" s="1901">
        <f t="shared" si="3"/>
        <v>1</v>
      </c>
      <c r="AB41" s="1901">
        <f t="shared" si="4"/>
        <v>1</v>
      </c>
      <c r="AC41" s="1901">
        <f t="shared" si="5"/>
        <v>1</v>
      </c>
    </row>
    <row r="42" spans="1:29" ht="15">
      <c r="A42" s="453"/>
      <c r="B42" s="402" t="s">
        <v>2459</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2"/>
      <c r="M42" s="1243"/>
      <c r="N42" s="1243"/>
      <c r="O42" s="1243"/>
      <c r="P42" s="3061"/>
      <c r="Q42" s="1897" t="str">
        <f t="shared" si="11"/>
        <v>内部装修</v>
      </c>
      <c r="R42" s="753" t="s">
        <v>25</v>
      </c>
      <c r="S42" s="754">
        <f t="shared" si="12"/>
        <v>100</v>
      </c>
      <c r="T42" s="753" t="s">
        <v>25</v>
      </c>
      <c r="U42" s="754">
        <f t="shared" si="13"/>
        <v>100</v>
      </c>
      <c r="V42" s="753" t="s">
        <v>25</v>
      </c>
      <c r="W42" s="754">
        <f t="shared" si="14"/>
        <v>100</v>
      </c>
      <c r="X42" s="1898"/>
      <c r="Y42" s="2990"/>
      <c r="Z42" s="1900" t="str">
        <f t="shared" si="15"/>
        <v>内部装修</v>
      </c>
      <c r="AA42" s="1901">
        <f t="shared" si="3"/>
        <v>1</v>
      </c>
      <c r="AB42" s="1901">
        <f t="shared" si="4"/>
        <v>1</v>
      </c>
      <c r="AC42" s="1901">
        <f t="shared" si="5"/>
        <v>1</v>
      </c>
    </row>
    <row r="43" spans="1:29" ht="15">
      <c r="A43" s="453"/>
      <c r="B43" s="402" t="s">
        <v>2376</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2"/>
      <c r="M43" s="1243"/>
      <c r="N43" s="1243"/>
      <c r="O43" s="1243"/>
      <c r="P43" s="3061"/>
      <c r="Q43" s="1897" t="str">
        <f t="shared" si="11"/>
        <v>内部装修维护情况</v>
      </c>
      <c r="R43" s="753" t="s">
        <v>25</v>
      </c>
      <c r="S43" s="754">
        <f t="shared" si="12"/>
        <v>100</v>
      </c>
      <c r="T43" s="753" t="s">
        <v>25</v>
      </c>
      <c r="U43" s="754">
        <f t="shared" si="13"/>
        <v>100</v>
      </c>
      <c r="V43" s="753" t="s">
        <v>25</v>
      </c>
      <c r="W43" s="754">
        <f t="shared" si="14"/>
        <v>100</v>
      </c>
      <c r="X43" s="1898"/>
      <c r="Y43" s="2990"/>
      <c r="Z43" s="1900" t="str">
        <f t="shared" si="15"/>
        <v>内部装修维护情况</v>
      </c>
      <c r="AA43" s="1901">
        <f t="shared" si="3"/>
        <v>1</v>
      </c>
      <c r="AB43" s="1901">
        <f t="shared" si="4"/>
        <v>1</v>
      </c>
      <c r="AC43" s="1901">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61"/>
      <c r="Q44" s="1885">
        <f t="shared" si="11"/>
        <v>111</v>
      </c>
      <c r="R44" s="749" t="s">
        <v>25</v>
      </c>
      <c r="S44" s="750">
        <f t="shared" si="12"/>
        <v>100</v>
      </c>
      <c r="T44" s="749" t="s">
        <v>25</v>
      </c>
      <c r="U44" s="750">
        <f t="shared" si="13"/>
        <v>100</v>
      </c>
      <c r="V44" s="749" t="s">
        <v>25</v>
      </c>
      <c r="W44" s="750">
        <f t="shared" si="14"/>
        <v>100</v>
      </c>
      <c r="X44" s="751"/>
      <c r="Y44" s="2990"/>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61"/>
      <c r="Q45" s="1897">
        <f t="shared" si="11"/>
        <v>111</v>
      </c>
      <c r="R45" s="753" t="s">
        <v>25</v>
      </c>
      <c r="S45" s="754">
        <f t="shared" si="12"/>
        <v>100</v>
      </c>
      <c r="T45" s="753" t="s">
        <v>25</v>
      </c>
      <c r="U45" s="754">
        <f t="shared" si="13"/>
        <v>100</v>
      </c>
      <c r="V45" s="753" t="s">
        <v>25</v>
      </c>
      <c r="W45" s="754">
        <f t="shared" si="14"/>
        <v>100</v>
      </c>
      <c r="X45" s="1898"/>
      <c r="Y45" s="2990"/>
      <c r="Z45" s="1900">
        <f t="shared" si="15"/>
        <v>111</v>
      </c>
      <c r="AA45" s="1901">
        <f t="shared" si="3"/>
        <v>1</v>
      </c>
      <c r="AB45" s="1901">
        <f t="shared" si="4"/>
        <v>1</v>
      </c>
      <c r="AC45" s="1901">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62"/>
      <c r="Q46" s="1897">
        <f t="shared" si="11"/>
        <v>111</v>
      </c>
      <c r="R46" s="753" t="s">
        <v>25</v>
      </c>
      <c r="S46" s="754">
        <f t="shared" si="12"/>
        <v>100</v>
      </c>
      <c r="T46" s="753" t="s">
        <v>25</v>
      </c>
      <c r="U46" s="754">
        <f t="shared" si="13"/>
        <v>100</v>
      </c>
      <c r="V46" s="753" t="s">
        <v>25</v>
      </c>
      <c r="W46" s="754">
        <f t="shared" si="14"/>
        <v>100</v>
      </c>
      <c r="X46" s="1898"/>
      <c r="Y46" s="2991"/>
      <c r="Z46" s="1900">
        <f t="shared" si="15"/>
        <v>111</v>
      </c>
      <c r="AA46" s="1901">
        <f t="shared" si="3"/>
        <v>1</v>
      </c>
      <c r="AB46" s="1901">
        <f t="shared" si="4"/>
        <v>1</v>
      </c>
      <c r="AC46" s="1901">
        <f t="shared" si="5"/>
        <v>1</v>
      </c>
    </row>
    <row r="47" spans="1:29" ht="15">
      <c r="A47" s="460" t="s">
        <v>2377</v>
      </c>
      <c r="B47" s="461"/>
      <c r="C47" s="1500" t="s">
        <v>1</v>
      </c>
      <c r="D47" s="1501"/>
      <c r="E47" s="1502"/>
      <c r="F47" s="1503"/>
      <c r="G47" s="1504"/>
      <c r="H47" s="1505"/>
      <c r="I47" s="1502"/>
      <c r="J47" s="1505"/>
      <c r="K47" s="762"/>
      <c r="L47" s="1255"/>
      <c r="M47" s="1256"/>
      <c r="N47" s="1243"/>
      <c r="O47" s="1256"/>
      <c r="P47" s="2983" t="str">
        <f>A47</f>
        <v>成交单价（元/平方米）</v>
      </c>
      <c r="Q47" s="2983"/>
      <c r="R47" s="2984">
        <f>E47</f>
        <v>0</v>
      </c>
      <c r="S47" s="2984"/>
      <c r="T47" s="2984">
        <f>G47</f>
        <v>0</v>
      </c>
      <c r="U47" s="2984"/>
      <c r="V47" s="2984">
        <f>I47</f>
        <v>0</v>
      </c>
      <c r="W47" s="2984"/>
      <c r="X47" s="738"/>
      <c r="Y47" s="760"/>
      <c r="Z47" s="738"/>
      <c r="AA47" s="738"/>
      <c r="AB47" s="738"/>
      <c r="AC47" s="738"/>
    </row>
    <row r="48" spans="1:29" ht="15.75" thickBot="1">
      <c r="A48" s="467" t="s">
        <v>2460</v>
      </c>
      <c r="B48" s="468"/>
      <c r="C48" s="1506" t="e">
        <f>R49</f>
        <v>#DIV/0!</v>
      </c>
      <c r="D48" s="1507"/>
      <c r="E48" s="1508" t="e">
        <f>R48</f>
        <v>#DIV/0!</v>
      </c>
      <c r="F48" s="1508"/>
      <c r="G48" s="1506" t="e">
        <f>T48</f>
        <v>#DIV/0!</v>
      </c>
      <c r="H48" s="1507"/>
      <c r="I48" s="1508" t="e">
        <f>V48</f>
        <v>#DIV/0!</v>
      </c>
      <c r="J48" s="1507"/>
      <c r="K48" s="763"/>
      <c r="L48" s="1255"/>
      <c r="M48" s="1256"/>
      <c r="N48" s="1243"/>
      <c r="O48" s="1256"/>
      <c r="P48" s="2983" t="str">
        <f>A48</f>
        <v>比较价值（元/平方米）</v>
      </c>
      <c r="Q48" s="2983"/>
      <c r="R48" s="2984" t="e">
        <f>IF(E1="售价",ROUND(PRODUCT(R47,AA7:AA46),0),ROUND(PRODUCT(R47,AA7:AA46),1))</f>
        <v>#DIV/0!</v>
      </c>
      <c r="S48" s="2984"/>
      <c r="T48" s="2984" t="e">
        <f>IF(E1="售价",ROUND(PRODUCT(T47,AB7:AB46),0),ROUND(PRODUCT(T47,AB7:AB46),1))</f>
        <v>#DIV/0!</v>
      </c>
      <c r="U48" s="2984"/>
      <c r="V48" s="2984" t="e">
        <f>IF(E1="售价",ROUND(PRODUCT(V47,AC7:AC46),0),ROUND(PRODUCT(V47,AC7:AC46),1))</f>
        <v>#DIV/0!</v>
      </c>
      <c r="W48" s="2984"/>
      <c r="X48" s="738"/>
      <c r="Y48" s="738"/>
      <c r="Z48" s="738"/>
      <c r="AA48" s="738"/>
      <c r="AB48" s="738"/>
      <c r="AC48" s="738"/>
    </row>
    <row r="49" spans="1:29" ht="15.75" thickBot="1">
      <c r="A49" s="473" t="s">
        <v>2461</v>
      </c>
      <c r="B49" s="474"/>
      <c r="C49" s="1510" t="e">
        <f>R49</f>
        <v>#DIV/0!</v>
      </c>
      <c r="D49" s="1510"/>
      <c r="E49" s="1510"/>
      <c r="F49" s="1510"/>
      <c r="G49" s="1510"/>
      <c r="H49" s="1510"/>
      <c r="I49" s="1510"/>
      <c r="J49" s="1510"/>
      <c r="K49" s="764"/>
      <c r="L49" s="1255"/>
      <c r="M49" s="1256"/>
      <c r="N49" s="1243"/>
      <c r="O49" s="1256"/>
      <c r="P49" s="3057" t="str">
        <f>A49</f>
        <v>估价对象XX用房的比较价值（楼面单价，元/平方米）</v>
      </c>
      <c r="Q49" s="2982"/>
      <c r="R49" s="2986" t="e">
        <f>IF(E1="售价",ROUND(AVERAGE(R48:V48),0),ROUND(AVERAGE(R48:V48),1))</f>
        <v>#DIV/0!</v>
      </c>
      <c r="S49" s="2986"/>
      <c r="T49" s="2986"/>
      <c r="U49" s="2986"/>
      <c r="V49" s="2986"/>
      <c r="W49" s="2986"/>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7"/>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7"/>
      <c r="Q51" s="1256"/>
      <c r="R51" s="1256"/>
      <c r="S51" s="1256"/>
      <c r="T51" s="1256"/>
      <c r="U51" s="1256"/>
      <c r="V51" s="1256"/>
      <c r="W51" s="1256"/>
      <c r="X51" s="1256"/>
      <c r="Y51" s="1256"/>
      <c r="Z51" s="1256"/>
      <c r="AA51" s="1256"/>
      <c r="AB51" s="1256"/>
      <c r="AC51" s="1256"/>
    </row>
    <row r="52" spans="1:29" ht="13.5" customHeight="1">
      <c r="A52" s="1256"/>
      <c r="B52" s="1256"/>
      <c r="C52" s="478" t="s">
        <v>2462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7"/>
      <c r="Q52" s="1256"/>
      <c r="R52" s="1256"/>
      <c r="S52" s="1256"/>
      <c r="T52" s="1256"/>
      <c r="U52" s="1256"/>
      <c r="V52" s="1256"/>
      <c r="W52" s="1256"/>
      <c r="X52" s="1256"/>
      <c r="Y52" s="1256"/>
      <c r="Z52" s="1256"/>
      <c r="AA52" s="1256"/>
      <c r="AB52" s="1256"/>
      <c r="AC52" s="1256"/>
    </row>
    <row r="53" spans="1:29" ht="13.5" customHeight="1">
      <c r="A53" s="1256"/>
      <c r="B53" s="1256"/>
      <c r="C53" s="478" t="s">
        <v>2463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7"/>
      <c r="Q53" s="1256"/>
      <c r="R53" s="1256"/>
      <c r="S53" s="1256"/>
      <c r="T53" s="1256"/>
      <c r="U53" s="1256"/>
      <c r="V53" s="1256"/>
      <c r="W53" s="1256"/>
      <c r="X53" s="1256"/>
      <c r="Y53" s="1256"/>
      <c r="Z53" s="1256"/>
      <c r="AA53" s="1256"/>
      <c r="AB53" s="1256"/>
      <c r="AC53" s="1256"/>
    </row>
    <row r="54" spans="1:29" s="483" customFormat="1" ht="13.5" customHeight="1">
      <c r="A54" s="1258"/>
      <c r="B54" s="1258"/>
      <c r="C54" s="478" t="s">
        <v>2464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8"/>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8"/>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7"/>
      <c r="Q56" s="1256"/>
      <c r="R56" s="1256"/>
      <c r="S56" s="1256"/>
      <c r="T56" s="1256"/>
      <c r="U56" s="1256"/>
      <c r="V56" s="1256"/>
      <c r="W56" s="1256"/>
      <c r="X56" s="1256"/>
      <c r="Y56" s="1256"/>
      <c r="Z56" s="1256"/>
      <c r="AA56" s="1256"/>
      <c r="AB56" s="1256"/>
      <c r="AC56" s="1256"/>
    </row>
    <row r="57" spans="1:29" ht="21.75" thickBot="1">
      <c r="A57" s="742" t="s">
        <v>2465</v>
      </c>
      <c r="B57" s="738"/>
      <c r="C57" s="743"/>
      <c r="D57" s="743"/>
      <c r="E57" s="743"/>
      <c r="F57" s="744"/>
      <c r="G57" s="744"/>
      <c r="H57" s="743"/>
      <c r="I57" s="743"/>
      <c r="J57" s="743"/>
      <c r="K57" s="745"/>
      <c r="L57" s="1271"/>
      <c r="M57" s="1272"/>
      <c r="N57" s="1272"/>
      <c r="O57" s="1272"/>
      <c r="P57" s="2459"/>
      <c r="Q57" s="2460"/>
      <c r="R57" s="1256"/>
      <c r="S57" s="1256"/>
      <c r="T57" s="1256"/>
      <c r="U57" s="1256"/>
      <c r="V57" s="1256"/>
      <c r="W57" s="1256"/>
      <c r="X57" s="1256"/>
      <c r="Y57" s="1256"/>
      <c r="Z57" s="1256"/>
      <c r="AA57" s="1256"/>
      <c r="AB57" s="1256"/>
      <c r="AC57" s="1256"/>
    </row>
    <row r="58" spans="1:29" s="489" customFormat="1" ht="15">
      <c r="A58" s="486" t="s">
        <v>2347</v>
      </c>
      <c r="B58" s="487"/>
      <c r="C58" s="1676" t="str">
        <f>YEAR(C7)&amp;"-"&amp;MONTH(C7)</f>
        <v>2018-6</v>
      </c>
      <c r="D58" s="1677">
        <f>EDATE(C58,-1)</f>
        <v>43221</v>
      </c>
      <c r="E58" s="1677">
        <f t="shared" ref="E58:O58" si="16">EDATE(D58,-1)</f>
        <v>43191</v>
      </c>
      <c r="F58" s="1677">
        <f t="shared" si="16"/>
        <v>43160</v>
      </c>
      <c r="G58" s="1677">
        <f t="shared" si="16"/>
        <v>43132</v>
      </c>
      <c r="H58" s="1677">
        <f t="shared" si="16"/>
        <v>43101</v>
      </c>
      <c r="I58" s="1677">
        <f t="shared" si="16"/>
        <v>43070</v>
      </c>
      <c r="J58" s="1677">
        <f t="shared" si="16"/>
        <v>43040</v>
      </c>
      <c r="K58" s="1677">
        <f t="shared" si="16"/>
        <v>43009</v>
      </c>
      <c r="L58" s="1677">
        <f t="shared" si="16"/>
        <v>42979</v>
      </c>
      <c r="M58" s="1677">
        <f t="shared" si="16"/>
        <v>42948</v>
      </c>
      <c r="N58" s="1677">
        <f t="shared" si="16"/>
        <v>42917</v>
      </c>
      <c r="O58" s="1677">
        <f t="shared" si="16"/>
        <v>42887</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2385</v>
      </c>
      <c r="B60" s="497"/>
      <c r="C60" s="498"/>
      <c r="D60" s="499"/>
      <c r="E60" s="499"/>
      <c r="F60" s="499"/>
      <c r="G60" s="499"/>
      <c r="H60" s="499"/>
      <c r="I60" s="499"/>
      <c r="J60" s="499"/>
      <c r="K60" s="499"/>
      <c r="L60" s="499"/>
      <c r="M60" s="500"/>
      <c r="N60" s="499"/>
      <c r="O60" s="500"/>
      <c r="P60" s="2422"/>
      <c r="Q60" s="485"/>
    </row>
    <row r="61" spans="1:29" s="35" customFormat="1" ht="15">
      <c r="A61" s="502" t="s">
        <v>2349</v>
      </c>
      <c r="B61" s="491"/>
      <c r="C61" s="503" t="s">
        <v>2350</v>
      </c>
      <c r="D61" s="504"/>
      <c r="E61" s="504"/>
      <c r="F61" s="504"/>
      <c r="G61" s="504"/>
      <c r="H61" s="504"/>
      <c r="I61" s="504"/>
      <c r="J61" s="504"/>
      <c r="K61" s="504"/>
      <c r="L61" s="505"/>
      <c r="M61" s="506"/>
      <c r="N61" s="1265"/>
      <c r="O61" s="1265"/>
      <c r="P61" s="2423"/>
      <c r="Q61" s="485"/>
    </row>
    <row r="62" spans="1:29" s="35" customFormat="1" ht="15.75" thickBot="1">
      <c r="A62" s="502"/>
      <c r="B62" s="491"/>
      <c r="C62" s="492">
        <v>100</v>
      </c>
      <c r="D62" s="493"/>
      <c r="E62" s="493"/>
      <c r="F62" s="493"/>
      <c r="G62" s="493"/>
      <c r="H62" s="493"/>
      <c r="I62" s="493"/>
      <c r="J62" s="493"/>
      <c r="K62" s="493"/>
      <c r="L62" s="493"/>
      <c r="M62" s="495"/>
      <c r="N62" s="1265"/>
      <c r="O62" s="1265"/>
      <c r="P62" s="2422"/>
      <c r="Q62" s="485"/>
    </row>
    <row r="63" spans="1:29">
      <c r="A63" s="508" t="s">
        <v>2388</v>
      </c>
      <c r="B63" s="509" t="s">
        <v>2353</v>
      </c>
      <c r="C63" s="510">
        <f>C9</f>
        <v>0</v>
      </c>
      <c r="D63" s="511"/>
      <c r="E63" s="511"/>
      <c r="F63" s="511"/>
      <c r="G63" s="511"/>
      <c r="H63" s="511"/>
      <c r="I63" s="511"/>
      <c r="J63" s="511"/>
      <c r="K63" s="512"/>
      <c r="L63" s="513"/>
      <c r="M63" s="514"/>
      <c r="N63" s="1266"/>
      <c r="O63" s="1266"/>
      <c r="P63" s="2424"/>
      <c r="Q63" s="485"/>
    </row>
    <row r="64" spans="1:29" ht="15.75" thickBot="1">
      <c r="A64" s="516"/>
      <c r="B64" s="517"/>
      <c r="C64" s="518">
        <v>100</v>
      </c>
      <c r="D64" s="518"/>
      <c r="E64" s="518"/>
      <c r="F64" s="518"/>
      <c r="G64" s="518"/>
      <c r="H64" s="518"/>
      <c r="I64" s="518"/>
      <c r="J64" s="518"/>
      <c r="K64" s="518"/>
      <c r="L64" s="518"/>
      <c r="M64" s="519"/>
      <c r="N64" s="1267"/>
      <c r="O64" s="1267"/>
      <c r="P64" s="2424"/>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4"/>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4"/>
      <c r="Q67" s="485"/>
    </row>
    <row r="68" spans="1:17" ht="15">
      <c r="A68" s="516"/>
      <c r="B68" s="531"/>
      <c r="C68" s="532"/>
      <c r="D68" s="532"/>
      <c r="E68" s="532"/>
      <c r="F68" s="532"/>
      <c r="G68" s="532"/>
      <c r="H68" s="532"/>
      <c r="I68" s="532"/>
      <c r="J68" s="532"/>
      <c r="K68" s="533"/>
      <c r="L68" s="534"/>
      <c r="M68" s="535"/>
      <c r="N68" s="1266"/>
      <c r="O68" s="1266"/>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4"/>
      <c r="Q69" s="485"/>
    </row>
    <row r="70" spans="1:17" s="452" customFormat="1" ht="15.75" thickTop="1">
      <c r="A70" s="536"/>
      <c r="B70" s="521">
        <f>B12</f>
        <v>111</v>
      </c>
      <c r="C70" s="537"/>
      <c r="D70" s="537"/>
      <c r="E70" s="537"/>
      <c r="F70" s="537"/>
      <c r="G70" s="537"/>
      <c r="H70" s="538"/>
      <c r="I70" s="538"/>
      <c r="J70" s="538"/>
      <c r="K70" s="538"/>
      <c r="L70" s="539"/>
      <c r="M70" s="540"/>
      <c r="N70" s="1268"/>
      <c r="O70" s="1268"/>
      <c r="P70" s="2425"/>
      <c r="Q70" s="543"/>
    </row>
    <row r="71" spans="1:17" s="452" customFormat="1" ht="15.75" thickBot="1">
      <c r="A71" s="536"/>
      <c r="B71" s="526"/>
      <c r="C71" s="544"/>
      <c r="D71" s="518"/>
      <c r="E71" s="518"/>
      <c r="F71" s="518"/>
      <c r="G71" s="518"/>
      <c r="H71" s="518"/>
      <c r="I71" s="518"/>
      <c r="J71" s="518"/>
      <c r="K71" s="518"/>
      <c r="L71" s="518"/>
      <c r="M71" s="519"/>
      <c r="N71" s="1267"/>
      <c r="O71" s="1267"/>
      <c r="P71" s="2425"/>
      <c r="Q71" s="543"/>
    </row>
    <row r="72" spans="1:17" s="452" customFormat="1" ht="15.75" thickTop="1">
      <c r="A72" s="536"/>
      <c r="B72" s="521">
        <f>B13</f>
        <v>111</v>
      </c>
      <c r="C72" s="537"/>
      <c r="D72" s="537"/>
      <c r="E72" s="537"/>
      <c r="F72" s="537"/>
      <c r="G72" s="537"/>
      <c r="H72" s="538"/>
      <c r="I72" s="538"/>
      <c r="J72" s="538"/>
      <c r="K72" s="538"/>
      <c r="L72" s="539"/>
      <c r="M72" s="540"/>
      <c r="N72" s="1268"/>
      <c r="O72" s="1268"/>
      <c r="P72" s="2426"/>
      <c r="Q72" s="545"/>
    </row>
    <row r="73" spans="1:17" s="452" customFormat="1" ht="15.75" thickBot="1">
      <c r="A73" s="536"/>
      <c r="B73" s="526"/>
      <c r="C73" s="544"/>
      <c r="D73" s="518"/>
      <c r="E73" s="518"/>
      <c r="F73" s="518"/>
      <c r="G73" s="544"/>
      <c r="H73" s="546"/>
      <c r="I73" s="546"/>
      <c r="J73" s="546"/>
      <c r="K73" s="546"/>
      <c r="L73" s="546"/>
      <c r="M73" s="547"/>
      <c r="N73" s="1268"/>
      <c r="O73" s="1268"/>
      <c r="P73" s="2425"/>
      <c r="Q73" s="543"/>
    </row>
    <row r="74" spans="1:17" s="452" customFormat="1" ht="15.75" thickTop="1">
      <c r="A74" s="536"/>
      <c r="B74" s="529">
        <f>B14</f>
        <v>111</v>
      </c>
      <c r="C74" s="537"/>
      <c r="D74" s="537"/>
      <c r="E74" s="537"/>
      <c r="F74" s="537"/>
      <c r="G74" s="504"/>
      <c r="H74" s="548"/>
      <c r="I74" s="548"/>
      <c r="J74" s="548"/>
      <c r="K74" s="548"/>
      <c r="L74" s="549"/>
      <c r="M74" s="550"/>
      <c r="N74" s="1268"/>
      <c r="O74" s="1268"/>
      <c r="P74" s="2427"/>
      <c r="Q74" s="543"/>
    </row>
    <row r="75" spans="1:17" s="452" customFormat="1" ht="15.75" thickBot="1">
      <c r="A75" s="552"/>
      <c r="B75" s="553"/>
      <c r="C75" s="554"/>
      <c r="D75" s="554"/>
      <c r="E75" s="554"/>
      <c r="F75" s="554"/>
      <c r="G75" s="554"/>
      <c r="H75" s="555"/>
      <c r="I75" s="555"/>
      <c r="J75" s="555"/>
      <c r="K75" s="555"/>
      <c r="L75" s="555"/>
      <c r="M75" s="556"/>
      <c r="N75" s="1268"/>
      <c r="O75" s="1268"/>
      <c r="P75" s="2425"/>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4"/>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4"/>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4"/>
      <c r="Q81" s="485"/>
    </row>
    <row r="82" spans="1:17" ht="15.75" thickTop="1">
      <c r="A82" s="516"/>
      <c r="B82" s="529" t="s">
        <v>2446</v>
      </c>
      <c r="C82" s="522" t="s">
        <v>2404</v>
      </c>
      <c r="D82" s="522" t="s">
        <v>2405</v>
      </c>
      <c r="E82" s="522" t="s">
        <v>2406</v>
      </c>
      <c r="F82" s="522" t="s">
        <v>2407</v>
      </c>
      <c r="G82" s="522" t="s">
        <v>2408</v>
      </c>
      <c r="H82" s="522"/>
      <c r="I82" s="522"/>
      <c r="J82" s="522"/>
      <c r="K82" s="522"/>
      <c r="L82" s="522"/>
      <c r="M82" s="1465"/>
      <c r="N82" s="1267"/>
      <c r="O82" s="1267"/>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4"/>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4"/>
      <c r="Q85" s="485"/>
    </row>
    <row r="86" spans="1:17" s="35" customFormat="1" ht="15.75" thickTop="1">
      <c r="A86" s="563"/>
      <c r="B86" s="521" t="s">
        <v>2466</v>
      </c>
      <c r="C86" s="537"/>
      <c r="D86" s="537"/>
      <c r="E86" s="537"/>
      <c r="F86" s="537"/>
      <c r="G86" s="537"/>
      <c r="H86" s="537"/>
      <c r="I86" s="537"/>
      <c r="J86" s="537"/>
      <c r="K86" s="537"/>
      <c r="L86" s="564"/>
      <c r="M86" s="565"/>
      <c r="N86" s="1265"/>
      <c r="O86" s="1265"/>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5"/>
      <c r="O88" s="1265"/>
      <c r="P88" s="2424"/>
      <c r="Q88" s="485"/>
    </row>
    <row r="89" spans="1:17" s="35" customFormat="1" ht="15.75" thickBot="1">
      <c r="A89" s="563"/>
      <c r="B89" s="526"/>
      <c r="C89" s="544"/>
      <c r="D89" s="518"/>
      <c r="E89" s="518"/>
      <c r="F89" s="518"/>
      <c r="G89" s="518"/>
      <c r="H89" s="518"/>
      <c r="I89" s="518"/>
      <c r="J89" s="518"/>
      <c r="K89" s="518"/>
      <c r="L89" s="518"/>
      <c r="M89" s="518"/>
      <c r="N89" s="1267"/>
      <c r="O89" s="1267"/>
      <c r="P89" s="2424"/>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5"/>
      <c r="Q91" s="543"/>
    </row>
    <row r="92" spans="1:17" ht="15.75" thickTop="1">
      <c r="A92" s="516"/>
      <c r="B92" s="521" t="str">
        <f>B28</f>
        <v>楼层</v>
      </c>
      <c r="C92" s="537"/>
      <c r="D92" s="537"/>
      <c r="E92" s="537"/>
      <c r="F92" s="537"/>
      <c r="G92" s="537"/>
      <c r="H92" s="537"/>
      <c r="I92" s="537"/>
      <c r="J92" s="537"/>
      <c r="K92" s="537"/>
      <c r="L92" s="564"/>
      <c r="M92" s="565"/>
      <c r="N92" s="1266"/>
      <c r="O92" s="1266"/>
      <c r="P92" s="2424"/>
      <c r="Q92" s="485"/>
    </row>
    <row r="93" spans="1:17" ht="15.75" thickBot="1">
      <c r="A93" s="516"/>
      <c r="B93" s="526"/>
      <c r="C93" s="518"/>
      <c r="D93" s="518"/>
      <c r="E93" s="518"/>
      <c r="F93" s="518"/>
      <c r="G93" s="518"/>
      <c r="H93" s="518"/>
      <c r="I93" s="518"/>
      <c r="J93" s="518"/>
      <c r="K93" s="518"/>
      <c r="L93" s="518"/>
      <c r="M93" s="519"/>
      <c r="N93" s="1267"/>
      <c r="O93" s="1267"/>
      <c r="P93" s="2424"/>
      <c r="Q93" s="485"/>
    </row>
    <row r="94" spans="1:17" ht="15.75" thickTop="1">
      <c r="A94" s="516"/>
      <c r="B94" s="521">
        <f>B29</f>
        <v>111</v>
      </c>
      <c r="C94" s="537"/>
      <c r="D94" s="537"/>
      <c r="E94" s="537"/>
      <c r="F94" s="537"/>
      <c r="G94" s="567"/>
      <c r="H94" s="567"/>
      <c r="I94" s="567"/>
      <c r="J94" s="567"/>
      <c r="K94" s="568"/>
      <c r="L94" s="569"/>
      <c r="M94" s="570"/>
      <c r="N94" s="1266"/>
      <c r="O94" s="1266"/>
      <c r="P94" s="2424"/>
      <c r="Q94" s="485"/>
    </row>
    <row r="95" spans="1:17" ht="15.75" thickBot="1">
      <c r="A95" s="516"/>
      <c r="B95" s="526"/>
      <c r="C95" s="544"/>
      <c r="D95" s="518"/>
      <c r="E95" s="518"/>
      <c r="F95" s="518"/>
      <c r="G95" s="518"/>
      <c r="H95" s="518"/>
      <c r="I95" s="518"/>
      <c r="J95" s="518"/>
      <c r="K95" s="518"/>
      <c r="L95" s="518"/>
      <c r="M95" s="519"/>
      <c r="N95" s="1267"/>
      <c r="O95" s="1267"/>
      <c r="P95" s="2424"/>
      <c r="Q95" s="485"/>
    </row>
    <row r="96" spans="1:17" ht="15.75" thickTop="1">
      <c r="A96" s="516"/>
      <c r="B96" s="521">
        <f>B30</f>
        <v>111</v>
      </c>
      <c r="C96" s="537"/>
      <c r="D96" s="537"/>
      <c r="E96" s="537"/>
      <c r="F96" s="537"/>
      <c r="G96" s="567"/>
      <c r="H96" s="567"/>
      <c r="I96" s="567"/>
      <c r="J96" s="567"/>
      <c r="K96" s="568"/>
      <c r="L96" s="569"/>
      <c r="M96" s="570"/>
      <c r="N96" s="1266"/>
      <c r="O96" s="1266"/>
      <c r="P96" s="2424"/>
      <c r="Q96" s="485"/>
    </row>
    <row r="97" spans="1:17" ht="15.75" thickBot="1">
      <c r="A97" s="516"/>
      <c r="B97" s="526"/>
      <c r="C97" s="544"/>
      <c r="D97" s="518"/>
      <c r="E97" s="518"/>
      <c r="F97" s="518"/>
      <c r="G97" s="518"/>
      <c r="H97" s="518"/>
      <c r="I97" s="518"/>
      <c r="J97" s="518"/>
      <c r="K97" s="518"/>
      <c r="L97" s="518"/>
      <c r="M97" s="519"/>
      <c r="N97" s="1267"/>
      <c r="O97" s="1267"/>
      <c r="P97" s="2424"/>
      <c r="Q97" s="485"/>
    </row>
    <row r="98" spans="1:17" ht="15.75" thickTop="1">
      <c r="A98" s="516"/>
      <c r="B98" s="529">
        <f>B31</f>
        <v>111</v>
      </c>
      <c r="C98" s="537"/>
      <c r="D98" s="537"/>
      <c r="E98" s="537"/>
      <c r="F98" s="537"/>
      <c r="G98" s="571"/>
      <c r="H98" s="571"/>
      <c r="I98" s="571"/>
      <c r="J98" s="571"/>
      <c r="K98" s="572"/>
      <c r="L98" s="573"/>
      <c r="M98" s="574"/>
      <c r="N98" s="1266"/>
      <c r="O98" s="1266"/>
      <c r="P98" s="2424"/>
      <c r="Q98" s="485"/>
    </row>
    <row r="99" spans="1:17" ht="15.75" thickBot="1">
      <c r="A99" s="2430"/>
      <c r="B99" s="553"/>
      <c r="C99" s="554"/>
      <c r="D99" s="554"/>
      <c r="E99" s="554"/>
      <c r="F99" s="554"/>
      <c r="G99" s="575"/>
      <c r="H99" s="575"/>
      <c r="I99" s="575"/>
      <c r="J99" s="575"/>
      <c r="K99" s="575"/>
      <c r="L99" s="575"/>
      <c r="M99" s="576"/>
      <c r="N99" s="1267"/>
      <c r="O99" s="1267"/>
      <c r="P99" s="2424"/>
      <c r="Q99" s="485"/>
    </row>
    <row r="100" spans="1:17">
      <c r="A100" s="508" t="s">
        <v>2363</v>
      </c>
      <c r="B100" s="509" t="s">
        <v>2467</v>
      </c>
      <c r="C100" s="511"/>
      <c r="D100" s="511"/>
      <c r="E100" s="511"/>
      <c r="F100" s="511"/>
      <c r="G100" s="511"/>
      <c r="H100" s="511"/>
      <c r="I100" s="511"/>
      <c r="J100" s="511"/>
      <c r="K100" s="512"/>
      <c r="L100" s="513"/>
      <c r="M100" s="514"/>
      <c r="N100" s="1266"/>
      <c r="O100" s="1266"/>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4"/>
      <c r="Q101" s="485"/>
    </row>
    <row r="102" spans="1:17" ht="15.75" thickTop="1">
      <c r="A102" s="516"/>
      <c r="B102" s="521" t="s">
        <v>2413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4"/>
      <c r="Q102" s="485"/>
    </row>
    <row r="103" spans="1:17" s="452" customFormat="1">
      <c r="A103" s="577"/>
      <c r="B103" s="578"/>
      <c r="C103" s="579"/>
      <c r="D103" s="579"/>
      <c r="E103" s="579"/>
      <c r="F103" s="579"/>
      <c r="G103" s="579"/>
      <c r="H103" s="579"/>
      <c r="I103" s="579"/>
      <c r="J103" s="580"/>
      <c r="K103" s="580"/>
      <c r="L103" s="581"/>
      <c r="M103" s="582"/>
      <c r="N103" s="1268"/>
      <c r="O103" s="1268"/>
      <c r="P103" s="2425"/>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5"/>
      <c r="Q104" s="543"/>
    </row>
    <row r="105" spans="1:17" ht="15" thickTop="1">
      <c r="A105" s="583"/>
      <c r="B105" s="521" t="s">
        <v>2414</v>
      </c>
      <c r="C105" s="537"/>
      <c r="D105" s="537"/>
      <c r="E105" s="567"/>
      <c r="F105" s="567"/>
      <c r="G105" s="567"/>
      <c r="H105" s="567"/>
      <c r="I105" s="567"/>
      <c r="J105" s="567"/>
      <c r="K105" s="568"/>
      <c r="L105" s="569"/>
      <c r="M105" s="570"/>
      <c r="N105" s="1266"/>
      <c r="O105" s="1266"/>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4"/>
      <c r="Q106" s="485"/>
    </row>
    <row r="107" spans="1:17" ht="15" thickTop="1">
      <c r="A107" s="583"/>
      <c r="B107" s="521" t="s">
        <v>2416</v>
      </c>
      <c r="C107" s="537"/>
      <c r="D107" s="537"/>
      <c r="E107" s="537"/>
      <c r="F107" s="567"/>
      <c r="G107" s="567"/>
      <c r="H107" s="567"/>
      <c r="I107" s="567"/>
      <c r="J107" s="567"/>
      <c r="K107" s="568"/>
      <c r="L107" s="569"/>
      <c r="M107" s="570"/>
      <c r="N107" s="1266"/>
      <c r="O107" s="1266"/>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4"/>
      <c r="Q108" s="485"/>
    </row>
    <row r="109" spans="1:17" ht="15" thickTop="1">
      <c r="A109" s="583"/>
      <c r="B109" s="521" t="s">
        <v>2417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4"/>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4"/>
      <c r="Q111" s="485"/>
    </row>
    <row r="112" spans="1:17" s="452" customFormat="1" ht="15" thickTop="1">
      <c r="A112" s="577"/>
      <c r="B112" s="521" t="s">
        <v>2419</v>
      </c>
      <c r="C112" s="537"/>
      <c r="D112" s="537"/>
      <c r="E112" s="537"/>
      <c r="F112" s="537"/>
      <c r="G112" s="537"/>
      <c r="H112" s="567"/>
      <c r="I112" s="567"/>
      <c r="J112" s="567"/>
      <c r="K112" s="568"/>
      <c r="L112" s="569"/>
      <c r="M112" s="570"/>
      <c r="N112" s="1268"/>
      <c r="O112" s="1268"/>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5"/>
      <c r="Q113" s="543"/>
    </row>
    <row r="114" spans="1:17" ht="15" thickTop="1">
      <c r="A114" s="583"/>
      <c r="B114" s="521" t="s">
        <v>2468</v>
      </c>
      <c r="C114" s="537"/>
      <c r="D114" s="537"/>
      <c r="E114" s="567"/>
      <c r="F114" s="567"/>
      <c r="G114" s="567"/>
      <c r="H114" s="567"/>
      <c r="I114" s="567"/>
      <c r="J114" s="567"/>
      <c r="K114" s="568"/>
      <c r="L114" s="569"/>
      <c r="M114" s="570"/>
      <c r="N114" s="1266"/>
      <c r="O114" s="1266"/>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4"/>
      <c r="Q115" s="485"/>
    </row>
    <row r="116" spans="1:17" ht="15" thickTop="1">
      <c r="A116" s="583"/>
      <c r="B116" s="521" t="s">
        <v>2469</v>
      </c>
      <c r="C116" s="537"/>
      <c r="D116" s="537"/>
      <c r="E116" s="537"/>
      <c r="F116" s="537"/>
      <c r="G116" s="537"/>
      <c r="H116" s="567"/>
      <c r="I116" s="567"/>
      <c r="J116" s="567"/>
      <c r="K116" s="568"/>
      <c r="L116" s="569"/>
      <c r="M116" s="570"/>
      <c r="N116" s="1266"/>
      <c r="O116" s="1266"/>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4"/>
      <c r="Q117" s="485"/>
    </row>
    <row r="118" spans="1:17" ht="15" thickTop="1">
      <c r="A118" s="583"/>
      <c r="B118" s="521" t="s">
        <v>2470</v>
      </c>
      <c r="C118" s="611"/>
      <c r="D118" s="611"/>
      <c r="E118" s="611"/>
      <c r="F118" s="611"/>
      <c r="G118" s="611"/>
      <c r="H118" s="538"/>
      <c r="I118" s="538"/>
      <c r="J118" s="538"/>
      <c r="K118" s="538"/>
      <c r="L118" s="539"/>
      <c r="M118" s="540"/>
      <c r="N118" s="1266"/>
      <c r="O118" s="1266"/>
      <c r="P118" s="2424"/>
      <c r="Q118" s="485"/>
    </row>
    <row r="119" spans="1:17" ht="15.75" thickBot="1">
      <c r="A119" s="516"/>
      <c r="B119" s="526"/>
      <c r="C119" s="544"/>
      <c r="D119" s="518"/>
      <c r="E119" s="518"/>
      <c r="F119" s="518"/>
      <c r="G119" s="518"/>
      <c r="H119" s="518"/>
      <c r="I119" s="518"/>
      <c r="J119" s="518"/>
      <c r="K119" s="518"/>
      <c r="L119" s="518"/>
      <c r="M119" s="519"/>
      <c r="N119" s="1267"/>
      <c r="O119" s="1267"/>
      <c r="P119" s="2424"/>
      <c r="Q119" s="485"/>
    </row>
    <row r="120" spans="1:17" s="452" customFormat="1" ht="15" thickTop="1">
      <c r="A120" s="577"/>
      <c r="B120" s="521" t="s">
        <v>2471</v>
      </c>
      <c r="C120" s="567"/>
      <c r="D120" s="567"/>
      <c r="E120" s="567"/>
      <c r="F120" s="567"/>
      <c r="G120" s="538"/>
      <c r="H120" s="538"/>
      <c r="I120" s="538"/>
      <c r="J120" s="538"/>
      <c r="K120" s="538"/>
      <c r="L120" s="539"/>
      <c r="M120" s="540"/>
      <c r="N120" s="1268"/>
      <c r="O120" s="1268"/>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5"/>
      <c r="Q121" s="543"/>
    </row>
    <row r="122" spans="1:17" ht="15" thickTop="1">
      <c r="A122" s="583"/>
      <c r="B122" s="521" t="s">
        <v>2421</v>
      </c>
      <c r="C122" s="537"/>
      <c r="D122" s="537"/>
      <c r="E122" s="537"/>
      <c r="F122" s="567"/>
      <c r="G122" s="567"/>
      <c r="H122" s="567"/>
      <c r="I122" s="567"/>
      <c r="J122" s="567"/>
      <c r="K122" s="568"/>
      <c r="L122" s="569"/>
      <c r="M122" s="570"/>
      <c r="N122" s="1266"/>
      <c r="O122" s="1266"/>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4"/>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4"/>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5"/>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5"/>
      <c r="Q127" s="543"/>
    </row>
    <row r="128" spans="1:17" ht="15" thickTop="1">
      <c r="A128" s="583"/>
      <c r="B128" s="521">
        <f>B45</f>
        <v>111</v>
      </c>
      <c r="C128" s="537"/>
      <c r="D128" s="537"/>
      <c r="E128" s="537"/>
      <c r="F128" s="537"/>
      <c r="G128" s="567"/>
      <c r="H128" s="567"/>
      <c r="I128" s="567"/>
      <c r="J128" s="567"/>
      <c r="K128" s="568"/>
      <c r="L128" s="569"/>
      <c r="M128" s="570"/>
      <c r="N128" s="1266"/>
      <c r="O128" s="1266"/>
      <c r="P128" s="2424"/>
      <c r="Q128" s="485"/>
    </row>
    <row r="129" spans="1:17" ht="15.75" thickBot="1">
      <c r="A129" s="516"/>
      <c r="B129" s="526"/>
      <c r="C129" s="544"/>
      <c r="D129" s="518"/>
      <c r="E129" s="518"/>
      <c r="F129" s="518"/>
      <c r="G129" s="518"/>
      <c r="H129" s="518"/>
      <c r="I129" s="518"/>
      <c r="J129" s="518"/>
      <c r="K129" s="518"/>
      <c r="L129" s="518"/>
      <c r="M129" s="519"/>
      <c r="N129" s="1267"/>
      <c r="O129" s="1267"/>
      <c r="P129" s="2424"/>
      <c r="Q129" s="485"/>
    </row>
    <row r="130" spans="1:17" ht="15" thickTop="1">
      <c r="A130" s="583"/>
      <c r="B130" s="529">
        <f>B46</f>
        <v>111</v>
      </c>
      <c r="C130" s="537"/>
      <c r="D130" s="537"/>
      <c r="E130" s="537"/>
      <c r="F130" s="537"/>
      <c r="G130" s="571"/>
      <c r="H130" s="571"/>
      <c r="I130" s="571"/>
      <c r="J130" s="571"/>
      <c r="K130" s="504"/>
      <c r="L130" s="505"/>
      <c r="M130" s="574"/>
      <c r="N130" s="1266"/>
      <c r="O130" s="1266"/>
      <c r="P130" s="2424"/>
      <c r="Q130" s="485"/>
    </row>
    <row r="131" spans="1:17" ht="15.75" thickBot="1">
      <c r="A131" s="2430"/>
      <c r="B131" s="553"/>
      <c r="C131" s="554"/>
      <c r="D131" s="554"/>
      <c r="E131" s="554"/>
      <c r="F131" s="554"/>
      <c r="G131" s="575"/>
      <c r="H131" s="575"/>
      <c r="I131" s="575"/>
      <c r="J131" s="575"/>
      <c r="K131" s="575"/>
      <c r="L131" s="575"/>
      <c r="M131" s="576"/>
      <c r="N131" s="1267"/>
      <c r="O131" s="1267"/>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2330</v>
      </c>
      <c r="B1" s="1732" t="s">
        <v>2489</v>
      </c>
      <c r="C1" s="1724"/>
      <c r="D1" s="1737"/>
      <c r="E1" s="2380"/>
      <c r="F1" s="1738" t="s">
        <v>2332</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2000</v>
      </c>
      <c r="B2" s="1723"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2001</v>
      </c>
      <c r="B3" s="593" t="e">
        <f ca="1">ROUND(IF(D2="——",C43,IF(C2="万元",B2*10000/D3,B2/D3)),0)</f>
        <v>#DIV/0!</v>
      </c>
      <c r="C3" s="379" t="s">
        <v>2333</v>
      </c>
      <c r="D3" s="378">
        <f>IF(C1="仅计算典型户型",'数据-取费表'!E5,'数据-取费表'!B5)</f>
        <v>218.48</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2334</v>
      </c>
      <c r="B4" s="381"/>
      <c r="C4" s="3008" t="s">
        <v>2335</v>
      </c>
      <c r="D4" s="3009"/>
      <c r="E4" s="3010" t="s">
        <v>2336</v>
      </c>
      <c r="F4" s="3011"/>
      <c r="G4" s="3008" t="s">
        <v>2337</v>
      </c>
      <c r="H4" s="3009"/>
      <c r="I4" s="3008" t="s">
        <v>2338</v>
      </c>
      <c r="J4" s="3009"/>
      <c r="K4" s="594" t="s">
        <v>2339</v>
      </c>
      <c r="L4" s="1242"/>
      <c r="M4" s="1243"/>
      <c r="N4" s="1243"/>
      <c r="O4" s="1243"/>
      <c r="P4" s="3064" t="s">
        <v>2340</v>
      </c>
      <c r="Q4" s="3001"/>
      <c r="R4" s="2994" t="s">
        <v>2336</v>
      </c>
      <c r="S4" s="2995"/>
      <c r="T4" s="2994" t="s">
        <v>2337</v>
      </c>
      <c r="U4" s="2995"/>
      <c r="V4" s="3016" t="s">
        <v>2338</v>
      </c>
      <c r="W4" s="3016"/>
      <c r="X4" s="1898"/>
      <c r="Y4" s="2994" t="s">
        <v>2340</v>
      </c>
      <c r="Z4" s="2995"/>
      <c r="AA4" s="3005" t="s">
        <v>2336</v>
      </c>
      <c r="AB4" s="3006" t="s">
        <v>2337</v>
      </c>
      <c r="AC4" s="3005" t="s">
        <v>2338</v>
      </c>
    </row>
    <row r="5" spans="1:29" ht="15">
      <c r="A5" s="383"/>
      <c r="B5" s="384"/>
      <c r="C5" s="3023" t="s">
        <v>2341</v>
      </c>
      <c r="D5" s="3020"/>
      <c r="E5" s="3017" t="s">
        <v>2342</v>
      </c>
      <c r="F5" s="3018"/>
      <c r="G5" s="3023" t="s">
        <v>2343</v>
      </c>
      <c r="H5" s="3020"/>
      <c r="I5" s="3023" t="s">
        <v>2344</v>
      </c>
      <c r="J5" s="3020"/>
      <c r="K5" s="594"/>
      <c r="L5" s="1242"/>
      <c r="M5" s="1243"/>
      <c r="N5" s="1243"/>
      <c r="O5" s="1243"/>
      <c r="P5" s="3065"/>
      <c r="Q5" s="3002"/>
      <c r="R5" s="2996"/>
      <c r="S5" s="2997"/>
      <c r="T5" s="2996"/>
      <c r="U5" s="2997"/>
      <c r="V5" s="3016"/>
      <c r="W5" s="3016"/>
      <c r="X5" s="1898"/>
      <c r="Y5" s="2996"/>
      <c r="Z5" s="2997"/>
      <c r="AA5" s="3006"/>
      <c r="AB5" s="3006"/>
      <c r="AC5" s="3006"/>
    </row>
    <row r="6" spans="1:29" ht="15.75" thickBot="1">
      <c r="A6" s="385"/>
      <c r="B6" s="386"/>
      <c r="C6" s="3021" t="s">
        <v>2345</v>
      </c>
      <c r="D6" s="3022"/>
      <c r="E6" s="3024" t="s">
        <v>2345</v>
      </c>
      <c r="F6" s="3025"/>
      <c r="G6" s="3021" t="s">
        <v>2345</v>
      </c>
      <c r="H6" s="3022"/>
      <c r="I6" s="3021" t="s">
        <v>2345</v>
      </c>
      <c r="J6" s="3022"/>
      <c r="K6" s="594" t="s">
        <v>2346</v>
      </c>
      <c r="L6" s="1242"/>
      <c r="M6" s="1243"/>
      <c r="N6" s="1243"/>
      <c r="O6" s="1243"/>
      <c r="P6" s="3066"/>
      <c r="Q6" s="3015"/>
      <c r="R6" s="2996"/>
      <c r="S6" s="2997"/>
      <c r="T6" s="2998"/>
      <c r="U6" s="2999"/>
      <c r="V6" s="3016"/>
      <c r="W6" s="3016"/>
      <c r="X6" s="1898"/>
      <c r="Y6" s="2998"/>
      <c r="Z6" s="2999"/>
      <c r="AA6" s="3007"/>
      <c r="AB6" s="3007"/>
      <c r="AC6" s="3007"/>
    </row>
    <row r="7" spans="1:29" s="35" customFormat="1" ht="15.75" thickBot="1">
      <c r="A7" s="387" t="s">
        <v>2347</v>
      </c>
      <c r="B7" s="388"/>
      <c r="C7" s="389">
        <f>'数据-取费表'!B2</f>
        <v>43257</v>
      </c>
      <c r="D7" s="390">
        <v>100</v>
      </c>
      <c r="E7" s="391"/>
      <c r="F7" s="392">
        <f>SUMIF(52:52,YEAR(E7)&amp;"-"&amp;MONTH(E7),53:53)</f>
        <v>0</v>
      </c>
      <c r="G7" s="391"/>
      <c r="H7" s="390">
        <f>SUMIF(52:52,YEAR(G7)&amp;"-"&amp;MONTH(G7),53:53)</f>
        <v>0</v>
      </c>
      <c r="I7" s="391"/>
      <c r="J7" s="390">
        <f>SUMIF(52:52,YEAR(I7)&amp;"-"&amp;MONTH(I7),53:53)</f>
        <v>0</v>
      </c>
      <c r="K7" s="595"/>
      <c r="L7" s="1244"/>
      <c r="M7" s="1245"/>
      <c r="N7" s="1245"/>
      <c r="O7" s="1245"/>
      <c r="P7" s="2992" t="s">
        <v>2348</v>
      </c>
      <c r="Q7" s="3000"/>
      <c r="R7" s="749" t="s">
        <v>25</v>
      </c>
      <c r="S7" s="750">
        <f t="shared" ref="S7:S15" si="0">F7</f>
        <v>0</v>
      </c>
      <c r="T7" s="749" t="s">
        <v>25</v>
      </c>
      <c r="U7" s="750">
        <f t="shared" ref="U7:U15" si="1">H7</f>
        <v>0</v>
      </c>
      <c r="V7" s="749" t="s">
        <v>25</v>
      </c>
      <c r="W7" s="750">
        <f t="shared" ref="W7:W15" si="2">J7</f>
        <v>0</v>
      </c>
      <c r="X7" s="751"/>
      <c r="Y7" s="2992" t="s">
        <v>2348</v>
      </c>
      <c r="Z7" s="2993"/>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2992" t="s">
        <v>2351</v>
      </c>
      <c r="Q8" s="2993"/>
      <c r="R8" s="749" t="s">
        <v>25</v>
      </c>
      <c r="S8" s="750">
        <f t="shared" si="0"/>
        <v>100</v>
      </c>
      <c r="T8" s="749" t="s">
        <v>25</v>
      </c>
      <c r="U8" s="750">
        <f t="shared" si="1"/>
        <v>100</v>
      </c>
      <c r="V8" s="749" t="s">
        <v>25</v>
      </c>
      <c r="W8" s="750">
        <f t="shared" si="2"/>
        <v>100</v>
      </c>
      <c r="X8" s="751"/>
      <c r="Y8" s="2992" t="s">
        <v>2351</v>
      </c>
      <c r="Z8" s="2993"/>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2983" t="s">
        <v>2354</v>
      </c>
      <c r="Q9" s="1885" t="str">
        <f t="shared" ref="Q9:Q15" si="6">B9</f>
        <v>用途</v>
      </c>
      <c r="R9" s="749" t="s">
        <v>25</v>
      </c>
      <c r="S9" s="750">
        <f t="shared" si="0"/>
        <v>100</v>
      </c>
      <c r="T9" s="749" t="s">
        <v>25</v>
      </c>
      <c r="U9" s="750">
        <f t="shared" si="1"/>
        <v>100</v>
      </c>
      <c r="V9" s="749" t="s">
        <v>25</v>
      </c>
      <c r="W9" s="750">
        <f t="shared" si="2"/>
        <v>100</v>
      </c>
      <c r="X9" s="751"/>
      <c r="Y9" s="2843"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2983"/>
      <c r="Q10" s="1885"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2983"/>
      <c r="Q11" s="1885"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4"/>
      <c r="M12" s="1245"/>
      <c r="N12" s="1245"/>
      <c r="O12" s="1246"/>
      <c r="P12" s="2983"/>
      <c r="Q12" s="1885">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2"/>
      <c r="M13" s="1243"/>
      <c r="N13" s="1243"/>
      <c r="O13" s="1251"/>
      <c r="P13" s="2983"/>
      <c r="Q13" s="1885">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2"/>
      <c r="M14" s="1243"/>
      <c r="N14" s="1243"/>
      <c r="O14" s="1251"/>
      <c r="P14" s="2983"/>
      <c r="Q14" s="1885">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2358</v>
      </c>
      <c r="B15" s="26" t="s">
        <v>2490</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03" t="s">
        <v>2359</v>
      </c>
      <c r="Q15" s="1897" t="str">
        <f t="shared" si="6"/>
        <v>产业集聚程度</v>
      </c>
      <c r="R15" s="753" t="s">
        <v>25</v>
      </c>
      <c r="S15" s="754">
        <f t="shared" si="0"/>
        <v>100</v>
      </c>
      <c r="T15" s="753" t="s">
        <v>25</v>
      </c>
      <c r="U15" s="754">
        <f t="shared" si="1"/>
        <v>100</v>
      </c>
      <c r="V15" s="753" t="s">
        <v>25</v>
      </c>
      <c r="W15" s="754">
        <f t="shared" si="2"/>
        <v>100</v>
      </c>
      <c r="X15" s="1898"/>
      <c r="Y15" s="3003" t="s">
        <v>2359</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51"/>
      <c r="P16" s="3004"/>
      <c r="Q16" s="1897"/>
      <c r="R16" s="753"/>
      <c r="S16" s="754"/>
      <c r="T16" s="753"/>
      <c r="U16" s="754"/>
      <c r="V16" s="753"/>
      <c r="W16" s="754"/>
      <c r="X16" s="1898"/>
      <c r="Y16" s="3004"/>
      <c r="Z16" s="1900"/>
      <c r="AA16" s="1901">
        <v>1</v>
      </c>
      <c r="AB16" s="1901">
        <v>1</v>
      </c>
      <c r="AC16" s="1901">
        <v>1</v>
      </c>
    </row>
    <row r="17" spans="1:29" ht="85.5">
      <c r="A17" s="408"/>
      <c r="B17" s="431" t="s">
        <v>1743</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04"/>
      <c r="Q17" s="1897" t="str">
        <f>B17</f>
        <v>交通便捷度</v>
      </c>
      <c r="R17" s="753" t="s">
        <v>25</v>
      </c>
      <c r="S17" s="754">
        <f>F17</f>
        <v>100</v>
      </c>
      <c r="T17" s="753" t="s">
        <v>25</v>
      </c>
      <c r="U17" s="754">
        <f>H17</f>
        <v>100</v>
      </c>
      <c r="V17" s="753" t="s">
        <v>25</v>
      </c>
      <c r="W17" s="754">
        <f>J17</f>
        <v>100</v>
      </c>
      <c r="X17" s="1898"/>
      <c r="Y17" s="3004"/>
      <c r="Z17" s="1900" t="str">
        <f>Q17</f>
        <v>交通便捷度</v>
      </c>
      <c r="AA17" s="1901">
        <f t="shared" si="3"/>
        <v>1</v>
      </c>
      <c r="AB17" s="1901">
        <f t="shared" si="4"/>
        <v>1</v>
      </c>
      <c r="AC17" s="1901">
        <f t="shared" si="5"/>
        <v>1</v>
      </c>
    </row>
    <row r="18" spans="1:29" ht="15">
      <c r="A18" s="408"/>
      <c r="B18" s="436"/>
      <c r="C18" s="437"/>
      <c r="D18" s="430"/>
      <c r="E18" s="1466"/>
      <c r="F18" s="433"/>
      <c r="G18" s="2405"/>
      <c r="H18" s="427"/>
      <c r="I18" s="1466"/>
      <c r="J18" s="427"/>
      <c r="K18" s="599"/>
      <c r="L18" s="1252"/>
      <c r="M18" s="1243"/>
      <c r="N18" s="1243"/>
      <c r="O18" s="1251"/>
      <c r="P18" s="3004"/>
      <c r="Q18" s="1897"/>
      <c r="R18" s="753"/>
      <c r="S18" s="754"/>
      <c r="T18" s="753"/>
      <c r="U18" s="754"/>
      <c r="V18" s="753"/>
      <c r="W18" s="754"/>
      <c r="X18" s="1898"/>
      <c r="Y18" s="3004"/>
      <c r="Z18" s="1900"/>
      <c r="AA18" s="1901">
        <v>1</v>
      </c>
      <c r="AB18" s="1901">
        <v>1</v>
      </c>
      <c r="AC18" s="1901">
        <v>1</v>
      </c>
    </row>
    <row r="19" spans="1:29" ht="42.75">
      <c r="A19" s="408"/>
      <c r="B19" s="615" t="s">
        <v>2474</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04"/>
      <c r="Q19" s="1897" t="str">
        <f>B19</f>
        <v>公共配套设施</v>
      </c>
      <c r="R19" s="753" t="s">
        <v>25</v>
      </c>
      <c r="S19" s="754">
        <f>F19</f>
        <v>100</v>
      </c>
      <c r="T19" s="753" t="s">
        <v>25</v>
      </c>
      <c r="U19" s="754">
        <f>H19</f>
        <v>100</v>
      </c>
      <c r="V19" s="753" t="s">
        <v>25</v>
      </c>
      <c r="W19" s="754">
        <f>J19</f>
        <v>100</v>
      </c>
      <c r="X19" s="1898"/>
      <c r="Y19" s="3004"/>
      <c r="Z19" s="1900" t="str">
        <f>Q19</f>
        <v>公共配套设施</v>
      </c>
      <c r="AA19" s="1901">
        <f t="shared" si="3"/>
        <v>1</v>
      </c>
      <c r="AB19" s="1901">
        <f t="shared" si="4"/>
        <v>1</v>
      </c>
      <c r="AC19" s="1901">
        <f t="shared" si="5"/>
        <v>1</v>
      </c>
    </row>
    <row r="20" spans="1:29" ht="15">
      <c r="A20" s="408"/>
      <c r="B20" s="616"/>
      <c r="C20" s="426"/>
      <c r="D20" s="427"/>
      <c r="E20" s="428"/>
      <c r="F20" s="429"/>
      <c r="G20" s="2402"/>
      <c r="H20" s="427"/>
      <c r="I20" s="428"/>
      <c r="J20" s="427"/>
      <c r="K20" s="599"/>
      <c r="L20" s="1252"/>
      <c r="M20" s="1243"/>
      <c r="N20" s="1243"/>
      <c r="O20" s="1251"/>
      <c r="P20" s="3004"/>
      <c r="Q20" s="1897"/>
      <c r="R20" s="753"/>
      <c r="S20" s="754"/>
      <c r="T20" s="753"/>
      <c r="U20" s="754"/>
      <c r="V20" s="753"/>
      <c r="W20" s="754"/>
      <c r="X20" s="1898"/>
      <c r="Y20" s="3004"/>
      <c r="Z20" s="1900"/>
      <c r="AA20" s="1901">
        <v>1</v>
      </c>
      <c r="AB20" s="1901">
        <v>1</v>
      </c>
      <c r="AC20" s="1901">
        <v>1</v>
      </c>
    </row>
    <row r="21" spans="1:29" ht="28.5">
      <c r="A21" s="408"/>
      <c r="B21" s="617" t="s">
        <v>2475</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04"/>
      <c r="Q21" s="1897" t="str">
        <f>B21</f>
        <v>基础设施水平</v>
      </c>
      <c r="R21" s="753" t="s">
        <v>25</v>
      </c>
      <c r="S21" s="754">
        <f>F21</f>
        <v>100</v>
      </c>
      <c r="T21" s="753" t="s">
        <v>25</v>
      </c>
      <c r="U21" s="754">
        <f>H21</f>
        <v>100</v>
      </c>
      <c r="V21" s="753" t="s">
        <v>25</v>
      </c>
      <c r="W21" s="754">
        <f>J21</f>
        <v>100</v>
      </c>
      <c r="X21" s="1898"/>
      <c r="Y21" s="3004"/>
      <c r="Z21" s="1900" t="str">
        <f>Q21</f>
        <v>基础设施水平</v>
      </c>
      <c r="AA21" s="1901">
        <f t="shared" ref="AA21" si="8">D21/F21</f>
        <v>1</v>
      </c>
      <c r="AB21" s="1901">
        <f t="shared" ref="AB21" si="9">D21/H21</f>
        <v>1</v>
      </c>
      <c r="AC21" s="1901">
        <f t="shared" ref="AC21" si="10">D21/J21</f>
        <v>1</v>
      </c>
    </row>
    <row r="22" spans="1:29" ht="15">
      <c r="A22" s="408"/>
      <c r="B22" s="2406"/>
      <c r="C22" s="437"/>
      <c r="D22" s="427"/>
      <c r="E22" s="426"/>
      <c r="F22" s="429"/>
      <c r="G22" s="426"/>
      <c r="H22" s="427"/>
      <c r="I22" s="426"/>
      <c r="J22" s="427"/>
      <c r="K22" s="1467"/>
      <c r="L22" s="1252"/>
      <c r="M22" s="1243"/>
      <c r="N22" s="1243"/>
      <c r="O22" s="1251"/>
      <c r="P22" s="3004"/>
      <c r="Q22" s="1897"/>
      <c r="R22" s="753"/>
      <c r="S22" s="754"/>
      <c r="T22" s="753"/>
      <c r="U22" s="754"/>
      <c r="V22" s="753"/>
      <c r="W22" s="754"/>
      <c r="X22" s="1898"/>
      <c r="Y22" s="3004"/>
      <c r="Z22" s="1900"/>
      <c r="AA22" s="1901">
        <v>1</v>
      </c>
      <c r="AB22" s="1901">
        <v>1</v>
      </c>
      <c r="AC22" s="1901">
        <v>1</v>
      </c>
    </row>
    <row r="23" spans="1:29" ht="71.25">
      <c r="A23" s="408"/>
      <c r="B23" s="431" t="s">
        <v>2476</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04"/>
      <c r="Q23" s="1897" t="str">
        <f>B23</f>
        <v>环境质量</v>
      </c>
      <c r="R23" s="753" t="s">
        <v>25</v>
      </c>
      <c r="S23" s="754">
        <f>F23</f>
        <v>100</v>
      </c>
      <c r="T23" s="753" t="s">
        <v>25</v>
      </c>
      <c r="U23" s="754">
        <f>H23</f>
        <v>100</v>
      </c>
      <c r="V23" s="753" t="s">
        <v>25</v>
      </c>
      <c r="W23" s="754">
        <f>J23</f>
        <v>100</v>
      </c>
      <c r="X23" s="1898"/>
      <c r="Y23" s="3004"/>
      <c r="Z23" s="1900" t="str">
        <f>Q23</f>
        <v>环境质量</v>
      </c>
      <c r="AA23" s="1901">
        <f t="shared" si="3"/>
        <v>1</v>
      </c>
      <c r="AB23" s="1901">
        <f t="shared" si="4"/>
        <v>1</v>
      </c>
      <c r="AC23" s="1901">
        <f t="shared" si="5"/>
        <v>1</v>
      </c>
    </row>
    <row r="24" spans="1:29" ht="15">
      <c r="A24" s="408"/>
      <c r="B24" s="2406"/>
      <c r="C24" s="426"/>
      <c r="D24" s="427"/>
      <c r="E24" s="428"/>
      <c r="F24" s="429"/>
      <c r="G24" s="2402"/>
      <c r="H24" s="427"/>
      <c r="I24" s="428"/>
      <c r="J24" s="427"/>
      <c r="K24" s="599"/>
      <c r="L24" s="1252"/>
      <c r="M24" s="1243"/>
      <c r="N24" s="1243"/>
      <c r="O24" s="1251"/>
      <c r="P24" s="3004"/>
      <c r="Q24" s="1897"/>
      <c r="R24" s="753"/>
      <c r="S24" s="754"/>
      <c r="T24" s="753"/>
      <c r="U24" s="754"/>
      <c r="V24" s="753"/>
      <c r="W24" s="754"/>
      <c r="X24" s="1898"/>
      <c r="Y24" s="3004"/>
      <c r="Z24" s="1900"/>
      <c r="AA24" s="1901">
        <v>1</v>
      </c>
      <c r="AB24" s="1901">
        <v>1</v>
      </c>
      <c r="AC24" s="1901">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04"/>
      <c r="Q25" s="1897">
        <f>B25</f>
        <v>111</v>
      </c>
      <c r="R25" s="753" t="s">
        <v>25</v>
      </c>
      <c r="S25" s="754">
        <f>F25</f>
        <v>100</v>
      </c>
      <c r="T25" s="753" t="s">
        <v>25</v>
      </c>
      <c r="U25" s="754">
        <f>H25</f>
        <v>100</v>
      </c>
      <c r="V25" s="753" t="s">
        <v>25</v>
      </c>
      <c r="W25" s="754">
        <f>J25</f>
        <v>100</v>
      </c>
      <c r="X25" s="1898"/>
      <c r="Y25" s="3004"/>
      <c r="Z25" s="1900">
        <f>Q25</f>
        <v>111</v>
      </c>
      <c r="AA25" s="1901">
        <f t="shared" si="3"/>
        <v>1</v>
      </c>
      <c r="AB25" s="1901">
        <f t="shared" si="4"/>
        <v>1</v>
      </c>
      <c r="AC25" s="1901">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04"/>
      <c r="Q26" s="1897">
        <f t="shared" ref="Q26:Q40" si="11">B26</f>
        <v>111</v>
      </c>
      <c r="R26" s="753" t="s">
        <v>25</v>
      </c>
      <c r="S26" s="754">
        <f>F26</f>
        <v>100</v>
      </c>
      <c r="T26" s="753" t="s">
        <v>25</v>
      </c>
      <c r="U26" s="754">
        <f>H26</f>
        <v>100</v>
      </c>
      <c r="V26" s="753" t="s">
        <v>25</v>
      </c>
      <c r="W26" s="754">
        <f>J26</f>
        <v>100</v>
      </c>
      <c r="X26" s="1898"/>
      <c r="Y26" s="3004"/>
      <c r="Z26" s="1900">
        <f>Q26</f>
        <v>111</v>
      </c>
      <c r="AA26" s="1901">
        <f t="shared" si="3"/>
        <v>1</v>
      </c>
      <c r="AB26" s="1901">
        <f t="shared" si="4"/>
        <v>1</v>
      </c>
      <c r="AC26" s="1901">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04"/>
      <c r="Q27" s="1885">
        <f t="shared" si="11"/>
        <v>111</v>
      </c>
      <c r="R27" s="749" t="s">
        <v>25</v>
      </c>
      <c r="S27" s="750">
        <f>F27</f>
        <v>100</v>
      </c>
      <c r="T27" s="749" t="s">
        <v>25</v>
      </c>
      <c r="U27" s="750">
        <f>H27</f>
        <v>100</v>
      </c>
      <c r="V27" s="749" t="s">
        <v>25</v>
      </c>
      <c r="W27" s="750">
        <f>J27</f>
        <v>100</v>
      </c>
      <c r="X27" s="751"/>
      <c r="Y27" s="3004"/>
      <c r="Z27" s="23">
        <f>Q27</f>
        <v>111</v>
      </c>
      <c r="AA27" s="1901">
        <f>D27/F27</f>
        <v>1</v>
      </c>
      <c r="AB27" s="1901">
        <f>D27/H27</f>
        <v>1</v>
      </c>
      <c r="AC27" s="1901">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04"/>
      <c r="Q28" s="1897">
        <f t="shared" si="11"/>
        <v>111</v>
      </c>
      <c r="R28" s="753" t="s">
        <v>25</v>
      </c>
      <c r="S28" s="754">
        <f t="shared" ref="S28:S40" si="12">F28</f>
        <v>100</v>
      </c>
      <c r="T28" s="753" t="s">
        <v>25</v>
      </c>
      <c r="U28" s="754">
        <f t="shared" ref="U28:U40" si="13">H28</f>
        <v>100</v>
      </c>
      <c r="V28" s="753" t="s">
        <v>25</v>
      </c>
      <c r="W28" s="754">
        <f t="shared" ref="W28:W40" si="14">J28</f>
        <v>100</v>
      </c>
      <c r="X28" s="1898"/>
      <c r="Y28" s="3004"/>
      <c r="Z28" s="1900">
        <f t="shared" ref="Z28:Z40" si="15">Q28</f>
        <v>111</v>
      </c>
      <c r="AA28" s="1901">
        <f t="shared" si="3"/>
        <v>1</v>
      </c>
      <c r="AB28" s="1901">
        <f t="shared" si="4"/>
        <v>1</v>
      </c>
      <c r="AC28" s="1901">
        <f t="shared" si="5"/>
        <v>1</v>
      </c>
    </row>
    <row r="29" spans="1:29" ht="15">
      <c r="A29" s="447" t="s">
        <v>2363</v>
      </c>
      <c r="B29" s="28" t="s">
        <v>2479</v>
      </c>
      <c r="C29" s="2471" t="s">
        <v>2491</v>
      </c>
      <c r="D29" s="448">
        <v>100</v>
      </c>
      <c r="E29" s="2471"/>
      <c r="F29" s="442">
        <f>SUMIF(88:88,E29,89:89)-SUMIF(88:88,C29,89:89)+100</f>
        <v>100</v>
      </c>
      <c r="G29" s="2471"/>
      <c r="H29" s="415">
        <f>SUMIF(88:88,G29,89:89)-SUMIF(88:88,C29,89:89)+100</f>
        <v>100</v>
      </c>
      <c r="I29" s="2471"/>
      <c r="J29" s="448">
        <f>SUMIF(88:88,I29,89:89)-SUMIF(88:88,C29,89:89)+100</f>
        <v>100</v>
      </c>
      <c r="K29" s="596"/>
      <c r="L29" s="1252"/>
      <c r="M29" s="1243"/>
      <c r="N29" s="1243"/>
      <c r="O29" s="1251"/>
      <c r="P29" s="3067" t="s">
        <v>2365</v>
      </c>
      <c r="Q29" s="1897" t="str">
        <f t="shared" si="11"/>
        <v>建筑类型</v>
      </c>
      <c r="R29" s="753" t="s">
        <v>25</v>
      </c>
      <c r="S29" s="754">
        <f t="shared" si="12"/>
        <v>100</v>
      </c>
      <c r="T29" s="753" t="s">
        <v>25</v>
      </c>
      <c r="U29" s="754">
        <f t="shared" si="13"/>
        <v>100</v>
      </c>
      <c r="V29" s="753" t="s">
        <v>25</v>
      </c>
      <c r="W29" s="754">
        <f t="shared" si="14"/>
        <v>100</v>
      </c>
      <c r="X29" s="1898"/>
      <c r="Y29" s="2990" t="s">
        <v>2365</v>
      </c>
      <c r="Z29" s="1900" t="str">
        <f t="shared" si="15"/>
        <v>建筑类型</v>
      </c>
      <c r="AA29" s="1901">
        <f t="shared" si="3"/>
        <v>1</v>
      </c>
      <c r="AB29" s="1901">
        <f t="shared" si="4"/>
        <v>1</v>
      </c>
      <c r="AC29" s="1901">
        <f t="shared" si="5"/>
        <v>1</v>
      </c>
    </row>
    <row r="30" spans="1:29" s="452" customFormat="1" ht="15">
      <c r="A30" s="449"/>
      <c r="B30" s="402" t="s">
        <v>2366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2990"/>
      <c r="Q30" s="755" t="str">
        <f t="shared" si="11"/>
        <v>项目建筑规模</v>
      </c>
      <c r="R30" s="756" t="s">
        <v>25</v>
      </c>
      <c r="S30" s="757" t="e">
        <f t="shared" si="12"/>
        <v>#N/A</v>
      </c>
      <c r="T30" s="756" t="s">
        <v>25</v>
      </c>
      <c r="U30" s="757" t="e">
        <f t="shared" si="13"/>
        <v>#N/A</v>
      </c>
      <c r="V30" s="756" t="s">
        <v>25</v>
      </c>
      <c r="W30" s="757" t="e">
        <f t="shared" si="14"/>
        <v>#N/A</v>
      </c>
      <c r="X30" s="758"/>
      <c r="Y30" s="2990"/>
      <c r="Z30" s="759" t="str">
        <f t="shared" si="15"/>
        <v>项目建筑规模</v>
      </c>
      <c r="AA30" s="1901" t="e">
        <f t="shared" si="3"/>
        <v>#N/A</v>
      </c>
      <c r="AB30" s="1901" t="e">
        <f t="shared" si="4"/>
        <v>#N/A</v>
      </c>
      <c r="AC30" s="1901" t="e">
        <f t="shared" si="5"/>
        <v>#N/A</v>
      </c>
    </row>
    <row r="31" spans="1:29" ht="15">
      <c r="A31" s="453"/>
      <c r="B31" s="402" t="s">
        <v>2367</v>
      </c>
      <c r="C31" s="441" t="s">
        <v>2492</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2990"/>
      <c r="Q31" s="1897" t="str">
        <f t="shared" si="11"/>
        <v>建筑结构</v>
      </c>
      <c r="R31" s="753" t="s">
        <v>25</v>
      </c>
      <c r="S31" s="754">
        <f t="shared" si="12"/>
        <v>100</v>
      </c>
      <c r="T31" s="753" t="s">
        <v>25</v>
      </c>
      <c r="U31" s="754">
        <f t="shared" si="13"/>
        <v>100</v>
      </c>
      <c r="V31" s="753" t="s">
        <v>25</v>
      </c>
      <c r="W31" s="754">
        <f t="shared" si="14"/>
        <v>100</v>
      </c>
      <c r="X31" s="1898"/>
      <c r="Y31" s="2990"/>
      <c r="Z31" s="1900" t="str">
        <f t="shared" si="15"/>
        <v>建筑结构</v>
      </c>
      <c r="AA31" s="1901">
        <f t="shared" si="3"/>
        <v>1</v>
      </c>
      <c r="AB31" s="1901">
        <f t="shared" si="4"/>
        <v>1</v>
      </c>
      <c r="AC31" s="1901">
        <f t="shared" si="5"/>
        <v>1</v>
      </c>
    </row>
    <row r="32" spans="1:29" ht="15">
      <c r="A32" s="453"/>
      <c r="B32" s="402" t="s">
        <v>2452</v>
      </c>
      <c r="C32" s="441" t="s">
        <v>2493</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2990"/>
      <c r="Q32" s="1897" t="str">
        <f t="shared" si="11"/>
        <v>公共部分装修</v>
      </c>
      <c r="R32" s="753" t="s">
        <v>25</v>
      </c>
      <c r="S32" s="754">
        <f t="shared" si="12"/>
        <v>100</v>
      </c>
      <c r="T32" s="753" t="s">
        <v>25</v>
      </c>
      <c r="U32" s="754">
        <f t="shared" si="13"/>
        <v>100</v>
      </c>
      <c r="V32" s="753" t="s">
        <v>25</v>
      </c>
      <c r="W32" s="754">
        <f t="shared" si="14"/>
        <v>100</v>
      </c>
      <c r="X32" s="1898"/>
      <c r="Y32" s="2990"/>
      <c r="Z32" s="1900" t="str">
        <f t="shared" si="15"/>
        <v>公共部分装修</v>
      </c>
      <c r="AA32" s="1901">
        <f t="shared" si="3"/>
        <v>1</v>
      </c>
      <c r="AB32" s="1901">
        <f t="shared" si="4"/>
        <v>1</v>
      </c>
      <c r="AC32" s="1901">
        <f t="shared" si="5"/>
        <v>1</v>
      </c>
    </row>
    <row r="33" spans="1:29" ht="15">
      <c r="A33" s="453"/>
      <c r="B33" s="402" t="s">
        <v>2453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2990"/>
      <c r="Q33" s="1897" t="str">
        <f t="shared" si="11"/>
        <v>成新度</v>
      </c>
      <c r="R33" s="753" t="s">
        <v>25</v>
      </c>
      <c r="S33" s="754" t="e">
        <f t="shared" si="12"/>
        <v>#N/A</v>
      </c>
      <c r="T33" s="753" t="s">
        <v>25</v>
      </c>
      <c r="U33" s="754" t="e">
        <f t="shared" si="13"/>
        <v>#N/A</v>
      </c>
      <c r="V33" s="753" t="s">
        <v>25</v>
      </c>
      <c r="W33" s="754" t="e">
        <f t="shared" si="14"/>
        <v>#N/A</v>
      </c>
      <c r="X33" s="1898"/>
      <c r="Y33" s="2990"/>
      <c r="Z33" s="1900" t="str">
        <f t="shared" si="15"/>
        <v>成新度</v>
      </c>
      <c r="AA33" s="1901" t="e">
        <f t="shared" si="3"/>
        <v>#N/A</v>
      </c>
      <c r="AB33" s="1901" t="e">
        <f t="shared" si="4"/>
        <v>#N/A</v>
      </c>
      <c r="AC33" s="1901" t="e">
        <f t="shared" si="5"/>
        <v>#N/A</v>
      </c>
    </row>
    <row r="34" spans="1:29" s="35" customFormat="1" ht="15">
      <c r="A34" s="454"/>
      <c r="B34" s="402" t="s">
        <v>2481</v>
      </c>
      <c r="C34" s="441" t="s">
        <v>2494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2990"/>
      <c r="Q34" s="1885" t="str">
        <f t="shared" si="11"/>
        <v>物业管理</v>
      </c>
      <c r="R34" s="749" t="s">
        <v>25</v>
      </c>
      <c r="S34" s="750">
        <f t="shared" si="12"/>
        <v>100</v>
      </c>
      <c r="T34" s="749" t="s">
        <v>25</v>
      </c>
      <c r="U34" s="750">
        <f t="shared" si="13"/>
        <v>100</v>
      </c>
      <c r="V34" s="749" t="s">
        <v>25</v>
      </c>
      <c r="W34" s="750">
        <f t="shared" si="14"/>
        <v>100</v>
      </c>
      <c r="X34" s="751"/>
      <c r="Y34" s="2990"/>
      <c r="Z34" s="23" t="str">
        <f t="shared" si="15"/>
        <v>物业管理</v>
      </c>
      <c r="AA34" s="752">
        <f t="shared" si="3"/>
        <v>1</v>
      </c>
      <c r="AB34" s="752">
        <f t="shared" si="4"/>
        <v>1</v>
      </c>
      <c r="AC34" s="752">
        <f t="shared" si="5"/>
        <v>1</v>
      </c>
    </row>
    <row r="35" spans="1:29" ht="15">
      <c r="A35" s="453"/>
      <c r="B35" s="402" t="s">
        <v>2454</v>
      </c>
      <c r="C35" s="441" t="s">
        <v>2495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2990" t="s">
        <v>2365</v>
      </c>
      <c r="Q35" s="1897" t="str">
        <f t="shared" si="11"/>
        <v>市政基础设施</v>
      </c>
      <c r="R35" s="753" t="s">
        <v>25</v>
      </c>
      <c r="S35" s="754">
        <f t="shared" si="12"/>
        <v>100</v>
      </c>
      <c r="T35" s="753" t="s">
        <v>25</v>
      </c>
      <c r="U35" s="754">
        <f t="shared" si="13"/>
        <v>100</v>
      </c>
      <c r="V35" s="753" t="s">
        <v>25</v>
      </c>
      <c r="W35" s="754">
        <f t="shared" si="14"/>
        <v>100</v>
      </c>
      <c r="X35" s="1898"/>
      <c r="Y35" s="2990" t="s">
        <v>2365</v>
      </c>
      <c r="Z35" s="1900" t="str">
        <f t="shared" si="15"/>
        <v>市政基础设施</v>
      </c>
      <c r="AA35" s="1901">
        <f t="shared" si="3"/>
        <v>1</v>
      </c>
      <c r="AB35" s="1901">
        <f t="shared" si="4"/>
        <v>1</v>
      </c>
      <c r="AC35" s="1901">
        <f t="shared" si="5"/>
        <v>1</v>
      </c>
    </row>
    <row r="36" spans="1:29" ht="15">
      <c r="A36" s="453"/>
      <c r="B36" s="402" t="s">
        <v>2459</v>
      </c>
      <c r="C36" s="441" t="s">
        <v>2493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2990"/>
      <c r="Q36" s="1897" t="str">
        <f t="shared" si="11"/>
        <v>内部装修</v>
      </c>
      <c r="R36" s="753" t="s">
        <v>25</v>
      </c>
      <c r="S36" s="754">
        <f t="shared" si="12"/>
        <v>100</v>
      </c>
      <c r="T36" s="753" t="s">
        <v>25</v>
      </c>
      <c r="U36" s="754">
        <f t="shared" si="13"/>
        <v>100</v>
      </c>
      <c r="V36" s="753" t="s">
        <v>25</v>
      </c>
      <c r="W36" s="754">
        <f t="shared" si="14"/>
        <v>100</v>
      </c>
      <c r="X36" s="1898"/>
      <c r="Y36" s="2990"/>
      <c r="Z36" s="1900" t="str">
        <f t="shared" si="15"/>
        <v>内部装修</v>
      </c>
      <c r="AA36" s="1901">
        <f t="shared" si="3"/>
        <v>1</v>
      </c>
      <c r="AB36" s="1901">
        <f t="shared" si="4"/>
        <v>1</v>
      </c>
      <c r="AC36" s="1901">
        <f t="shared" si="5"/>
        <v>1</v>
      </c>
    </row>
    <row r="37" spans="1:29" ht="15">
      <c r="A37" s="453"/>
      <c r="B37" s="402" t="s">
        <v>2496</v>
      </c>
      <c r="C37" s="600" t="s">
        <v>2497</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2990"/>
      <c r="Q37" s="1897" t="str">
        <f t="shared" si="11"/>
        <v>内部装修状况</v>
      </c>
      <c r="R37" s="753" t="s">
        <v>25</v>
      </c>
      <c r="S37" s="754">
        <f t="shared" si="12"/>
        <v>0</v>
      </c>
      <c r="T37" s="753" t="s">
        <v>25</v>
      </c>
      <c r="U37" s="754">
        <f t="shared" si="13"/>
        <v>0</v>
      </c>
      <c r="V37" s="753" t="s">
        <v>25</v>
      </c>
      <c r="W37" s="754">
        <f t="shared" si="14"/>
        <v>0</v>
      </c>
      <c r="X37" s="1898"/>
      <c r="Y37" s="2990"/>
      <c r="Z37" s="1900" t="str">
        <f t="shared" si="15"/>
        <v>内部装修状况</v>
      </c>
      <c r="AA37" s="1901" t="e">
        <f t="shared" si="3"/>
        <v>#DIV/0!</v>
      </c>
      <c r="AB37" s="1901" t="e">
        <f t="shared" si="4"/>
        <v>#DIV/0!</v>
      </c>
      <c r="AC37" s="1901"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2990"/>
      <c r="Q38" s="755">
        <f t="shared" si="11"/>
        <v>111</v>
      </c>
      <c r="R38" s="756" t="s">
        <v>25</v>
      </c>
      <c r="S38" s="757">
        <f t="shared" si="12"/>
        <v>100</v>
      </c>
      <c r="T38" s="756" t="s">
        <v>25</v>
      </c>
      <c r="U38" s="757">
        <f t="shared" si="13"/>
        <v>100</v>
      </c>
      <c r="V38" s="756" t="s">
        <v>25</v>
      </c>
      <c r="W38" s="757">
        <f t="shared" si="14"/>
        <v>100</v>
      </c>
      <c r="X38" s="758"/>
      <c r="Y38" s="2990"/>
      <c r="Z38" s="759">
        <f t="shared" si="15"/>
        <v>111</v>
      </c>
      <c r="AA38" s="1901">
        <f t="shared" si="3"/>
        <v>1</v>
      </c>
      <c r="AB38" s="1901">
        <f t="shared" si="4"/>
        <v>1</v>
      </c>
      <c r="AC38" s="1901">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2990"/>
      <c r="Q39" s="1897">
        <f t="shared" si="11"/>
        <v>111</v>
      </c>
      <c r="R39" s="753" t="s">
        <v>25</v>
      </c>
      <c r="S39" s="754">
        <f t="shared" si="12"/>
        <v>100</v>
      </c>
      <c r="T39" s="753" t="s">
        <v>25</v>
      </c>
      <c r="U39" s="754">
        <f t="shared" si="13"/>
        <v>100</v>
      </c>
      <c r="V39" s="753" t="s">
        <v>25</v>
      </c>
      <c r="W39" s="754">
        <f t="shared" si="14"/>
        <v>100</v>
      </c>
      <c r="X39" s="1898"/>
      <c r="Y39" s="2990"/>
      <c r="Z39" s="1900">
        <f t="shared" si="15"/>
        <v>111</v>
      </c>
      <c r="AA39" s="1901">
        <f t="shared" si="3"/>
        <v>1</v>
      </c>
      <c r="AB39" s="1901">
        <f t="shared" si="4"/>
        <v>1</v>
      </c>
      <c r="AC39" s="1901">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2991"/>
      <c r="Q40" s="1897">
        <f t="shared" si="11"/>
        <v>111</v>
      </c>
      <c r="R40" s="753" t="s">
        <v>25</v>
      </c>
      <c r="S40" s="754">
        <f t="shared" si="12"/>
        <v>100</v>
      </c>
      <c r="T40" s="753" t="s">
        <v>25</v>
      </c>
      <c r="U40" s="754">
        <f t="shared" si="13"/>
        <v>100</v>
      </c>
      <c r="V40" s="753" t="s">
        <v>25</v>
      </c>
      <c r="W40" s="754">
        <f t="shared" si="14"/>
        <v>100</v>
      </c>
      <c r="X40" s="1898"/>
      <c r="Y40" s="2991"/>
      <c r="Z40" s="1900">
        <f t="shared" si="15"/>
        <v>111</v>
      </c>
      <c r="AA40" s="1901">
        <f t="shared" si="3"/>
        <v>1</v>
      </c>
      <c r="AB40" s="1901">
        <f t="shared" si="4"/>
        <v>1</v>
      </c>
      <c r="AC40" s="1901">
        <f t="shared" si="5"/>
        <v>1</v>
      </c>
    </row>
    <row r="41" spans="1:29" ht="15">
      <c r="A41" s="460" t="s">
        <v>2377</v>
      </c>
      <c r="B41" s="461"/>
      <c r="C41" s="1500" t="s">
        <v>1</v>
      </c>
      <c r="D41" s="1501"/>
      <c r="E41" s="1502"/>
      <c r="F41" s="1503"/>
      <c r="G41" s="1504"/>
      <c r="H41" s="1505"/>
      <c r="I41" s="1502"/>
      <c r="J41" s="1505"/>
      <c r="K41" s="762"/>
      <c r="L41" s="1255"/>
      <c r="M41" s="1256"/>
      <c r="N41" s="1243"/>
      <c r="O41" s="1256"/>
      <c r="P41" s="2983" t="str">
        <f>A41</f>
        <v>成交单价（元/平方米）</v>
      </c>
      <c r="Q41" s="2983"/>
      <c r="R41" s="2984">
        <f>E41</f>
        <v>0</v>
      </c>
      <c r="S41" s="2984"/>
      <c r="T41" s="2984">
        <f>G41</f>
        <v>0</v>
      </c>
      <c r="U41" s="2984"/>
      <c r="V41" s="2984">
        <f>I41</f>
        <v>0</v>
      </c>
      <c r="W41" s="2984"/>
      <c r="X41" s="738"/>
      <c r="Y41" s="760"/>
      <c r="Z41" s="738"/>
      <c r="AA41" s="738"/>
      <c r="AB41" s="738"/>
      <c r="AC41" s="738"/>
    </row>
    <row r="42" spans="1:29" ht="15.75" thickBot="1">
      <c r="A42" s="467" t="s">
        <v>2460</v>
      </c>
      <c r="B42" s="468"/>
      <c r="C42" s="1506" t="e">
        <f>R43</f>
        <v>#DIV/0!</v>
      </c>
      <c r="D42" s="1507"/>
      <c r="E42" s="1508" t="e">
        <f>R42</f>
        <v>#DIV/0!</v>
      </c>
      <c r="F42" s="1508"/>
      <c r="G42" s="1506" t="e">
        <f>T42</f>
        <v>#DIV/0!</v>
      </c>
      <c r="H42" s="1507"/>
      <c r="I42" s="1508" t="e">
        <f>V42</f>
        <v>#DIV/0!</v>
      </c>
      <c r="J42" s="1507"/>
      <c r="K42" s="763"/>
      <c r="L42" s="1255"/>
      <c r="M42" s="1256"/>
      <c r="N42" s="1243"/>
      <c r="O42" s="1256"/>
      <c r="P42" s="2983" t="str">
        <f>A42</f>
        <v>比较价值（元/平方米）</v>
      </c>
      <c r="Q42" s="2983"/>
      <c r="R42" s="2984" t="e">
        <f>IF(E1="售价",ROUND(PRODUCT(R41,AA7:AA40),0),ROUND(PRODUCT(R41,AA7:AA40),1))</f>
        <v>#DIV/0!</v>
      </c>
      <c r="S42" s="2984"/>
      <c r="T42" s="2984" t="e">
        <f>IF(E1="售价",ROUND(PRODUCT(T41,AB7:AB40),0),ROUND(PRODUCT(T41,AB7:AB40),1))</f>
        <v>#DIV/0!</v>
      </c>
      <c r="U42" s="2984"/>
      <c r="V42" s="2984" t="e">
        <f>IF(E1="售价",ROUND(PRODUCT(V41,AC7:AC40),0),ROUND(PRODUCT(V41,AC7:AC40),1))</f>
        <v>#DIV/0!</v>
      </c>
      <c r="W42" s="2984"/>
      <c r="X42" s="738"/>
      <c r="Y42" s="738"/>
      <c r="Z42" s="738"/>
      <c r="AA42" s="738"/>
      <c r="AB42" s="738"/>
      <c r="AC42" s="738"/>
    </row>
    <row r="43" spans="1:29" ht="15.75" thickBot="1">
      <c r="A43" s="473" t="s">
        <v>2483</v>
      </c>
      <c r="B43" s="474"/>
      <c r="C43" s="1510" t="e">
        <f>R43</f>
        <v>#DIV/0!</v>
      </c>
      <c r="D43" s="1510"/>
      <c r="E43" s="1510"/>
      <c r="F43" s="1510"/>
      <c r="G43" s="1510"/>
      <c r="H43" s="1510"/>
      <c r="I43" s="1510"/>
      <c r="J43" s="1510"/>
      <c r="K43" s="764"/>
      <c r="L43" s="1255"/>
      <c r="M43" s="1256"/>
      <c r="N43" s="1256"/>
      <c r="O43" s="1256"/>
      <c r="P43" s="3057" t="str">
        <f>A43</f>
        <v>估价对象XX用房的比较价值（楼面单价，元/平方米）</v>
      </c>
      <c r="Q43" s="2982"/>
      <c r="R43" s="2986" t="e">
        <f>IF(E1="售价",ROUND(AVERAGE(R42:V42),0),ROUND(AVERAGE(R42:V42),1))</f>
        <v>#DIV/0!</v>
      </c>
      <c r="S43" s="2986"/>
      <c r="T43" s="2986"/>
      <c r="U43" s="2986"/>
      <c r="V43" s="2986"/>
      <c r="W43" s="2986"/>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2465</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6" t="str">
        <f>YEAR(C7)&amp;"-"&amp;MONTH(C7)</f>
        <v>2018-6</v>
      </c>
      <c r="D52" s="1677">
        <f>EDATE(C52,-1)</f>
        <v>43221</v>
      </c>
      <c r="E52" s="1678">
        <f t="shared" ref="E52:O52" si="16">EDATE(D52,-1)</f>
        <v>43191</v>
      </c>
      <c r="F52" s="1678">
        <f t="shared" si="16"/>
        <v>43160</v>
      </c>
      <c r="G52" s="1678">
        <f t="shared" si="16"/>
        <v>43132</v>
      </c>
      <c r="H52" s="1678">
        <f t="shared" si="16"/>
        <v>43101</v>
      </c>
      <c r="I52" s="1678">
        <f t="shared" si="16"/>
        <v>43070</v>
      </c>
      <c r="J52" s="1678">
        <f t="shared" si="16"/>
        <v>43040</v>
      </c>
      <c r="K52" s="1678">
        <f t="shared" si="16"/>
        <v>43009</v>
      </c>
      <c r="L52" s="1678">
        <f t="shared" si="16"/>
        <v>42979</v>
      </c>
      <c r="M52" s="1678">
        <f t="shared" si="16"/>
        <v>42948</v>
      </c>
      <c r="N52" s="1678">
        <f t="shared" si="16"/>
        <v>42917</v>
      </c>
      <c r="O52" s="1678">
        <f t="shared" si="16"/>
        <v>42887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2385</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2388</v>
      </c>
      <c r="B57" s="509" t="s">
        <v>2353</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2356</v>
      </c>
      <c r="C59" s="522" t="s">
        <v>2389</v>
      </c>
      <c r="D59" s="522" t="s">
        <v>2390</v>
      </c>
      <c r="E59" s="522" t="s">
        <v>2391</v>
      </c>
      <c r="F59" s="522" t="s">
        <v>2392</v>
      </c>
      <c r="G59" s="522" t="s">
        <v>2393</v>
      </c>
      <c r="H59" s="522" t="s">
        <v>2394</v>
      </c>
      <c r="I59" s="522" t="s">
        <v>2395</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2358</v>
      </c>
      <c r="B70" s="509" t="s">
        <v>2498</v>
      </c>
      <c r="C70" s="557" t="s">
        <v>2397</v>
      </c>
      <c r="D70" s="557" t="s">
        <v>2398</v>
      </c>
      <c r="E70" s="557" t="s">
        <v>2399</v>
      </c>
      <c r="F70" s="557" t="s">
        <v>2400</v>
      </c>
      <c r="G70" s="557" t="s">
        <v>2401</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2402</v>
      </c>
      <c r="C72" s="562" t="s">
        <v>2397</v>
      </c>
      <c r="D72" s="562" t="s">
        <v>2398</v>
      </c>
      <c r="E72" s="562" t="s">
        <v>2399</v>
      </c>
      <c r="F72" s="562" t="s">
        <v>2400</v>
      </c>
      <c r="G72" s="562" t="s">
        <v>2401</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2403</v>
      </c>
      <c r="C74" s="562" t="s">
        <v>2397</v>
      </c>
      <c r="D74" s="562" t="s">
        <v>2398</v>
      </c>
      <c r="E74" s="562" t="s">
        <v>2399</v>
      </c>
      <c r="F74" s="562" t="s">
        <v>2400</v>
      </c>
      <c r="G74" s="562" t="s">
        <v>2401</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2475</v>
      </c>
      <c r="C76" s="522" t="s">
        <v>2404</v>
      </c>
      <c r="D76" s="522" t="s">
        <v>2405</v>
      </c>
      <c r="E76" s="522" t="s">
        <v>2406</v>
      </c>
      <c r="F76" s="522" t="s">
        <v>2407</v>
      </c>
      <c r="G76" s="522" t="s">
        <v>2408</v>
      </c>
      <c r="H76" s="522"/>
      <c r="I76" s="522"/>
      <c r="J76" s="522"/>
      <c r="K76" s="522"/>
      <c r="L76" s="522"/>
      <c r="M76" s="1465"/>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2485</v>
      </c>
      <c r="C78" s="562" t="s">
        <v>2397</v>
      </c>
      <c r="D78" s="562" t="s">
        <v>2398</v>
      </c>
      <c r="E78" s="562" t="s">
        <v>2399</v>
      </c>
      <c r="F78" s="562" t="s">
        <v>2400</v>
      </c>
      <c r="G78" s="562" t="s">
        <v>2401</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0"/>
      <c r="B87" s="553"/>
      <c r="C87" s="554"/>
      <c r="D87" s="554"/>
      <c r="E87" s="554"/>
      <c r="F87" s="554"/>
      <c r="G87" s="575"/>
      <c r="H87" s="575"/>
      <c r="I87" s="575"/>
      <c r="J87" s="575"/>
      <c r="K87" s="575"/>
      <c r="L87" s="575"/>
      <c r="M87" s="576"/>
      <c r="N87" s="1267"/>
      <c r="O87" s="1267"/>
      <c r="P87" s="22"/>
      <c r="Q87" s="485"/>
    </row>
    <row r="88" spans="1:17">
      <c r="A88" s="508" t="s">
        <v>2363</v>
      </c>
      <c r="B88" s="509" t="s">
        <v>2412</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2414</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2416</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2417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2418</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2419</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2421</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2499</v>
      </c>
      <c r="C106" s="562" t="s">
        <v>2397</v>
      </c>
      <c r="D106" s="562" t="s">
        <v>2398</v>
      </c>
      <c r="E106" s="562" t="s">
        <v>2399</v>
      </c>
      <c r="F106" s="562" t="s">
        <v>2400</v>
      </c>
      <c r="G106" s="562" t="s">
        <v>2401</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0"/>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2500</v>
      </c>
      <c r="B1" s="2478"/>
      <c r="C1" s="1727"/>
      <c r="D1" s="1728"/>
      <c r="E1" s="2380"/>
      <c r="F1" s="1729" t="s">
        <v>2332</v>
      </c>
      <c r="G1" s="1728"/>
      <c r="H1" s="1728"/>
      <c r="I1" s="1728"/>
      <c r="J1" s="1728"/>
      <c r="K1" s="1730"/>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2000</v>
      </c>
      <c r="B2" s="1723" t="e">
        <f ca="1">IF(D2="——",IF(B37="元/平方米",IF(C2="元",ROUND(C39*D3,0),ROUND(C39*D3/10000,0)),IF(C2="元",ROUND(F3*C39,0),ROUND(F3*C39/10000,0))),IF(B37="元/平方米",IF(C2="元",ROUND(C39*D3,0),ROUND(C39*D3/10000,0)),IF(C2="元",ROUND(F3*C39,0),ROUND(F3*C39/10000,0)))-E2)</f>
        <v>#DIV/0!</v>
      </c>
      <c r="C2" s="163" t="str">
        <f>'数据-取费表'!B3</f>
        <v>元</v>
      </c>
      <c r="D2" s="2382"/>
      <c r="E2" s="1213" t="e">
        <f ca="1">SUMIF(INDIRECT("'"&amp;G2&amp;"'"&amp;"!A:A"),"承租人权益价值",INDIRECT("'"&amp;G2&amp;"'"&amp;"!c:c"))</f>
        <v>#REF!</v>
      </c>
      <c r="F2" s="2383" t="str">
        <f>C2</f>
        <v>元</v>
      </c>
      <c r="G2" s="2384"/>
      <c r="H2" s="981"/>
      <c r="I2" s="981"/>
      <c r="J2" s="981"/>
      <c r="K2" s="983"/>
      <c r="L2" s="1511"/>
      <c r="M2" s="747"/>
      <c r="N2" s="747"/>
      <c r="O2" s="747"/>
      <c r="P2" s="747"/>
      <c r="Q2" s="747"/>
      <c r="R2" s="747"/>
      <c r="S2" s="747"/>
      <c r="T2" s="747"/>
      <c r="U2" s="747"/>
      <c r="V2" s="747"/>
      <c r="W2" s="747"/>
      <c r="X2" s="747"/>
      <c r="Y2" s="747"/>
      <c r="Z2" s="747"/>
      <c r="AA2" s="747"/>
      <c r="AB2" s="747"/>
      <c r="AC2" s="748"/>
    </row>
    <row r="3" spans="1:29" s="377" customFormat="1" ht="28.5" customHeight="1" thickBot="1">
      <c r="A3" s="167" t="s">
        <v>2001</v>
      </c>
      <c r="B3" s="593" t="e">
        <f>IF(AND(D2="——",B37="元/平方米"),C39,ROUND(F3*C39/D3,0))</f>
        <v>#DIV/0!</v>
      </c>
      <c r="C3" s="379" t="s">
        <v>2333</v>
      </c>
      <c r="D3" s="378">
        <f>IF(C1="仅计算典型户型",'数据-取费表'!E5,'数据-取费表'!B5)</f>
        <v>218.48</v>
      </c>
      <c r="E3" s="1091" t="s">
        <v>2501</v>
      </c>
      <c r="F3" s="379">
        <f>'数据-取费表'!B41</f>
        <v>0</v>
      </c>
      <c r="G3" s="981"/>
      <c r="H3" s="981"/>
      <c r="I3" s="981"/>
      <c r="J3" s="981"/>
      <c r="K3" s="983"/>
      <c r="L3" s="1511"/>
      <c r="M3" s="747"/>
      <c r="N3" s="747"/>
      <c r="O3" s="747"/>
      <c r="P3" s="747"/>
      <c r="Q3" s="747"/>
      <c r="R3" s="747"/>
      <c r="S3" s="747"/>
      <c r="T3" s="747"/>
      <c r="U3" s="747"/>
      <c r="V3" s="747"/>
      <c r="W3" s="747"/>
      <c r="X3" s="747"/>
      <c r="Y3" s="747"/>
      <c r="Z3" s="747"/>
      <c r="AA3" s="747"/>
      <c r="AB3" s="767"/>
      <c r="AC3" s="761"/>
    </row>
    <row r="4" spans="1:29" ht="15">
      <c r="A4" s="380" t="s">
        <v>2334</v>
      </c>
      <c r="B4" s="381"/>
      <c r="C4" s="3008" t="s">
        <v>2335</v>
      </c>
      <c r="D4" s="3009"/>
      <c r="E4" s="3010" t="s">
        <v>2336</v>
      </c>
      <c r="F4" s="3011"/>
      <c r="G4" s="3008" t="s">
        <v>2337</v>
      </c>
      <c r="H4" s="3009"/>
      <c r="I4" s="3008" t="s">
        <v>2338</v>
      </c>
      <c r="J4" s="3009"/>
      <c r="K4" s="594" t="s">
        <v>2339</v>
      </c>
      <c r="L4" s="1512"/>
      <c r="M4" s="425"/>
      <c r="N4" s="425"/>
      <c r="O4" s="425"/>
      <c r="P4" s="3064" t="s">
        <v>2340</v>
      </c>
      <c r="Q4" s="3001"/>
      <c r="R4" s="2994" t="s">
        <v>2336</v>
      </c>
      <c r="S4" s="2995"/>
      <c r="T4" s="2994" t="s">
        <v>2337</v>
      </c>
      <c r="U4" s="2995"/>
      <c r="V4" s="3016" t="s">
        <v>2338</v>
      </c>
      <c r="W4" s="3016"/>
      <c r="X4" s="1898"/>
      <c r="Y4" s="2994" t="s">
        <v>2340</v>
      </c>
      <c r="Z4" s="2995"/>
      <c r="AA4" s="3005" t="s">
        <v>2336</v>
      </c>
      <c r="AB4" s="3006" t="s">
        <v>2337</v>
      </c>
      <c r="AC4" s="3005" t="s">
        <v>2338</v>
      </c>
    </row>
    <row r="5" spans="1:29" ht="15">
      <c r="A5" s="383"/>
      <c r="B5" s="384"/>
      <c r="C5" s="3023" t="s">
        <v>2341</v>
      </c>
      <c r="D5" s="3020"/>
      <c r="E5" s="3017" t="s">
        <v>2342</v>
      </c>
      <c r="F5" s="3018"/>
      <c r="G5" s="3023" t="s">
        <v>2343</v>
      </c>
      <c r="H5" s="3020"/>
      <c r="I5" s="3023" t="s">
        <v>2344</v>
      </c>
      <c r="J5" s="3020"/>
      <c r="K5" s="594"/>
      <c r="L5" s="1512"/>
      <c r="M5" s="425"/>
      <c r="N5" s="425"/>
      <c r="O5" s="425"/>
      <c r="P5" s="3065"/>
      <c r="Q5" s="3002"/>
      <c r="R5" s="2996"/>
      <c r="S5" s="2997"/>
      <c r="T5" s="2996"/>
      <c r="U5" s="2997"/>
      <c r="V5" s="3016"/>
      <c r="W5" s="3016"/>
      <c r="X5" s="1898"/>
      <c r="Y5" s="2996"/>
      <c r="Z5" s="2997"/>
      <c r="AA5" s="3006"/>
      <c r="AB5" s="3006"/>
      <c r="AC5" s="3006"/>
    </row>
    <row r="6" spans="1:29" ht="15.75" thickBot="1">
      <c r="A6" s="385"/>
      <c r="B6" s="386"/>
      <c r="C6" s="3021" t="s">
        <v>2345</v>
      </c>
      <c r="D6" s="3022"/>
      <c r="E6" s="3024" t="s">
        <v>2345</v>
      </c>
      <c r="F6" s="3025"/>
      <c r="G6" s="3021" t="s">
        <v>2345</v>
      </c>
      <c r="H6" s="3022"/>
      <c r="I6" s="3021" t="s">
        <v>2345</v>
      </c>
      <c r="J6" s="3022"/>
      <c r="K6" s="594" t="s">
        <v>2346</v>
      </c>
      <c r="L6" s="1512"/>
      <c r="M6" s="425"/>
      <c r="N6" s="425"/>
      <c r="O6" s="425"/>
      <c r="P6" s="3066"/>
      <c r="Q6" s="3015"/>
      <c r="R6" s="2996"/>
      <c r="S6" s="2997"/>
      <c r="T6" s="2998"/>
      <c r="U6" s="2999"/>
      <c r="V6" s="3016"/>
      <c r="W6" s="3016"/>
      <c r="X6" s="1898"/>
      <c r="Y6" s="2998"/>
      <c r="Z6" s="2999"/>
      <c r="AA6" s="3007"/>
      <c r="AB6" s="3007"/>
      <c r="AC6" s="3007"/>
    </row>
    <row r="7" spans="1:29" s="35" customFormat="1" ht="15.75" thickBot="1">
      <c r="A7" s="387" t="s">
        <v>2347</v>
      </c>
      <c r="B7" s="388"/>
      <c r="C7" s="389">
        <f>'数据-取费表'!B2</f>
        <v>43257</v>
      </c>
      <c r="D7" s="390">
        <v>100</v>
      </c>
      <c r="E7" s="391"/>
      <c r="F7" s="392">
        <f>SUMIF(48:48,YEAR(E7)&amp;"-"&amp;MONTH(E7),49:49)</f>
        <v>0</v>
      </c>
      <c r="G7" s="391"/>
      <c r="H7" s="390">
        <f>SUMIF(48:48,YEAR(G7)&amp;"-"&amp;MONTH(G7),49:49)</f>
        <v>0</v>
      </c>
      <c r="I7" s="391"/>
      <c r="J7" s="390">
        <f>SUMIF(48:48,YEAR(I7)&amp;"-"&amp;MONTH(I7),49:49)</f>
        <v>0</v>
      </c>
      <c r="K7" s="595"/>
      <c r="L7" s="1513"/>
      <c r="M7" s="1514"/>
      <c r="N7" s="1514"/>
      <c r="O7" s="1514"/>
      <c r="P7" s="2992" t="s">
        <v>2348</v>
      </c>
      <c r="Q7" s="3000"/>
      <c r="R7" s="749" t="s">
        <v>25</v>
      </c>
      <c r="S7" s="750">
        <f t="shared" ref="S7:S14" si="0">F7</f>
        <v>0</v>
      </c>
      <c r="T7" s="749" t="s">
        <v>25</v>
      </c>
      <c r="U7" s="750">
        <f t="shared" ref="U7:U14" si="1">H7</f>
        <v>0</v>
      </c>
      <c r="V7" s="749" t="s">
        <v>25</v>
      </c>
      <c r="W7" s="750">
        <f t="shared" ref="W7:W14" si="2">J7</f>
        <v>0</v>
      </c>
      <c r="X7" s="751"/>
      <c r="Y7" s="2992" t="s">
        <v>2348</v>
      </c>
      <c r="Z7" s="2993"/>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3"/>
      <c r="M8" s="1514"/>
      <c r="N8" s="1514"/>
      <c r="O8" s="1514"/>
      <c r="P8" s="2992" t="s">
        <v>2351</v>
      </c>
      <c r="Q8" s="2993"/>
      <c r="R8" s="749" t="s">
        <v>25</v>
      </c>
      <c r="S8" s="750">
        <f t="shared" si="0"/>
        <v>0</v>
      </c>
      <c r="T8" s="749" t="s">
        <v>25</v>
      </c>
      <c r="U8" s="750">
        <f t="shared" si="1"/>
        <v>0</v>
      </c>
      <c r="V8" s="749" t="s">
        <v>25</v>
      </c>
      <c r="W8" s="750">
        <f t="shared" si="2"/>
        <v>0</v>
      </c>
      <c r="X8" s="751"/>
      <c r="Y8" s="2992" t="s">
        <v>2351</v>
      </c>
      <c r="Z8" s="2993"/>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3"/>
      <c r="M9" s="1514"/>
      <c r="N9" s="1514"/>
      <c r="O9" s="1515"/>
      <c r="P9" s="2983" t="s">
        <v>2354</v>
      </c>
      <c r="Q9" s="1885" t="str">
        <f t="shared" ref="Q9:Q14" si="6">B9</f>
        <v>用途</v>
      </c>
      <c r="R9" s="749" t="s">
        <v>25</v>
      </c>
      <c r="S9" s="750">
        <f t="shared" si="0"/>
        <v>100</v>
      </c>
      <c r="T9" s="749" t="s">
        <v>25</v>
      </c>
      <c r="U9" s="750">
        <f t="shared" si="1"/>
        <v>100</v>
      </c>
      <c r="V9" s="749" t="s">
        <v>25</v>
      </c>
      <c r="W9" s="750">
        <f t="shared" si="2"/>
        <v>100</v>
      </c>
      <c r="X9" s="751"/>
      <c r="Y9" s="2843"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6"/>
      <c r="M10" s="1517"/>
      <c r="N10" s="1517"/>
      <c r="O10" s="1518"/>
      <c r="P10" s="2983"/>
      <c r="Q10" s="1885"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9"/>
      <c r="M11" s="425"/>
      <c r="N11" s="425"/>
      <c r="O11" s="1899"/>
      <c r="P11" s="2983"/>
      <c r="Q11" s="1885">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3"/>
      <c r="M12" s="1514"/>
      <c r="N12" s="1514"/>
      <c r="O12" s="1515"/>
      <c r="P12" s="2983"/>
      <c r="Q12" s="1885">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0"/>
      <c r="M13" s="425"/>
      <c r="N13" s="425"/>
      <c r="O13" s="1899"/>
      <c r="P13" s="2983"/>
      <c r="Q13" s="1885">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
      <c r="A14" s="380" t="s">
        <v>2358</v>
      </c>
      <c r="B14" s="613" t="s">
        <v>2502</v>
      </c>
      <c r="C14" s="1478" t="str">
        <f>IF(B1="工业",估价对象房地状况!G4,估价对象房地状况!C6)</f>
        <v>较好</v>
      </c>
      <c r="D14" s="1472">
        <v>100</v>
      </c>
      <c r="E14" s="421"/>
      <c r="F14" s="420">
        <f>SUMIF(63:63,E15,64:64)-SUMIF(63:63,C15,64:64)+100</f>
        <v>100</v>
      </c>
      <c r="G14" s="421"/>
      <c r="H14" s="420">
        <f>SUMIF(63:63,G15,64:64)-SUMIF(63:63,C15,64:64)+100</f>
        <v>100</v>
      </c>
      <c r="I14" s="421"/>
      <c r="J14" s="420">
        <f>SUMIF(63:63,I15,64:64)-SUMIF(63:63,C15,64:64)+100</f>
        <v>100</v>
      </c>
      <c r="K14" s="598"/>
      <c r="L14" s="1520"/>
      <c r="M14" s="425"/>
      <c r="N14" s="425"/>
      <c r="O14" s="1899"/>
      <c r="P14" s="3003" t="s">
        <v>2359</v>
      </c>
      <c r="Q14" s="1897" t="str">
        <f t="shared" si="6"/>
        <v>交通便捷度</v>
      </c>
      <c r="R14" s="753" t="s">
        <v>25</v>
      </c>
      <c r="S14" s="754">
        <f t="shared" si="0"/>
        <v>100</v>
      </c>
      <c r="T14" s="753" t="s">
        <v>25</v>
      </c>
      <c r="U14" s="754">
        <f t="shared" si="1"/>
        <v>100</v>
      </c>
      <c r="V14" s="753" t="s">
        <v>25</v>
      </c>
      <c r="W14" s="754">
        <f t="shared" si="2"/>
        <v>100</v>
      </c>
      <c r="X14" s="1898"/>
      <c r="Y14" s="3003" t="s">
        <v>2359</v>
      </c>
      <c r="Z14" s="1900" t="str">
        <f t="shared" si="7"/>
        <v>交通便捷度</v>
      </c>
      <c r="AA14" s="1901">
        <f t="shared" si="3"/>
        <v>1</v>
      </c>
      <c r="AB14" s="1901">
        <f t="shared" si="4"/>
        <v>1</v>
      </c>
      <c r="AC14" s="1901">
        <f t="shared" si="5"/>
        <v>1</v>
      </c>
    </row>
    <row r="15" spans="1:29" ht="15">
      <c r="A15" s="383"/>
      <c r="B15" s="631"/>
      <c r="C15" s="1479"/>
      <c r="D15" s="1473"/>
      <c r="E15" s="426"/>
      <c r="F15" s="427"/>
      <c r="G15" s="1470"/>
      <c r="H15" s="430"/>
      <c r="I15" s="426"/>
      <c r="J15" s="427"/>
      <c r="K15" s="599"/>
      <c r="L15" s="1520"/>
      <c r="M15" s="425"/>
      <c r="N15" s="425"/>
      <c r="O15" s="1899"/>
      <c r="P15" s="3004"/>
      <c r="Q15" s="1897"/>
      <c r="R15" s="753"/>
      <c r="S15" s="754"/>
      <c r="T15" s="753"/>
      <c r="U15" s="754"/>
      <c r="V15" s="753"/>
      <c r="W15" s="754"/>
      <c r="X15" s="1898"/>
      <c r="Y15" s="3004"/>
      <c r="Z15" s="1900"/>
      <c r="AA15" s="1901">
        <v>1</v>
      </c>
      <c r="AB15" s="1901">
        <v>1</v>
      </c>
      <c r="AC15" s="1901">
        <v>1</v>
      </c>
    </row>
    <row r="16" spans="1:29" ht="15">
      <c r="A16" s="383"/>
      <c r="B16" s="615" t="s">
        <v>2474</v>
      </c>
      <c r="C16" s="1480" t="str">
        <f>IF(B1="工业",估价对象房地状况!G5,估价对象房地状况!C7)</f>
        <v>较好</v>
      </c>
      <c r="D16" s="1474">
        <v>100</v>
      </c>
      <c r="E16" s="432"/>
      <c r="F16" s="430">
        <f>SUMIF(65:65,E17,66:66)-SUMIF(65:65,C17,66:66)+100</f>
        <v>100</v>
      </c>
      <c r="G16" s="432"/>
      <c r="H16" s="435">
        <f>SUMIF(65:65,G17,66:66)-SUMIF(65:65,C17,66:66)+100</f>
        <v>100</v>
      </c>
      <c r="I16" s="432"/>
      <c r="J16" s="435">
        <f>SUMIF(65:65,I17,66:66)-SUMIF(65:65,C17,66:66)+100</f>
        <v>100</v>
      </c>
      <c r="K16" s="598"/>
      <c r="L16" s="1520"/>
      <c r="M16" s="425"/>
      <c r="N16" s="425"/>
      <c r="O16" s="1899"/>
      <c r="P16" s="3004"/>
      <c r="Q16" s="1897" t="str">
        <f>B16</f>
        <v>公共配套设施</v>
      </c>
      <c r="R16" s="753" t="s">
        <v>25</v>
      </c>
      <c r="S16" s="754">
        <f>F16</f>
        <v>100</v>
      </c>
      <c r="T16" s="753" t="s">
        <v>25</v>
      </c>
      <c r="U16" s="754">
        <f>H16</f>
        <v>100</v>
      </c>
      <c r="V16" s="753" t="s">
        <v>25</v>
      </c>
      <c r="W16" s="754">
        <f>J16</f>
        <v>100</v>
      </c>
      <c r="X16" s="1898"/>
      <c r="Y16" s="3004"/>
      <c r="Z16" s="1900" t="str">
        <f>Q16</f>
        <v>公共配套设施</v>
      </c>
      <c r="AA16" s="1901">
        <f t="shared" si="3"/>
        <v>1</v>
      </c>
      <c r="AB16" s="1901">
        <f t="shared" si="4"/>
        <v>1</v>
      </c>
      <c r="AC16" s="1901">
        <f t="shared" si="5"/>
        <v>1</v>
      </c>
    </row>
    <row r="17" spans="1:29" ht="15">
      <c r="A17" s="383"/>
      <c r="B17" s="616"/>
      <c r="C17" s="1468"/>
      <c r="D17" s="1474"/>
      <c r="E17" s="428"/>
      <c r="F17" s="430"/>
      <c r="G17" s="428"/>
      <c r="H17" s="427"/>
      <c r="I17" s="428"/>
      <c r="J17" s="427"/>
      <c r="K17" s="599"/>
      <c r="L17" s="1520"/>
      <c r="M17" s="425"/>
      <c r="N17" s="425"/>
      <c r="O17" s="1899"/>
      <c r="P17" s="3004"/>
      <c r="Q17" s="1897"/>
      <c r="R17" s="753"/>
      <c r="S17" s="754"/>
      <c r="T17" s="753"/>
      <c r="U17" s="754"/>
      <c r="V17" s="753"/>
      <c r="W17" s="754"/>
      <c r="X17" s="1898"/>
      <c r="Y17" s="3004"/>
      <c r="Z17" s="1900"/>
      <c r="AA17" s="1901">
        <v>1</v>
      </c>
      <c r="AB17" s="1901">
        <v>1</v>
      </c>
      <c r="AC17" s="1901">
        <v>1</v>
      </c>
    </row>
    <row r="18" spans="1:29" ht="15">
      <c r="A18" s="383"/>
      <c r="B18" s="617" t="s">
        <v>2475</v>
      </c>
      <c r="C18" s="1480" t="str">
        <f>IF(B1="工业",估价对象房地状况!G6,估价对象房地状况!C8)</f>
        <v>七通</v>
      </c>
      <c r="D18" s="1474">
        <v>100</v>
      </c>
      <c r="E18" s="432"/>
      <c r="F18" s="430">
        <f>SUMIF(67:67,E19,68:68)-SUMIF(67:67,C19,68:68)+100</f>
        <v>100</v>
      </c>
      <c r="G18" s="432"/>
      <c r="H18" s="435">
        <f>SUMIF(67:67,G19,68:68)-SUMIF(67:67,C19,68:68)+100</f>
        <v>100</v>
      </c>
      <c r="I18" s="432"/>
      <c r="J18" s="435">
        <f>SUMIF(67:67,I19,68:68)-SUMIF(67:67,C19,68:68)+100</f>
        <v>100</v>
      </c>
      <c r="K18" s="598"/>
      <c r="L18" s="1520"/>
      <c r="M18" s="425"/>
      <c r="N18" s="425"/>
      <c r="O18" s="1899"/>
      <c r="P18" s="3004"/>
      <c r="Q18" s="1897" t="str">
        <f>B18</f>
        <v>基础设施水平</v>
      </c>
      <c r="R18" s="753" t="s">
        <v>25</v>
      </c>
      <c r="S18" s="754">
        <f>F18</f>
        <v>100</v>
      </c>
      <c r="T18" s="753" t="s">
        <v>25</v>
      </c>
      <c r="U18" s="754">
        <f>H18</f>
        <v>100</v>
      </c>
      <c r="V18" s="753" t="s">
        <v>25</v>
      </c>
      <c r="W18" s="754">
        <f>J18</f>
        <v>100</v>
      </c>
      <c r="X18" s="1898"/>
      <c r="Y18" s="3004"/>
      <c r="Z18" s="1900" t="str">
        <f>Q18</f>
        <v>基础设施水平</v>
      </c>
      <c r="AA18" s="1901">
        <f t="shared" ref="AA18" si="8">D18/F18</f>
        <v>1</v>
      </c>
      <c r="AB18" s="1901">
        <f t="shared" ref="AB18" si="9">D18/H18</f>
        <v>1</v>
      </c>
      <c r="AC18" s="1901">
        <f t="shared" ref="AC18" si="10">D18/J18</f>
        <v>1</v>
      </c>
    </row>
    <row r="19" spans="1:29" ht="15">
      <c r="A19" s="383"/>
      <c r="B19" s="617"/>
      <c r="C19" s="1469"/>
      <c r="D19" s="1474"/>
      <c r="E19" s="1466"/>
      <c r="F19" s="430"/>
      <c r="G19" s="1466"/>
      <c r="H19" s="427"/>
      <c r="I19" s="428"/>
      <c r="J19" s="427"/>
      <c r="K19" s="1467"/>
      <c r="L19" s="1520"/>
      <c r="M19" s="425"/>
      <c r="N19" s="425"/>
      <c r="O19" s="1899"/>
      <c r="P19" s="3004"/>
      <c r="Q19" s="1897"/>
      <c r="R19" s="753"/>
      <c r="S19" s="754"/>
      <c r="T19" s="753"/>
      <c r="U19" s="754"/>
      <c r="V19" s="753"/>
      <c r="W19" s="754"/>
      <c r="X19" s="1898"/>
      <c r="Y19" s="3004"/>
      <c r="Z19" s="1900"/>
      <c r="AA19" s="1901">
        <v>1</v>
      </c>
      <c r="AB19" s="1901">
        <v>1</v>
      </c>
      <c r="AC19" s="1901">
        <v>1</v>
      </c>
    </row>
    <row r="20" spans="1:29" ht="15">
      <c r="A20" s="383"/>
      <c r="B20" s="615" t="s">
        <v>2503</v>
      </c>
      <c r="C20" s="1480" t="str">
        <f>IF(B1="工业",估价对象房地状况!G7,估价对象房地状况!C9)</f>
        <v>较好</v>
      </c>
      <c r="D20" s="1475">
        <v>100</v>
      </c>
      <c r="E20" s="438"/>
      <c r="F20" s="435">
        <f>SUMIF(69:69,E21,70:70)-SUMIF(69:69,C21,70:70)+100</f>
        <v>100</v>
      </c>
      <c r="G20" s="438"/>
      <c r="H20" s="430">
        <f>SUMIF(69:69,G21,70:70)-SUMIF(69:69,C21,70:70)+100</f>
        <v>100</v>
      </c>
      <c r="I20" s="432"/>
      <c r="J20" s="430">
        <f>SUMIF(69:69,I21,70:70)-SUMIF(69:69,C21,70:70)+100</f>
        <v>100</v>
      </c>
      <c r="K20" s="598"/>
      <c r="L20" s="1520"/>
      <c r="M20" s="425"/>
      <c r="N20" s="425"/>
      <c r="O20" s="1899"/>
      <c r="P20" s="3004"/>
      <c r="Q20" s="1897" t="str">
        <f>B20</f>
        <v>自然及人文环境</v>
      </c>
      <c r="R20" s="753" t="s">
        <v>25</v>
      </c>
      <c r="S20" s="754">
        <f>F20</f>
        <v>100</v>
      </c>
      <c r="T20" s="753" t="s">
        <v>25</v>
      </c>
      <c r="U20" s="754">
        <f>H20</f>
        <v>100</v>
      </c>
      <c r="V20" s="753" t="s">
        <v>25</v>
      </c>
      <c r="W20" s="754">
        <f>J20</f>
        <v>100</v>
      </c>
      <c r="X20" s="1898"/>
      <c r="Y20" s="3004"/>
      <c r="Z20" s="1900" t="str">
        <f>Q20</f>
        <v>自然及人文环境</v>
      </c>
      <c r="AA20" s="1901">
        <f t="shared" si="3"/>
        <v>1</v>
      </c>
      <c r="AB20" s="1901">
        <f t="shared" si="4"/>
        <v>1</v>
      </c>
      <c r="AC20" s="1901">
        <f t="shared" si="5"/>
        <v>1</v>
      </c>
    </row>
    <row r="21" spans="1:29" ht="15">
      <c r="A21" s="383"/>
      <c r="B21" s="616"/>
      <c r="C21" s="1479"/>
      <c r="D21" s="1473"/>
      <c r="E21" s="426"/>
      <c r="F21" s="427"/>
      <c r="G21" s="1470"/>
      <c r="H21" s="427"/>
      <c r="I21" s="426"/>
      <c r="J21" s="427"/>
      <c r="K21" s="599"/>
      <c r="L21" s="1520"/>
      <c r="M21" s="425"/>
      <c r="N21" s="425"/>
      <c r="O21" s="1899"/>
      <c r="P21" s="3004"/>
      <c r="Q21" s="1897"/>
      <c r="R21" s="753"/>
      <c r="S21" s="754"/>
      <c r="T21" s="753"/>
      <c r="U21" s="754"/>
      <c r="V21" s="753"/>
      <c r="W21" s="754"/>
      <c r="X21" s="1898"/>
      <c r="Y21" s="3004"/>
      <c r="Z21" s="1900"/>
      <c r="AA21" s="1901">
        <v>1</v>
      </c>
      <c r="AB21" s="1901">
        <v>1</v>
      </c>
      <c r="AC21" s="1901">
        <v>1</v>
      </c>
    </row>
    <row r="22" spans="1:29" ht="15">
      <c r="A22" s="383"/>
      <c r="B22" s="615" t="s">
        <v>2504</v>
      </c>
      <c r="C22" s="618"/>
      <c r="D22" s="1474">
        <v>100</v>
      </c>
      <c r="E22" s="600"/>
      <c r="F22" s="415">
        <f>SUMIF(71:71,E22,72:72)-SUMIF(71:71,C22,72:72)+100</f>
        <v>100</v>
      </c>
      <c r="G22" s="618"/>
      <c r="H22" s="415">
        <f>SUMIF(71:71,G22,72:72)-SUMIF(71:71,C22,72:72)+100</f>
        <v>100</v>
      </c>
      <c r="I22" s="600"/>
      <c r="J22" s="415">
        <f>SUMIF(71:71,I22,72:72)-SUMIF(71:71,C22,72:72)+100</f>
        <v>100</v>
      </c>
      <c r="K22" s="596"/>
      <c r="L22" s="1520"/>
      <c r="M22" s="425"/>
      <c r="N22" s="425"/>
      <c r="O22" s="1899"/>
      <c r="P22" s="3004"/>
      <c r="Q22" s="1897" t="str">
        <f>B22</f>
        <v>楼层</v>
      </c>
      <c r="R22" s="753" t="s">
        <v>25</v>
      </c>
      <c r="S22" s="754">
        <f>F22</f>
        <v>100</v>
      </c>
      <c r="T22" s="753" t="s">
        <v>25</v>
      </c>
      <c r="U22" s="754">
        <f>H22</f>
        <v>100</v>
      </c>
      <c r="V22" s="753" t="s">
        <v>25</v>
      </c>
      <c r="W22" s="754">
        <f>J22</f>
        <v>100</v>
      </c>
      <c r="X22" s="1898"/>
      <c r="Y22" s="3004"/>
      <c r="Z22" s="1900" t="str">
        <f>Q22</f>
        <v>楼层</v>
      </c>
      <c r="AA22" s="1901">
        <f t="shared" si="3"/>
        <v>1</v>
      </c>
      <c r="AB22" s="1901">
        <f t="shared" si="4"/>
        <v>1</v>
      </c>
      <c r="AC22" s="1901">
        <f t="shared" si="5"/>
        <v>1</v>
      </c>
    </row>
    <row r="23" spans="1:29" ht="15">
      <c r="A23" s="383"/>
      <c r="B23" s="632">
        <v>111</v>
      </c>
      <c r="C23" s="1481"/>
      <c r="D23" s="1476">
        <v>100</v>
      </c>
      <c r="E23" s="412"/>
      <c r="F23" s="415">
        <f>SUMIF(73:73,E23,74:74)-SUMIF(73:73,C23,74:74)+100</f>
        <v>100</v>
      </c>
      <c r="G23" s="1471"/>
      <c r="H23" s="415">
        <f>SUMIF(73:73,G23,74:74)-SUMIF(73:73,C23,74:74)+100</f>
        <v>100</v>
      </c>
      <c r="I23" s="412"/>
      <c r="J23" s="415">
        <f>SUMIF(73:73,I23,74:74)-SUMIF(73:73,C23,74:74)+100</f>
        <v>100</v>
      </c>
      <c r="K23" s="597"/>
      <c r="L23" s="1520"/>
      <c r="M23" s="425"/>
      <c r="N23" s="425"/>
      <c r="O23" s="1899"/>
      <c r="P23" s="3004"/>
      <c r="Q23" s="1897">
        <f>B23</f>
        <v>111</v>
      </c>
      <c r="R23" s="753" t="s">
        <v>25</v>
      </c>
      <c r="S23" s="754">
        <f>F23</f>
        <v>100</v>
      </c>
      <c r="T23" s="753" t="s">
        <v>25</v>
      </c>
      <c r="U23" s="754">
        <f>H23</f>
        <v>100</v>
      </c>
      <c r="V23" s="753" t="s">
        <v>25</v>
      </c>
      <c r="W23" s="754">
        <f>J23</f>
        <v>100</v>
      </c>
      <c r="X23" s="1898"/>
      <c r="Y23" s="3004"/>
      <c r="Z23" s="1900">
        <f>Q23</f>
        <v>111</v>
      </c>
      <c r="AA23" s="1901">
        <f t="shared" si="3"/>
        <v>1</v>
      </c>
      <c r="AB23" s="1901">
        <f t="shared" si="4"/>
        <v>1</v>
      </c>
      <c r="AC23" s="1901">
        <f t="shared" si="5"/>
        <v>1</v>
      </c>
    </row>
    <row r="24" spans="1:29" ht="15">
      <c r="A24" s="383"/>
      <c r="B24" s="632">
        <v>111</v>
      </c>
      <c r="C24" s="1481"/>
      <c r="D24" s="1476">
        <v>100</v>
      </c>
      <c r="E24" s="412"/>
      <c r="F24" s="415">
        <f>SUMIF(75:75,E24,76:76)-SUMIF(75:75,C24,76:76)+100</f>
        <v>100</v>
      </c>
      <c r="G24" s="1471"/>
      <c r="H24" s="415">
        <f>SUMIF(75:75,G24,76:76)-SUMIF(75:75,C24,76:76)+100</f>
        <v>100</v>
      </c>
      <c r="I24" s="412"/>
      <c r="J24" s="415">
        <f>SUMIF(75:75,I24,76:76)-SUMIF(75:75,C24,76:76)+100</f>
        <v>100</v>
      </c>
      <c r="K24" s="597"/>
      <c r="L24" s="1520"/>
      <c r="M24" s="425"/>
      <c r="N24" s="425"/>
      <c r="O24" s="1899"/>
      <c r="P24" s="3004"/>
      <c r="Q24" s="1897">
        <f t="shared" ref="Q24:Q36" si="11">B24</f>
        <v>111</v>
      </c>
      <c r="R24" s="753" t="s">
        <v>25</v>
      </c>
      <c r="S24" s="754">
        <f>F24</f>
        <v>100</v>
      </c>
      <c r="T24" s="753" t="s">
        <v>25</v>
      </c>
      <c r="U24" s="754">
        <f>H24</f>
        <v>100</v>
      </c>
      <c r="V24" s="753" t="s">
        <v>25</v>
      </c>
      <c r="W24" s="754">
        <f>J24</f>
        <v>100</v>
      </c>
      <c r="X24" s="1898"/>
      <c r="Y24" s="3004"/>
      <c r="Z24" s="1900">
        <f>Q24</f>
        <v>111</v>
      </c>
      <c r="AA24" s="1901">
        <f t="shared" si="3"/>
        <v>1</v>
      </c>
      <c r="AB24" s="1901">
        <f t="shared" si="4"/>
        <v>1</v>
      </c>
      <c r="AC24" s="1901">
        <f t="shared" si="5"/>
        <v>1</v>
      </c>
    </row>
    <row r="25" spans="1:29" s="35" customFormat="1" ht="15.75" thickBot="1">
      <c r="A25" s="1483"/>
      <c r="B25" s="619">
        <v>111</v>
      </c>
      <c r="C25" s="1482"/>
      <c r="D25" s="1477">
        <v>100</v>
      </c>
      <c r="E25" s="612"/>
      <c r="F25" s="634">
        <f>SUMIF(77:77,E25,78:78)-SUMIF(77:77,C25,78:78)+100</f>
        <v>100</v>
      </c>
      <c r="G25" s="498"/>
      <c r="H25" s="634">
        <f>SUMIF(77:77,G25,78:78)-SUMIF(77:77,C25,78:78)+100</f>
        <v>100</v>
      </c>
      <c r="I25" s="612"/>
      <c r="J25" s="634">
        <f>SUMIF(77:77,I25,78:78)-SUMIF(77:77,C25,78:78)+100</f>
        <v>100</v>
      </c>
      <c r="K25" s="597"/>
      <c r="L25" s="1513"/>
      <c r="M25" s="1514"/>
      <c r="N25" s="1514"/>
      <c r="O25" s="1515"/>
      <c r="P25" s="3004"/>
      <c r="Q25" s="1885">
        <f t="shared" si="11"/>
        <v>111</v>
      </c>
      <c r="R25" s="749" t="s">
        <v>25</v>
      </c>
      <c r="S25" s="750">
        <f>F25</f>
        <v>100</v>
      </c>
      <c r="T25" s="749" t="s">
        <v>25</v>
      </c>
      <c r="U25" s="750">
        <f>H25</f>
        <v>100</v>
      </c>
      <c r="V25" s="749" t="s">
        <v>25</v>
      </c>
      <c r="W25" s="750">
        <f>J25</f>
        <v>100</v>
      </c>
      <c r="X25" s="751"/>
      <c r="Y25" s="3004"/>
      <c r="Z25" s="23">
        <f>Q25</f>
        <v>111</v>
      </c>
      <c r="AA25" s="1901">
        <f>D25/F25</f>
        <v>1</v>
      </c>
      <c r="AB25" s="1901">
        <f>D25/H25</f>
        <v>1</v>
      </c>
      <c r="AC25" s="1901">
        <f>D25/J25</f>
        <v>1</v>
      </c>
    </row>
    <row r="26" spans="1:29" ht="15">
      <c r="A26" s="635" t="s">
        <v>2363</v>
      </c>
      <c r="B26" s="27" t="s">
        <v>2505</v>
      </c>
      <c r="C26" s="2479"/>
      <c r="D26" s="427">
        <v>100</v>
      </c>
      <c r="E26" s="426"/>
      <c r="F26" s="429">
        <f>SUMIF(79:79,E26,80:80)-SUMIF(79:79,C26,80:80)+100</f>
        <v>100</v>
      </c>
      <c r="G26" s="426"/>
      <c r="H26" s="427">
        <f>SUMIF(79:79,G26,80:80)-SUMIF(79:79,C26,80:80)+100</f>
        <v>100</v>
      </c>
      <c r="I26" s="426"/>
      <c r="J26" s="427">
        <f>SUMIF(79:79,I26,80:80)-SUMIF(79:79,C26,80:80)+100</f>
        <v>100</v>
      </c>
      <c r="K26" s="596"/>
      <c r="L26" s="1520"/>
      <c r="M26" s="425"/>
      <c r="N26" s="425"/>
      <c r="O26" s="1899"/>
      <c r="P26" s="3067" t="s">
        <v>2365</v>
      </c>
      <c r="Q26" s="1897" t="str">
        <f t="shared" si="11"/>
        <v>配套类型</v>
      </c>
      <c r="R26" s="753" t="s">
        <v>25</v>
      </c>
      <c r="S26" s="754">
        <f t="shared" ref="S26:S36" si="12">F26</f>
        <v>100</v>
      </c>
      <c r="T26" s="753" t="s">
        <v>25</v>
      </c>
      <c r="U26" s="754">
        <f t="shared" ref="U26:U36" si="13">H26</f>
        <v>100</v>
      </c>
      <c r="V26" s="753" t="s">
        <v>25</v>
      </c>
      <c r="W26" s="754">
        <f t="shared" ref="W26:W36" si="14">J26</f>
        <v>100</v>
      </c>
      <c r="X26" s="1898"/>
      <c r="Y26" s="2990" t="s">
        <v>2365</v>
      </c>
      <c r="Z26" s="1900" t="str">
        <f t="shared" ref="Z26:Z36" si="15">Q26</f>
        <v>配套类型</v>
      </c>
      <c r="AA26" s="1901">
        <f t="shared" si="3"/>
        <v>1</v>
      </c>
      <c r="AB26" s="1901">
        <f t="shared" si="4"/>
        <v>1</v>
      </c>
      <c r="AC26" s="1901">
        <f t="shared" si="5"/>
        <v>1</v>
      </c>
    </row>
    <row r="27" spans="1:29" s="452" customFormat="1" ht="15">
      <c r="A27" s="636"/>
      <c r="B27" s="637" t="s">
        <v>2506</v>
      </c>
      <c r="C27" s="638"/>
      <c r="D27" s="52">
        <v>100</v>
      </c>
      <c r="E27" s="638"/>
      <c r="F27" s="442">
        <f>SUMIF(81:81,E27,82:82)-SUMIF(81:81,C27,82:82)+100</f>
        <v>100</v>
      </c>
      <c r="G27" s="638"/>
      <c r="H27" s="415">
        <f>SUMIF(81:81,G27,82:82)-SUMIF(81:81,C27,82:82)+100</f>
        <v>100</v>
      </c>
      <c r="I27" s="638"/>
      <c r="J27" s="415">
        <f>SUMIF(81:81,I27,82:82)-SUMIF(81:81,C27,82:82)+100</f>
        <v>100</v>
      </c>
      <c r="K27" s="597"/>
      <c r="L27" s="1519"/>
      <c r="M27" s="1521"/>
      <c r="N27" s="1521"/>
      <c r="O27" s="1522"/>
      <c r="P27" s="2990"/>
      <c r="Q27" s="755" t="str">
        <f t="shared" si="11"/>
        <v>项目停车位配比</v>
      </c>
      <c r="R27" s="756" t="s">
        <v>25</v>
      </c>
      <c r="S27" s="757">
        <f t="shared" si="12"/>
        <v>100</v>
      </c>
      <c r="T27" s="756" t="s">
        <v>25</v>
      </c>
      <c r="U27" s="757">
        <f t="shared" si="13"/>
        <v>100</v>
      </c>
      <c r="V27" s="756" t="s">
        <v>25</v>
      </c>
      <c r="W27" s="757">
        <f t="shared" si="14"/>
        <v>100</v>
      </c>
      <c r="X27" s="758"/>
      <c r="Y27" s="2990"/>
      <c r="Z27" s="759" t="str">
        <f t="shared" si="15"/>
        <v>项目停车位配比</v>
      </c>
      <c r="AA27" s="1901">
        <f t="shared" si="3"/>
        <v>1</v>
      </c>
      <c r="AB27" s="1901">
        <f t="shared" si="4"/>
        <v>1</v>
      </c>
      <c r="AC27" s="1901">
        <f t="shared" si="5"/>
        <v>1</v>
      </c>
    </row>
    <row r="28" spans="1:29" ht="15">
      <c r="A28" s="639"/>
      <c r="B28" s="637" t="s">
        <v>2507</v>
      </c>
      <c r="C28" s="441"/>
      <c r="D28" s="415">
        <v>100</v>
      </c>
      <c r="E28" s="441"/>
      <c r="F28" s="442">
        <f>SUMIF(83:83,E28,84:84)-SUMIF(83:83,C28,84:84)+100</f>
        <v>100</v>
      </c>
      <c r="G28" s="441"/>
      <c r="H28" s="415">
        <f>SUMIF(83:83,G28,84:84)-SUMIF(83:83,C28,84:84)+100</f>
        <v>100</v>
      </c>
      <c r="I28" s="441"/>
      <c r="J28" s="415">
        <f>SUMIF(83:83,I28,84:84)-SUMIF(83:83,C28,84:84)+100</f>
        <v>100</v>
      </c>
      <c r="K28" s="596"/>
      <c r="L28" s="1520"/>
      <c r="M28" s="425"/>
      <c r="N28" s="425"/>
      <c r="O28" s="1899"/>
      <c r="P28" s="2990"/>
      <c r="Q28" s="1897" t="str">
        <f t="shared" si="11"/>
        <v>公共部分装修</v>
      </c>
      <c r="R28" s="753" t="s">
        <v>25</v>
      </c>
      <c r="S28" s="754">
        <f t="shared" si="12"/>
        <v>100</v>
      </c>
      <c r="T28" s="753" t="s">
        <v>25</v>
      </c>
      <c r="U28" s="754">
        <f t="shared" si="13"/>
        <v>100</v>
      </c>
      <c r="V28" s="753" t="s">
        <v>25</v>
      </c>
      <c r="W28" s="754">
        <f t="shared" si="14"/>
        <v>100</v>
      </c>
      <c r="X28" s="1898"/>
      <c r="Y28" s="2990"/>
      <c r="Z28" s="1900" t="str">
        <f t="shared" si="15"/>
        <v>公共部分装修</v>
      </c>
      <c r="AA28" s="1901">
        <f t="shared" si="3"/>
        <v>1</v>
      </c>
      <c r="AB28" s="1901">
        <f t="shared" si="4"/>
        <v>1</v>
      </c>
      <c r="AC28" s="1901">
        <f t="shared" si="5"/>
        <v>1</v>
      </c>
    </row>
    <row r="29" spans="1:29" ht="15">
      <c r="A29" s="639"/>
      <c r="B29" s="637" t="s">
        <v>2508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0"/>
      <c r="M29" s="425"/>
      <c r="N29" s="425"/>
      <c r="O29" s="1899"/>
      <c r="P29" s="2990"/>
      <c r="Q29" s="1897" t="str">
        <f t="shared" si="11"/>
        <v>成新率</v>
      </c>
      <c r="R29" s="753" t="s">
        <v>25</v>
      </c>
      <c r="S29" s="754" t="e">
        <f t="shared" si="12"/>
        <v>#N/A</v>
      </c>
      <c r="T29" s="753" t="s">
        <v>25</v>
      </c>
      <c r="U29" s="754" t="e">
        <f t="shared" si="13"/>
        <v>#N/A</v>
      </c>
      <c r="V29" s="753" t="s">
        <v>25</v>
      </c>
      <c r="W29" s="754" t="e">
        <f t="shared" si="14"/>
        <v>#N/A</v>
      </c>
      <c r="X29" s="1898"/>
      <c r="Y29" s="2990"/>
      <c r="Z29" s="1900" t="str">
        <f t="shared" si="15"/>
        <v>成新率</v>
      </c>
      <c r="AA29" s="1901" t="e">
        <f t="shared" si="3"/>
        <v>#N/A</v>
      </c>
      <c r="AB29" s="1901" t="e">
        <f t="shared" si="4"/>
        <v>#N/A</v>
      </c>
      <c r="AC29" s="1901" t="e">
        <f t="shared" si="5"/>
        <v>#N/A</v>
      </c>
    </row>
    <row r="30" spans="1:29" ht="15">
      <c r="A30" s="639"/>
      <c r="B30" s="637" t="s">
        <v>2509</v>
      </c>
      <c r="C30" s="640"/>
      <c r="D30" s="415">
        <v>100</v>
      </c>
      <c r="E30" s="640"/>
      <c r="F30" s="442">
        <f>SUMIF(88:88,E30,89:89)-SUMIF(88:88,C30,89:89)+100</f>
        <v>100</v>
      </c>
      <c r="G30" s="640"/>
      <c r="H30" s="415">
        <f>SUMIF(88:88,E30,89:89)-SUMIF(88:88,C30,89:89)+100</f>
        <v>100</v>
      </c>
      <c r="I30" s="640"/>
      <c r="J30" s="415">
        <f>SUMIF(88:88,E30,89:89)-SUMIF(88:88,C30,89:89)+100</f>
        <v>100</v>
      </c>
      <c r="K30" s="596"/>
      <c r="L30" s="1520"/>
      <c r="M30" s="425"/>
      <c r="N30" s="425"/>
      <c r="O30" s="1899"/>
      <c r="P30" s="2990"/>
      <c r="Q30" s="1897" t="str">
        <f t="shared" si="11"/>
        <v>物业等级</v>
      </c>
      <c r="R30" s="753" t="s">
        <v>25</v>
      </c>
      <c r="S30" s="754">
        <f t="shared" si="12"/>
        <v>100</v>
      </c>
      <c r="T30" s="753" t="s">
        <v>25</v>
      </c>
      <c r="U30" s="754">
        <f t="shared" si="13"/>
        <v>100</v>
      </c>
      <c r="V30" s="753" t="s">
        <v>25</v>
      </c>
      <c r="W30" s="754">
        <f t="shared" si="14"/>
        <v>100</v>
      </c>
      <c r="X30" s="1898"/>
      <c r="Y30" s="2990"/>
      <c r="Z30" s="1900" t="str">
        <f t="shared" si="15"/>
        <v>物业等级</v>
      </c>
      <c r="AA30" s="1901">
        <f t="shared" si="3"/>
        <v>1</v>
      </c>
      <c r="AB30" s="1901">
        <f t="shared" si="4"/>
        <v>1</v>
      </c>
      <c r="AC30" s="1901">
        <f t="shared" si="5"/>
        <v>1</v>
      </c>
    </row>
    <row r="31" spans="1:29" s="35" customFormat="1" ht="15">
      <c r="A31" s="641"/>
      <c r="B31" s="637" t="s">
        <v>2510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3"/>
      <c r="M31" s="1514"/>
      <c r="N31" s="1514"/>
      <c r="O31" s="1515"/>
      <c r="P31" s="2990"/>
      <c r="Q31" s="1885" t="str">
        <f t="shared" si="11"/>
        <v>停车位面积</v>
      </c>
      <c r="R31" s="749" t="s">
        <v>25</v>
      </c>
      <c r="S31" s="750" t="e">
        <f t="shared" si="12"/>
        <v>#N/A</v>
      </c>
      <c r="T31" s="749" t="s">
        <v>25</v>
      </c>
      <c r="U31" s="750" t="e">
        <f t="shared" si="13"/>
        <v>#N/A</v>
      </c>
      <c r="V31" s="749" t="s">
        <v>25</v>
      </c>
      <c r="W31" s="750" t="e">
        <f t="shared" si="14"/>
        <v>#N/A</v>
      </c>
      <c r="X31" s="751"/>
      <c r="Y31" s="2990"/>
      <c r="Z31" s="23" t="str">
        <f t="shared" si="15"/>
        <v>停车位面积</v>
      </c>
      <c r="AA31" s="752" t="e">
        <f t="shared" si="3"/>
        <v>#N/A</v>
      </c>
      <c r="AB31" s="752" t="e">
        <f t="shared" si="4"/>
        <v>#N/A</v>
      </c>
      <c r="AC31" s="752" t="e">
        <f t="shared" si="5"/>
        <v>#N/A</v>
      </c>
    </row>
    <row r="32" spans="1:29" ht="15">
      <c r="A32" s="639"/>
      <c r="B32" s="637" t="s">
        <v>2511</v>
      </c>
      <c r="C32" s="441"/>
      <c r="D32" s="415">
        <v>100</v>
      </c>
      <c r="E32" s="441"/>
      <c r="F32" s="442">
        <f>SUMIF(93:93,E32,94:94)-SUMIF(93:93,C32,94:94)+100</f>
        <v>100</v>
      </c>
      <c r="G32" s="441"/>
      <c r="H32" s="415">
        <f>SUMIF(93:93,G32,94:94)-SUMIF(93:93,C32,94:94)+100</f>
        <v>100</v>
      </c>
      <c r="I32" s="441"/>
      <c r="J32" s="415">
        <f>SUMIF(93:93,I32,94:94)-SUMIF(93:93,C32,94:94)+100</f>
        <v>100</v>
      </c>
      <c r="K32" s="596"/>
      <c r="L32" s="1520"/>
      <c r="M32" s="425"/>
      <c r="N32" s="425"/>
      <c r="O32" s="1899"/>
      <c r="P32" s="2990" t="s">
        <v>2365</v>
      </c>
      <c r="Q32" s="1897" t="str">
        <f t="shared" si="11"/>
        <v>车位类型</v>
      </c>
      <c r="R32" s="753" t="s">
        <v>25</v>
      </c>
      <c r="S32" s="754">
        <f t="shared" si="12"/>
        <v>100</v>
      </c>
      <c r="T32" s="753" t="s">
        <v>25</v>
      </c>
      <c r="U32" s="754">
        <f t="shared" si="13"/>
        <v>100</v>
      </c>
      <c r="V32" s="753" t="s">
        <v>25</v>
      </c>
      <c r="W32" s="754">
        <f t="shared" si="14"/>
        <v>100</v>
      </c>
      <c r="X32" s="1898"/>
      <c r="Y32" s="2990" t="s">
        <v>2365</v>
      </c>
      <c r="Z32" s="1900" t="str">
        <f t="shared" si="15"/>
        <v>车位类型</v>
      </c>
      <c r="AA32" s="1901">
        <f t="shared" si="3"/>
        <v>1</v>
      </c>
      <c r="AB32" s="1901">
        <f t="shared" si="4"/>
        <v>1</v>
      </c>
      <c r="AC32" s="1901">
        <f t="shared" si="5"/>
        <v>1</v>
      </c>
    </row>
    <row r="33" spans="1:29" ht="15">
      <c r="A33" s="639"/>
      <c r="B33" s="637" t="s">
        <v>2512</v>
      </c>
      <c r="C33" s="441"/>
      <c r="D33" s="415">
        <v>100</v>
      </c>
      <c r="E33" s="441"/>
      <c r="F33" s="442">
        <f>SUMIF(95:95,E33,96:96)-SUMIF(95:95,C33,96:96)+100</f>
        <v>100</v>
      </c>
      <c r="G33" s="441"/>
      <c r="H33" s="415">
        <f>SUMIF(95:95,G33,96:96)-SUMIF(95:95,C33,96:96)+100</f>
        <v>100</v>
      </c>
      <c r="I33" s="441"/>
      <c r="J33" s="415">
        <f>SUMIF(95:95,I33,96:96)-SUMIF(95:95,C33,96:96)+100</f>
        <v>100</v>
      </c>
      <c r="K33" s="596"/>
      <c r="L33" s="1520"/>
      <c r="M33" s="425"/>
      <c r="N33" s="425"/>
      <c r="O33" s="1899"/>
      <c r="P33" s="2990"/>
      <c r="Q33" s="1897" t="str">
        <f t="shared" si="11"/>
        <v>是否直接入户</v>
      </c>
      <c r="R33" s="753" t="s">
        <v>25</v>
      </c>
      <c r="S33" s="754">
        <f t="shared" si="12"/>
        <v>100</v>
      </c>
      <c r="T33" s="753" t="s">
        <v>25</v>
      </c>
      <c r="U33" s="754">
        <f t="shared" si="13"/>
        <v>100</v>
      </c>
      <c r="V33" s="753" t="s">
        <v>25</v>
      </c>
      <c r="W33" s="754">
        <f t="shared" si="14"/>
        <v>100</v>
      </c>
      <c r="X33" s="1898"/>
      <c r="Y33" s="2990"/>
      <c r="Z33" s="1900" t="str">
        <f t="shared" si="15"/>
        <v>是否直接入户</v>
      </c>
      <c r="AA33" s="1901">
        <f t="shared" si="3"/>
        <v>1</v>
      </c>
      <c r="AB33" s="1901">
        <f t="shared" si="4"/>
        <v>1</v>
      </c>
      <c r="AC33" s="1901">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0"/>
      <c r="M34" s="425"/>
      <c r="N34" s="425"/>
      <c r="O34" s="1899"/>
      <c r="P34" s="2990"/>
      <c r="Q34" s="1897">
        <f t="shared" si="11"/>
        <v>111</v>
      </c>
      <c r="R34" s="753" t="s">
        <v>25</v>
      </c>
      <c r="S34" s="754">
        <f t="shared" si="12"/>
        <v>100</v>
      </c>
      <c r="T34" s="753" t="s">
        <v>25</v>
      </c>
      <c r="U34" s="754">
        <f t="shared" si="13"/>
        <v>100</v>
      </c>
      <c r="V34" s="753" t="s">
        <v>25</v>
      </c>
      <c r="W34" s="754">
        <f t="shared" si="14"/>
        <v>100</v>
      </c>
      <c r="X34" s="1898"/>
      <c r="Y34" s="2990"/>
      <c r="Z34" s="1900">
        <f t="shared" si="15"/>
        <v>111</v>
      </c>
      <c r="AA34" s="1901">
        <f t="shared" si="3"/>
        <v>1</v>
      </c>
      <c r="AB34" s="1901">
        <f t="shared" si="4"/>
        <v>1</v>
      </c>
      <c r="AC34" s="1901">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9"/>
      <c r="M35" s="1521"/>
      <c r="N35" s="1521"/>
      <c r="O35" s="1522"/>
      <c r="P35" s="2990"/>
      <c r="Q35" s="755">
        <f t="shared" si="11"/>
        <v>111</v>
      </c>
      <c r="R35" s="756" t="s">
        <v>25</v>
      </c>
      <c r="S35" s="757">
        <f t="shared" si="12"/>
        <v>100</v>
      </c>
      <c r="T35" s="756" t="s">
        <v>25</v>
      </c>
      <c r="U35" s="757">
        <f t="shared" si="13"/>
        <v>100</v>
      </c>
      <c r="V35" s="756" t="s">
        <v>25</v>
      </c>
      <c r="W35" s="757">
        <f t="shared" si="14"/>
        <v>100</v>
      </c>
      <c r="X35" s="758"/>
      <c r="Y35" s="2990"/>
      <c r="Z35" s="759">
        <f t="shared" si="15"/>
        <v>111</v>
      </c>
      <c r="AA35" s="1901">
        <f t="shared" si="3"/>
        <v>1</v>
      </c>
      <c r="AB35" s="1901">
        <f t="shared" si="4"/>
        <v>1</v>
      </c>
      <c r="AC35" s="1901">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0"/>
      <c r="M36" s="425"/>
      <c r="N36" s="425"/>
      <c r="O36" s="1899"/>
      <c r="P36" s="2990"/>
      <c r="Q36" s="1897">
        <f t="shared" si="11"/>
        <v>111</v>
      </c>
      <c r="R36" s="753" t="s">
        <v>25</v>
      </c>
      <c r="S36" s="754">
        <f t="shared" si="12"/>
        <v>100</v>
      </c>
      <c r="T36" s="753" t="s">
        <v>25</v>
      </c>
      <c r="U36" s="754">
        <f t="shared" si="13"/>
        <v>100</v>
      </c>
      <c r="V36" s="753" t="s">
        <v>25</v>
      </c>
      <c r="W36" s="754">
        <f t="shared" si="14"/>
        <v>100</v>
      </c>
      <c r="X36" s="1898"/>
      <c r="Y36" s="2990"/>
      <c r="Z36" s="1900">
        <f t="shared" si="15"/>
        <v>111</v>
      </c>
      <c r="AA36" s="1901">
        <f t="shared" si="3"/>
        <v>1</v>
      </c>
      <c r="AB36" s="1901">
        <f t="shared" si="4"/>
        <v>1</v>
      </c>
      <c r="AC36" s="1901">
        <f t="shared" si="5"/>
        <v>1</v>
      </c>
    </row>
    <row r="37" spans="1:29" ht="15">
      <c r="A37" s="460" t="s">
        <v>2513</v>
      </c>
      <c r="B37" s="1092" t="s">
        <v>2514</v>
      </c>
      <c r="C37" s="1500" t="s">
        <v>1</v>
      </c>
      <c r="D37" s="1501"/>
      <c r="E37" s="1502"/>
      <c r="F37" s="1503"/>
      <c r="G37" s="1504"/>
      <c r="H37" s="1505"/>
      <c r="I37" s="1502"/>
      <c r="J37" s="1505"/>
      <c r="K37" s="603"/>
      <c r="L37" s="1523"/>
      <c r="M37" s="738"/>
      <c r="N37" s="425"/>
      <c r="O37" s="738"/>
      <c r="P37" s="2983" t="str">
        <f>A37</f>
        <v>成交单价</v>
      </c>
      <c r="Q37" s="2983"/>
      <c r="R37" s="2984">
        <f>E37</f>
        <v>0</v>
      </c>
      <c r="S37" s="2984"/>
      <c r="T37" s="2984">
        <f>G37</f>
        <v>0</v>
      </c>
      <c r="U37" s="2984"/>
      <c r="V37" s="2984">
        <f>I37</f>
        <v>0</v>
      </c>
      <c r="W37" s="2984"/>
      <c r="X37" s="738"/>
      <c r="Y37" s="760"/>
      <c r="Z37" s="738"/>
      <c r="AA37" s="738"/>
      <c r="AB37" s="738"/>
      <c r="AC37" s="738"/>
    </row>
    <row r="38" spans="1:29" ht="15.75" thickBot="1">
      <c r="A38" s="467" t="s">
        <v>2515</v>
      </c>
      <c r="B38" s="468" t="str">
        <f>B37</f>
        <v>元/平方米</v>
      </c>
      <c r="C38" s="1506" t="e">
        <f>R39</f>
        <v>#DIV/0!</v>
      </c>
      <c r="D38" s="1507"/>
      <c r="E38" s="1508" t="e">
        <f>R38</f>
        <v>#DIV/0!</v>
      </c>
      <c r="F38" s="1508"/>
      <c r="G38" s="1506" t="e">
        <f>T38</f>
        <v>#DIV/0!</v>
      </c>
      <c r="H38" s="1507"/>
      <c r="I38" s="1508" t="e">
        <f>V38</f>
        <v>#DIV/0!</v>
      </c>
      <c r="J38" s="1507"/>
      <c r="K38" s="604"/>
      <c r="L38" s="1523"/>
      <c r="M38" s="738"/>
      <c r="N38" s="738"/>
      <c r="O38" s="738"/>
      <c r="P38" s="2983" t="str">
        <f>A38</f>
        <v>比较价值</v>
      </c>
      <c r="Q38" s="2983"/>
      <c r="R38" s="2984" t="e">
        <f>IF(E1="售价",ROUND(PRODUCT(R37,AA7:AA36),0),ROUND(PRODUCT(R37,AA7:AA36),1))</f>
        <v>#DIV/0!</v>
      </c>
      <c r="S38" s="2984"/>
      <c r="T38" s="2984" t="e">
        <f>IF(E1="售价",ROUND(PRODUCT(T37,AB7:AB36),0),ROUND(PRODUCT(T37,AB7:AB36),1))</f>
        <v>#DIV/0!</v>
      </c>
      <c r="U38" s="2984"/>
      <c r="V38" s="2984" t="e">
        <f>IF(E1="售价",ROUND(PRODUCT(V37,AC7:AC36),0),ROUND(PRODUCT(V37,AC7:AC36),1))</f>
        <v>#DIV/0!</v>
      </c>
      <c r="W38" s="2984"/>
      <c r="X38" s="738"/>
      <c r="Y38" s="738"/>
      <c r="Z38" s="738"/>
      <c r="AA38" s="738"/>
      <c r="AB38" s="738"/>
      <c r="AC38" s="738"/>
    </row>
    <row r="39" spans="1:29" ht="15.75" thickBot="1">
      <c r="A39" s="473" t="s">
        <v>2516</v>
      </c>
      <c r="B39" s="474"/>
      <c r="C39" s="1510" t="e">
        <f>R39</f>
        <v>#DIV/0!</v>
      </c>
      <c r="D39" s="1510"/>
      <c r="E39" s="1510"/>
      <c r="F39" s="1510"/>
      <c r="G39" s="1510"/>
      <c r="H39" s="1510"/>
      <c r="I39" s="1510"/>
      <c r="J39" s="1510"/>
      <c r="K39" s="605"/>
      <c r="L39" s="1523"/>
      <c r="M39" s="738"/>
      <c r="N39" s="738"/>
      <c r="O39" s="738"/>
      <c r="P39" s="3057" t="str">
        <f>A39</f>
        <v>估价对象XX用房的比较价值（楼面单价，元/平方米）</v>
      </c>
      <c r="Q39" s="2982"/>
      <c r="R39" s="2986" t="e">
        <f>IF(E1="售价",ROUND(AVERAGE(R38:V38),0),ROUND(AVERAGE(R38:V38),1))</f>
        <v>#DIV/0!</v>
      </c>
      <c r="S39" s="2986"/>
      <c r="T39" s="2986"/>
      <c r="U39" s="2986"/>
      <c r="V39" s="2986"/>
      <c r="W39" s="2986"/>
      <c r="X39" s="738"/>
      <c r="Y39" s="738"/>
      <c r="Z39" s="738"/>
      <c r="AA39" s="738"/>
      <c r="AB39" s="738"/>
      <c r="AC39" s="738"/>
    </row>
    <row r="40" spans="1:29">
      <c r="A40" s="1256"/>
      <c r="B40" s="1256"/>
      <c r="C40" s="1256"/>
      <c r="D40" s="1256"/>
      <c r="E40" s="1256"/>
      <c r="F40" s="1256"/>
      <c r="G40" s="1260"/>
      <c r="H40" s="1256"/>
      <c r="I40" s="1256"/>
      <c r="J40" s="1256"/>
      <c r="K40" s="1261"/>
      <c r="L40" s="1524"/>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4"/>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2517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4"/>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2518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4"/>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2519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5"/>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5"/>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4"/>
      <c r="M46" s="738"/>
      <c r="N46" s="738"/>
      <c r="O46" s="738"/>
      <c r="P46" s="738"/>
      <c r="Q46" s="738"/>
      <c r="R46" s="738"/>
      <c r="S46" s="738"/>
      <c r="T46" s="738"/>
      <c r="U46" s="738"/>
      <c r="V46" s="738"/>
      <c r="W46" s="738"/>
      <c r="X46" s="738"/>
      <c r="Y46" s="738"/>
      <c r="Z46" s="738"/>
      <c r="AA46" s="738"/>
      <c r="AB46" s="738"/>
      <c r="AC46" s="738"/>
    </row>
    <row r="47" spans="1:29" ht="21.75" thickBot="1">
      <c r="A47" s="1527" t="s">
        <v>2520</v>
      </c>
      <c r="B47" s="1256"/>
      <c r="C47" s="1272"/>
      <c r="D47" s="1272"/>
      <c r="E47" s="1272"/>
      <c r="F47" s="1528"/>
      <c r="G47" s="1528"/>
      <c r="H47" s="1272"/>
      <c r="I47" s="1272"/>
      <c r="J47" s="1272"/>
      <c r="K47" s="1270"/>
      <c r="L47" s="746"/>
      <c r="M47" s="743"/>
      <c r="N47" s="743"/>
      <c r="O47" s="743"/>
      <c r="P47" s="743"/>
      <c r="Q47" s="1526"/>
      <c r="R47" s="738"/>
      <c r="S47" s="738"/>
      <c r="T47" s="738"/>
      <c r="U47" s="738"/>
      <c r="V47" s="738"/>
      <c r="W47" s="738"/>
      <c r="X47" s="738"/>
      <c r="Y47" s="738"/>
      <c r="Z47" s="738"/>
      <c r="AA47" s="738"/>
      <c r="AB47" s="738"/>
      <c r="AC47" s="738"/>
    </row>
    <row r="48" spans="1:29" s="489" customFormat="1" ht="15">
      <c r="A48" s="486" t="s">
        <v>2521</v>
      </c>
      <c r="B48" s="487"/>
      <c r="C48" s="1676" t="str">
        <f>YEAR(C7)&amp;"-"&amp;MONTH(C7)</f>
        <v>2018-6</v>
      </c>
      <c r="D48" s="1677">
        <f>EDATE(C48,-1)</f>
        <v>43221</v>
      </c>
      <c r="E48" s="1677">
        <f t="shared" ref="E48:O48" si="16">EDATE(D48,-1)</f>
        <v>43191</v>
      </c>
      <c r="F48" s="1677">
        <f t="shared" si="16"/>
        <v>43160</v>
      </c>
      <c r="G48" s="1677">
        <f t="shared" si="16"/>
        <v>43132</v>
      </c>
      <c r="H48" s="1677">
        <f t="shared" si="16"/>
        <v>43101</v>
      </c>
      <c r="I48" s="1677">
        <f t="shared" si="16"/>
        <v>43070</v>
      </c>
      <c r="J48" s="1677">
        <f t="shared" si="16"/>
        <v>43040</v>
      </c>
      <c r="K48" s="1677">
        <f t="shared" si="16"/>
        <v>43009</v>
      </c>
      <c r="L48" s="1677">
        <f t="shared" si="16"/>
        <v>42979</v>
      </c>
      <c r="M48" s="1677">
        <f t="shared" si="16"/>
        <v>42948</v>
      </c>
      <c r="N48" s="1677">
        <f t="shared" si="16"/>
        <v>42917</v>
      </c>
      <c r="O48" s="1677">
        <f t="shared" si="16"/>
        <v>42887</v>
      </c>
      <c r="P48" s="488"/>
    </row>
    <row r="49" spans="1:17" s="35" customFormat="1" ht="15">
      <c r="A49" s="490"/>
      <c r="B49" s="491"/>
      <c r="C49" s="1675">
        <v>100</v>
      </c>
      <c r="D49" s="493"/>
      <c r="E49" s="493"/>
      <c r="F49" s="493"/>
      <c r="G49" s="493"/>
      <c r="H49" s="493"/>
      <c r="I49" s="493"/>
      <c r="J49" s="493"/>
      <c r="K49" s="493"/>
      <c r="L49" s="493"/>
      <c r="M49" s="494"/>
      <c r="N49" s="493"/>
      <c r="O49" s="495"/>
      <c r="P49" s="485"/>
    </row>
    <row r="50" spans="1:17" s="35" customFormat="1" ht="15.75" thickBot="1">
      <c r="A50" s="496" t="s">
        <v>2385</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2388</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2389</v>
      </c>
      <c r="D55" s="522" t="s">
        <v>2390</v>
      </c>
      <c r="E55" s="522" t="s">
        <v>2391</v>
      </c>
      <c r="F55" s="522" t="s">
        <v>2392</v>
      </c>
      <c r="G55" s="522" t="s">
        <v>2393</v>
      </c>
      <c r="H55" s="522" t="s">
        <v>2394</v>
      </c>
      <c r="I55" s="522" t="s">
        <v>2395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2402</v>
      </c>
      <c r="C63" s="557" t="s">
        <v>2397</v>
      </c>
      <c r="D63" s="557" t="s">
        <v>2398</v>
      </c>
      <c r="E63" s="557" t="s">
        <v>2399</v>
      </c>
      <c r="F63" s="557" t="s">
        <v>2400</v>
      </c>
      <c r="G63" s="557" t="s">
        <v>2401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2403</v>
      </c>
      <c r="C65" s="562" t="s">
        <v>2397</v>
      </c>
      <c r="D65" s="562" t="s">
        <v>2398</v>
      </c>
      <c r="E65" s="562" t="s">
        <v>2399</v>
      </c>
      <c r="F65" s="562" t="s">
        <v>2400</v>
      </c>
      <c r="G65" s="562" t="s">
        <v>2401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2475</v>
      </c>
      <c r="C67" s="522" t="s">
        <v>2404</v>
      </c>
      <c r="D67" s="522" t="s">
        <v>2405</v>
      </c>
      <c r="E67" s="522" t="s">
        <v>2406</v>
      </c>
      <c r="F67" s="522" t="s">
        <v>2407</v>
      </c>
      <c r="G67" s="522" t="s">
        <v>2408</v>
      </c>
      <c r="H67" s="522"/>
      <c r="I67" s="522"/>
      <c r="J67" s="522"/>
      <c r="K67" s="522"/>
      <c r="L67" s="522"/>
      <c r="M67" s="1465"/>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2409</v>
      </c>
      <c r="C69" s="562" t="s">
        <v>2397</v>
      </c>
      <c r="D69" s="562" t="s">
        <v>2398</v>
      </c>
      <c r="E69" s="562" t="s">
        <v>2399</v>
      </c>
      <c r="F69" s="562" t="s">
        <v>2400</v>
      </c>
      <c r="G69" s="562" t="s">
        <v>2401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2363</v>
      </c>
      <c r="B79" s="509" t="s">
        <v>2523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2500</v>
      </c>
      <c r="B1" s="2478"/>
      <c r="C1" s="1727"/>
      <c r="D1" s="1737"/>
      <c r="E1" s="2380"/>
      <c r="F1" s="1738" t="s">
        <v>2332</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2000</v>
      </c>
      <c r="B2" s="1723" t="e">
        <f ca="1">IF(D2="——",IF(C2="元",ROUND(C37*D3,0),ROUND(C37*D3/10000,0)),IF(C2="元",ROUND(C37*D3,0),ROUND(C37*D3/10000,0))-E2)</f>
        <v>#DIV/0!</v>
      </c>
      <c r="C2" s="163" t="str">
        <f>'数据-取费表'!B3</f>
        <v>元</v>
      </c>
      <c r="D2" s="2382"/>
      <c r="E2" s="1736" t="e">
        <f ca="1">SUMIF(INDIRECT("'"&amp;G2&amp;"'"&amp;"!A:A"),"承租人权益价值",INDIRECT("'"&amp;G2&amp;"'"&amp;"!c:c"))</f>
        <v>#REF!</v>
      </c>
      <c r="F2" s="2383" t="str">
        <f>C2</f>
        <v>元</v>
      </c>
      <c r="G2" s="2384"/>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2001</v>
      </c>
      <c r="B3" s="593" t="e">
        <f ca="1">ROUND(IF(D2="——",C37,IF(C2="万元",B2*10000/D3,B2/D3)),0)</f>
        <v>#DIV/0!</v>
      </c>
      <c r="C3" s="379" t="s">
        <v>2333</v>
      </c>
      <c r="D3" s="378">
        <f>IF(C1="仅计算典型户型",'数据-取费表'!E5,'数据-取费表'!B5)</f>
        <v>218.48</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2334</v>
      </c>
      <c r="B4" s="381"/>
      <c r="C4" s="3008" t="s">
        <v>2335</v>
      </c>
      <c r="D4" s="3009"/>
      <c r="E4" s="3010" t="s">
        <v>2336</v>
      </c>
      <c r="F4" s="3011"/>
      <c r="G4" s="3008" t="s">
        <v>2337</v>
      </c>
      <c r="H4" s="3009"/>
      <c r="I4" s="3008" t="s">
        <v>2338</v>
      </c>
      <c r="J4" s="3009"/>
      <c r="K4" s="594" t="s">
        <v>2339</v>
      </c>
      <c r="L4" s="1242"/>
      <c r="M4" s="1243"/>
      <c r="N4" s="1243"/>
      <c r="O4" s="1243"/>
      <c r="P4" s="3064" t="s">
        <v>2340</v>
      </c>
      <c r="Q4" s="3001"/>
      <c r="R4" s="2994" t="s">
        <v>2336</v>
      </c>
      <c r="S4" s="2995"/>
      <c r="T4" s="2994" t="s">
        <v>2337</v>
      </c>
      <c r="U4" s="2995"/>
      <c r="V4" s="3016" t="s">
        <v>2338</v>
      </c>
      <c r="W4" s="3016"/>
      <c r="X4" s="1898"/>
      <c r="Y4" s="2994" t="s">
        <v>2340</v>
      </c>
      <c r="Z4" s="2995"/>
      <c r="AA4" s="3005" t="s">
        <v>2336</v>
      </c>
      <c r="AB4" s="3006" t="s">
        <v>2337</v>
      </c>
      <c r="AC4" s="3005" t="s">
        <v>2338</v>
      </c>
    </row>
    <row r="5" spans="1:29" ht="15">
      <c r="A5" s="383"/>
      <c r="B5" s="384"/>
      <c r="C5" s="3023" t="s">
        <v>2341</v>
      </c>
      <c r="D5" s="3020"/>
      <c r="E5" s="3017" t="s">
        <v>2342</v>
      </c>
      <c r="F5" s="3018"/>
      <c r="G5" s="3023" t="s">
        <v>2343</v>
      </c>
      <c r="H5" s="3020"/>
      <c r="I5" s="3023" t="s">
        <v>2344</v>
      </c>
      <c r="J5" s="3020"/>
      <c r="K5" s="594"/>
      <c r="L5" s="1242"/>
      <c r="M5" s="1243"/>
      <c r="N5" s="1243"/>
      <c r="O5" s="1243"/>
      <c r="P5" s="3065"/>
      <c r="Q5" s="3002"/>
      <c r="R5" s="2996"/>
      <c r="S5" s="2997"/>
      <c r="T5" s="2996"/>
      <c r="U5" s="2997"/>
      <c r="V5" s="3016"/>
      <c r="W5" s="3016"/>
      <c r="X5" s="1898"/>
      <c r="Y5" s="2996"/>
      <c r="Z5" s="2997"/>
      <c r="AA5" s="3006"/>
      <c r="AB5" s="3006"/>
      <c r="AC5" s="3006"/>
    </row>
    <row r="6" spans="1:29" ht="15.75" thickBot="1">
      <c r="A6" s="385"/>
      <c r="B6" s="386"/>
      <c r="C6" s="3021" t="s">
        <v>2345</v>
      </c>
      <c r="D6" s="3022"/>
      <c r="E6" s="3024" t="s">
        <v>2345</v>
      </c>
      <c r="F6" s="3025"/>
      <c r="G6" s="3021" t="s">
        <v>2345</v>
      </c>
      <c r="H6" s="3022"/>
      <c r="I6" s="3021" t="s">
        <v>2345</v>
      </c>
      <c r="J6" s="3022"/>
      <c r="K6" s="594" t="s">
        <v>2346</v>
      </c>
      <c r="L6" s="1242"/>
      <c r="M6" s="1243"/>
      <c r="N6" s="1243"/>
      <c r="O6" s="1243"/>
      <c r="P6" s="3066"/>
      <c r="Q6" s="3015"/>
      <c r="R6" s="2996"/>
      <c r="S6" s="2997"/>
      <c r="T6" s="2998"/>
      <c r="U6" s="2999"/>
      <c r="V6" s="3016"/>
      <c r="W6" s="3016"/>
      <c r="X6" s="1898"/>
      <c r="Y6" s="2998"/>
      <c r="Z6" s="2999"/>
      <c r="AA6" s="3007"/>
      <c r="AB6" s="3007"/>
      <c r="AC6" s="3007"/>
    </row>
    <row r="7" spans="1:29" s="35" customFormat="1" ht="15.75" thickBot="1">
      <c r="A7" s="387" t="s">
        <v>2347</v>
      </c>
      <c r="B7" s="388"/>
      <c r="C7" s="389">
        <f>'数据-取费表'!B2</f>
        <v>43257</v>
      </c>
      <c r="D7" s="390">
        <v>100</v>
      </c>
      <c r="E7" s="2464"/>
      <c r="F7" s="390">
        <f>SUMIF(46:46,YEAR(E7)&amp;"-"&amp;MONTH(E7),47:47)</f>
        <v>0</v>
      </c>
      <c r="G7" s="391"/>
      <c r="H7" s="390">
        <f>SUMIF(46:46,YEAR(G7)&amp;"-"&amp;MONTH(G7),47:47)</f>
        <v>0</v>
      </c>
      <c r="I7" s="391"/>
      <c r="J7" s="390">
        <f>SUMIF(46:46,YEAR(I7)&amp;"-"&amp;MONTH(I7),47:47)</f>
        <v>0</v>
      </c>
      <c r="K7" s="595"/>
      <c r="L7" s="1244"/>
      <c r="M7" s="1245"/>
      <c r="N7" s="1245"/>
      <c r="O7" s="1245"/>
      <c r="P7" s="2992" t="s">
        <v>2348</v>
      </c>
      <c r="Q7" s="3000"/>
      <c r="R7" s="749" t="s">
        <v>25</v>
      </c>
      <c r="S7" s="750">
        <f t="shared" ref="S7:S14" si="0">F7</f>
        <v>0</v>
      </c>
      <c r="T7" s="749" t="s">
        <v>25</v>
      </c>
      <c r="U7" s="750">
        <f t="shared" ref="U7:U14" si="1">H7</f>
        <v>0</v>
      </c>
      <c r="V7" s="749" t="s">
        <v>25</v>
      </c>
      <c r="W7" s="750">
        <f t="shared" ref="W7:W14" si="2">J7</f>
        <v>0</v>
      </c>
      <c r="X7" s="751"/>
      <c r="Y7" s="2992" t="s">
        <v>2348</v>
      </c>
      <c r="Z7" s="2993"/>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2992" t="s">
        <v>2351</v>
      </c>
      <c r="Q8" s="2993"/>
      <c r="R8" s="749" t="s">
        <v>25</v>
      </c>
      <c r="S8" s="750">
        <f t="shared" si="0"/>
        <v>0</v>
      </c>
      <c r="T8" s="749" t="s">
        <v>25</v>
      </c>
      <c r="U8" s="750">
        <f t="shared" si="1"/>
        <v>0</v>
      </c>
      <c r="V8" s="749" t="s">
        <v>25</v>
      </c>
      <c r="W8" s="750">
        <f t="shared" si="2"/>
        <v>0</v>
      </c>
      <c r="X8" s="751"/>
      <c r="Y8" s="2992" t="s">
        <v>2351</v>
      </c>
      <c r="Z8" s="2993"/>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2983" t="s">
        <v>2354</v>
      </c>
      <c r="Q9" s="1885" t="str">
        <f t="shared" ref="Q9:Q14" si="6">B9</f>
        <v>用途</v>
      </c>
      <c r="R9" s="749" t="s">
        <v>25</v>
      </c>
      <c r="S9" s="750">
        <f t="shared" si="0"/>
        <v>100</v>
      </c>
      <c r="T9" s="749" t="s">
        <v>25</v>
      </c>
      <c r="U9" s="750">
        <f t="shared" si="1"/>
        <v>100</v>
      </c>
      <c r="V9" s="749" t="s">
        <v>25</v>
      </c>
      <c r="W9" s="750">
        <f t="shared" si="2"/>
        <v>100</v>
      </c>
      <c r="X9" s="751"/>
      <c r="Y9" s="2843"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2983"/>
      <c r="Q10" s="1885"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2983"/>
      <c r="Q11" s="1885">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2983"/>
      <c r="Q12" s="1885">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2983"/>
      <c r="Q13" s="1885">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
      <c r="A14" s="419" t="s">
        <v>2358</v>
      </c>
      <c r="B14" s="26" t="s">
        <v>2502</v>
      </c>
      <c r="C14" s="2477" t="str">
        <f>IF(B1="工业",估价对象房地状况!G4,估价对象房地状况!C6)</f>
        <v>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03" t="s">
        <v>2359</v>
      </c>
      <c r="Q14" s="1897" t="str">
        <f t="shared" si="6"/>
        <v>交通便捷度</v>
      </c>
      <c r="R14" s="753" t="s">
        <v>25</v>
      </c>
      <c r="S14" s="754">
        <f t="shared" si="0"/>
        <v>100</v>
      </c>
      <c r="T14" s="753" t="s">
        <v>25</v>
      </c>
      <c r="U14" s="754">
        <f t="shared" si="1"/>
        <v>100</v>
      </c>
      <c r="V14" s="753" t="s">
        <v>25</v>
      </c>
      <c r="W14" s="754">
        <f t="shared" si="2"/>
        <v>100</v>
      </c>
      <c r="X14" s="1898"/>
      <c r="Y14" s="3003" t="s">
        <v>2359</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2"/>
      <c r="M15" s="1243"/>
      <c r="N15" s="1243"/>
      <c r="O15" s="1251"/>
      <c r="P15" s="3004"/>
      <c r="Q15" s="1897"/>
      <c r="R15" s="753"/>
      <c r="S15" s="754"/>
      <c r="T15" s="753"/>
      <c r="U15" s="754"/>
      <c r="V15" s="753"/>
      <c r="W15" s="754"/>
      <c r="X15" s="1898"/>
      <c r="Y15" s="3004"/>
      <c r="Z15" s="1900"/>
      <c r="AA15" s="1901">
        <v>1</v>
      </c>
      <c r="AB15" s="1901">
        <v>1</v>
      </c>
      <c r="AC15" s="1901">
        <v>1</v>
      </c>
    </row>
    <row r="16" spans="1:29" ht="15">
      <c r="A16" s="408"/>
      <c r="B16" s="615" t="s">
        <v>2474</v>
      </c>
      <c r="C16" s="2404" t="str">
        <f>IF(B1="工业",估价对象房地状况!G5,估价对象房地状况!C7)</f>
        <v>较好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04"/>
      <c r="Q16" s="1897" t="str">
        <f>B16</f>
        <v>公共配套设施</v>
      </c>
      <c r="R16" s="753" t="s">
        <v>25</v>
      </c>
      <c r="S16" s="754">
        <f>F16</f>
        <v>100</v>
      </c>
      <c r="T16" s="753" t="s">
        <v>25</v>
      </c>
      <c r="U16" s="754">
        <f>H16</f>
        <v>100</v>
      </c>
      <c r="V16" s="753" t="s">
        <v>25</v>
      </c>
      <c r="W16" s="754">
        <f>J16</f>
        <v>100</v>
      </c>
      <c r="X16" s="1898"/>
      <c r="Y16" s="3004"/>
      <c r="Z16" s="1900" t="str">
        <f>Q16</f>
        <v>公共配套设施</v>
      </c>
      <c r="AA16" s="1901">
        <f t="shared" si="3"/>
        <v>1</v>
      </c>
      <c r="AB16" s="1901">
        <f t="shared" si="4"/>
        <v>1</v>
      </c>
      <c r="AC16" s="1901">
        <f t="shared" si="5"/>
        <v>1</v>
      </c>
    </row>
    <row r="17" spans="1:29" ht="15">
      <c r="A17" s="408"/>
      <c r="B17" s="616"/>
      <c r="C17" s="437"/>
      <c r="D17" s="427"/>
      <c r="E17" s="426"/>
      <c r="F17" s="429"/>
      <c r="G17" s="426"/>
      <c r="H17" s="427"/>
      <c r="I17" s="426"/>
      <c r="J17" s="427"/>
      <c r="K17" s="599"/>
      <c r="L17" s="1252"/>
      <c r="M17" s="1243"/>
      <c r="N17" s="1243"/>
      <c r="O17" s="1251"/>
      <c r="P17" s="3004"/>
      <c r="Q17" s="1897"/>
      <c r="R17" s="753"/>
      <c r="S17" s="754"/>
      <c r="T17" s="753"/>
      <c r="U17" s="754"/>
      <c r="V17" s="753"/>
      <c r="W17" s="754"/>
      <c r="X17" s="1898"/>
      <c r="Y17" s="3004"/>
      <c r="Z17" s="1900"/>
      <c r="AA17" s="1901">
        <v>1</v>
      </c>
      <c r="AB17" s="1901">
        <v>1</v>
      </c>
      <c r="AC17" s="1901">
        <v>1</v>
      </c>
    </row>
    <row r="18" spans="1:29" ht="15">
      <c r="A18" s="408"/>
      <c r="B18" s="617" t="s">
        <v>2475</v>
      </c>
      <c r="C18" s="2404"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04"/>
      <c r="Q18" s="1897" t="str">
        <f>B18</f>
        <v>基础设施水平</v>
      </c>
      <c r="R18" s="753" t="s">
        <v>25</v>
      </c>
      <c r="S18" s="754">
        <f>F18</f>
        <v>100</v>
      </c>
      <c r="T18" s="753" t="s">
        <v>25</v>
      </c>
      <c r="U18" s="754">
        <f>H18</f>
        <v>100</v>
      </c>
      <c r="V18" s="753" t="s">
        <v>25</v>
      </c>
      <c r="W18" s="754">
        <f>J18</f>
        <v>100</v>
      </c>
      <c r="X18" s="1898"/>
      <c r="Y18" s="3004"/>
      <c r="Z18" s="1900" t="str">
        <f>Q18</f>
        <v>基础设施水平</v>
      </c>
      <c r="AA18" s="1901">
        <f t="shared" ref="AA18" si="8">D18/F18</f>
        <v>1</v>
      </c>
      <c r="AB18" s="1901">
        <f t="shared" ref="AB18" si="9">D18/H18</f>
        <v>1</v>
      </c>
      <c r="AC18" s="1901">
        <f t="shared" ref="AC18" si="10">D18/J18</f>
        <v>1</v>
      </c>
    </row>
    <row r="19" spans="1:29" ht="15">
      <c r="A19" s="408"/>
      <c r="B19" s="617"/>
      <c r="C19" s="437"/>
      <c r="D19" s="427"/>
      <c r="E19" s="437"/>
      <c r="F19" s="433"/>
      <c r="G19" s="437"/>
      <c r="H19" s="427"/>
      <c r="I19" s="426"/>
      <c r="J19" s="427"/>
      <c r="K19" s="1467"/>
      <c r="L19" s="1252"/>
      <c r="M19" s="1243"/>
      <c r="N19" s="1243"/>
      <c r="O19" s="1251"/>
      <c r="P19" s="3004"/>
      <c r="Q19" s="1897"/>
      <c r="R19" s="753"/>
      <c r="S19" s="754"/>
      <c r="T19" s="753"/>
      <c r="U19" s="754"/>
      <c r="V19" s="753"/>
      <c r="W19" s="754"/>
      <c r="X19" s="1898"/>
      <c r="Y19" s="3004"/>
      <c r="Z19" s="1900"/>
      <c r="AA19" s="1901">
        <v>1</v>
      </c>
      <c r="AB19" s="1901">
        <v>1</v>
      </c>
      <c r="AC19" s="1901">
        <v>1</v>
      </c>
    </row>
    <row r="20" spans="1:29" ht="15">
      <c r="A20" s="408"/>
      <c r="B20" s="431" t="s">
        <v>2503</v>
      </c>
      <c r="C20" s="2404" t="str">
        <f>IF(B1="工业",估价对象房地状况!G7,估价对象房地状况!C9)</f>
        <v>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04"/>
      <c r="Q20" s="1897" t="str">
        <f>B20</f>
        <v>自然及人文环境</v>
      </c>
      <c r="R20" s="753" t="s">
        <v>25</v>
      </c>
      <c r="S20" s="754">
        <f>F20</f>
        <v>100</v>
      </c>
      <c r="T20" s="753" t="s">
        <v>25</v>
      </c>
      <c r="U20" s="754">
        <f>H20</f>
        <v>100</v>
      </c>
      <c r="V20" s="753" t="s">
        <v>25</v>
      </c>
      <c r="W20" s="754">
        <f>J20</f>
        <v>100</v>
      </c>
      <c r="X20" s="1898"/>
      <c r="Y20" s="3004"/>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2"/>
      <c r="M21" s="1243"/>
      <c r="N21" s="1243"/>
      <c r="O21" s="1251"/>
      <c r="P21" s="3004"/>
      <c r="Q21" s="1897"/>
      <c r="R21" s="753"/>
      <c r="S21" s="754"/>
      <c r="T21" s="753"/>
      <c r="U21" s="754"/>
      <c r="V21" s="753"/>
      <c r="W21" s="754"/>
      <c r="X21" s="1898"/>
      <c r="Y21" s="3004"/>
      <c r="Z21" s="1900"/>
      <c r="AA21" s="1901">
        <v>1</v>
      </c>
      <c r="AB21" s="1901">
        <v>1</v>
      </c>
      <c r="AC21" s="1901">
        <v>1</v>
      </c>
    </row>
    <row r="22" spans="1:29" ht="15">
      <c r="A22" s="408"/>
      <c r="B22" s="431" t="s">
        <v>2504</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04"/>
      <c r="Q22" s="1897" t="str">
        <f>B22</f>
        <v>楼层</v>
      </c>
      <c r="R22" s="753" t="s">
        <v>25</v>
      </c>
      <c r="S22" s="754">
        <f>F22</f>
        <v>100</v>
      </c>
      <c r="T22" s="753" t="s">
        <v>25</v>
      </c>
      <c r="U22" s="754">
        <f>H22</f>
        <v>100</v>
      </c>
      <c r="V22" s="753" t="s">
        <v>25</v>
      </c>
      <c r="W22" s="754">
        <f>J22</f>
        <v>100</v>
      </c>
      <c r="X22" s="1898"/>
      <c r="Y22" s="3004"/>
      <c r="Z22" s="1900" t="str">
        <f>Q22</f>
        <v>楼层</v>
      </c>
      <c r="AA22" s="1901">
        <f t="shared" si="3"/>
        <v>1</v>
      </c>
      <c r="AB22" s="1901">
        <f t="shared" si="4"/>
        <v>1</v>
      </c>
      <c r="AC22" s="1901">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04"/>
      <c r="Q23" s="1897">
        <f>B23</f>
        <v>111</v>
      </c>
      <c r="R23" s="753" t="s">
        <v>25</v>
      </c>
      <c r="S23" s="754">
        <f>F23</f>
        <v>100</v>
      </c>
      <c r="T23" s="753" t="s">
        <v>25</v>
      </c>
      <c r="U23" s="754">
        <f>H23</f>
        <v>100</v>
      </c>
      <c r="V23" s="753" t="s">
        <v>25</v>
      </c>
      <c r="W23" s="754">
        <f>J23</f>
        <v>100</v>
      </c>
      <c r="X23" s="1898"/>
      <c r="Y23" s="3004"/>
      <c r="Z23" s="1900">
        <f>Q23</f>
        <v>111</v>
      </c>
      <c r="AA23" s="1901">
        <f t="shared" si="3"/>
        <v>1</v>
      </c>
      <c r="AB23" s="1901">
        <f t="shared" si="4"/>
        <v>1</v>
      </c>
      <c r="AC23" s="1901">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04"/>
      <c r="Q24" s="1897">
        <f t="shared" ref="Q24:Q34" si="11">B24</f>
        <v>111</v>
      </c>
      <c r="R24" s="753" t="s">
        <v>25</v>
      </c>
      <c r="S24" s="754">
        <f>F24</f>
        <v>100</v>
      </c>
      <c r="T24" s="753" t="s">
        <v>25</v>
      </c>
      <c r="U24" s="754">
        <f>H24</f>
        <v>100</v>
      </c>
      <c r="V24" s="753" t="s">
        <v>25</v>
      </c>
      <c r="W24" s="754">
        <f>J24</f>
        <v>100</v>
      </c>
      <c r="X24" s="1898"/>
      <c r="Y24" s="3004"/>
      <c r="Z24" s="1900">
        <f>Q24</f>
        <v>111</v>
      </c>
      <c r="AA24" s="1901">
        <f t="shared" si="3"/>
        <v>1</v>
      </c>
      <c r="AB24" s="1901">
        <f t="shared" si="4"/>
        <v>1</v>
      </c>
      <c r="AC24" s="1901">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4"/>
      <c r="M25" s="1245"/>
      <c r="N25" s="1245"/>
      <c r="O25" s="1246"/>
      <c r="P25" s="3004"/>
      <c r="Q25" s="1885">
        <f t="shared" si="11"/>
        <v>111</v>
      </c>
      <c r="R25" s="749" t="s">
        <v>25</v>
      </c>
      <c r="S25" s="750">
        <f>F25</f>
        <v>100</v>
      </c>
      <c r="T25" s="749" t="s">
        <v>25</v>
      </c>
      <c r="U25" s="750">
        <f>H25</f>
        <v>100</v>
      </c>
      <c r="V25" s="749" t="s">
        <v>25</v>
      </c>
      <c r="W25" s="750">
        <f>J25</f>
        <v>100</v>
      </c>
      <c r="X25" s="751"/>
      <c r="Y25" s="3004"/>
      <c r="Z25" s="23">
        <f>Q25</f>
        <v>111</v>
      </c>
      <c r="AA25" s="1901">
        <f>D25/F25</f>
        <v>1</v>
      </c>
      <c r="AB25" s="1901">
        <f>D25/H25</f>
        <v>1</v>
      </c>
      <c r="AC25" s="1901">
        <f>D25/J25</f>
        <v>1</v>
      </c>
    </row>
    <row r="26" spans="1:29" ht="15">
      <c r="A26" s="447" t="s">
        <v>2363</v>
      </c>
      <c r="B26" s="28" t="s">
        <v>2507</v>
      </c>
      <c r="C26" s="2471"/>
      <c r="D26" s="448">
        <v>100</v>
      </c>
      <c r="E26" s="2471"/>
      <c r="F26" s="650">
        <f>SUMIF(77:77,E26,78:78)-SUMIF(77:77,C26,78:78)+100</f>
        <v>100</v>
      </c>
      <c r="G26" s="2471"/>
      <c r="H26" s="448">
        <f>SUMIF(77:77,G26,78:78)-SUMIF(77:77,C26,78:78)+100</f>
        <v>100</v>
      </c>
      <c r="I26" s="2471"/>
      <c r="J26" s="448">
        <f>SUMIF(77:77,I26,78:78)-SUMIF(77:77,C26,78:78)+100</f>
        <v>100</v>
      </c>
      <c r="K26" s="596"/>
      <c r="L26" s="1252"/>
      <c r="M26" s="1243"/>
      <c r="N26" s="1243"/>
      <c r="O26" s="1251"/>
      <c r="P26" s="3067" t="s">
        <v>2365</v>
      </c>
      <c r="Q26" s="1897" t="str">
        <f t="shared" si="11"/>
        <v>公共部分装修</v>
      </c>
      <c r="R26" s="753" t="s">
        <v>25</v>
      </c>
      <c r="S26" s="754">
        <f t="shared" ref="S26:S34" si="12">F26</f>
        <v>100</v>
      </c>
      <c r="T26" s="753" t="s">
        <v>25</v>
      </c>
      <c r="U26" s="754">
        <f t="shared" ref="U26:U34" si="13">H26</f>
        <v>100</v>
      </c>
      <c r="V26" s="753" t="s">
        <v>25</v>
      </c>
      <c r="W26" s="754">
        <f t="shared" ref="W26:W34" si="14">J26</f>
        <v>100</v>
      </c>
      <c r="X26" s="1898"/>
      <c r="Y26" s="2990" t="s">
        <v>2365</v>
      </c>
      <c r="Z26" s="1900" t="str">
        <f t="shared" ref="Z26:Z34" si="15">Q26</f>
        <v>公共部分装修</v>
      </c>
      <c r="AA26" s="1901">
        <f t="shared" si="3"/>
        <v>1</v>
      </c>
      <c r="AB26" s="1901">
        <f t="shared" si="4"/>
        <v>1</v>
      </c>
      <c r="AC26" s="1901">
        <f t="shared" si="5"/>
        <v>1</v>
      </c>
    </row>
    <row r="27" spans="1:29" s="452" customFormat="1" ht="15">
      <c r="A27" s="449"/>
      <c r="B27" s="402" t="s">
        <v>2508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2990"/>
      <c r="Q27" s="755" t="str">
        <f t="shared" si="11"/>
        <v>成新率</v>
      </c>
      <c r="R27" s="756" t="s">
        <v>25</v>
      </c>
      <c r="S27" s="757" t="e">
        <f t="shared" si="12"/>
        <v>#N/A</v>
      </c>
      <c r="T27" s="756" t="s">
        <v>25</v>
      </c>
      <c r="U27" s="757" t="e">
        <f t="shared" si="13"/>
        <v>#N/A</v>
      </c>
      <c r="V27" s="756" t="s">
        <v>25</v>
      </c>
      <c r="W27" s="757" t="e">
        <f t="shared" si="14"/>
        <v>#N/A</v>
      </c>
      <c r="X27" s="758"/>
      <c r="Y27" s="2990"/>
      <c r="Z27" s="759" t="str">
        <f t="shared" si="15"/>
        <v>成新率</v>
      </c>
      <c r="AA27" s="1901" t="e">
        <f t="shared" si="3"/>
        <v>#N/A</v>
      </c>
      <c r="AB27" s="1901" t="e">
        <f t="shared" si="4"/>
        <v>#N/A</v>
      </c>
      <c r="AC27" s="1901" t="e">
        <f t="shared" si="5"/>
        <v>#N/A</v>
      </c>
    </row>
    <row r="28" spans="1:29" ht="15">
      <c r="A28" s="453"/>
      <c r="B28" s="402" t="s">
        <v>2509</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2990"/>
      <c r="Q28" s="1897" t="str">
        <f t="shared" si="11"/>
        <v>物业等级</v>
      </c>
      <c r="R28" s="753" t="s">
        <v>25</v>
      </c>
      <c r="S28" s="754">
        <f t="shared" si="12"/>
        <v>100</v>
      </c>
      <c r="T28" s="753" t="s">
        <v>25</v>
      </c>
      <c r="U28" s="754">
        <f t="shared" si="13"/>
        <v>100</v>
      </c>
      <c r="V28" s="753" t="s">
        <v>25</v>
      </c>
      <c r="W28" s="754">
        <f t="shared" si="14"/>
        <v>100</v>
      </c>
      <c r="X28" s="1898"/>
      <c r="Y28" s="2990"/>
      <c r="Z28" s="1900" t="str">
        <f t="shared" si="15"/>
        <v>物业等级</v>
      </c>
      <c r="AA28" s="1901">
        <f t="shared" si="3"/>
        <v>1</v>
      </c>
      <c r="AB28" s="1901">
        <f t="shared" si="4"/>
        <v>1</v>
      </c>
      <c r="AC28" s="1901">
        <f t="shared" si="5"/>
        <v>1</v>
      </c>
    </row>
    <row r="29" spans="1:29" ht="15">
      <c r="A29" s="453"/>
      <c r="B29" s="402" t="s">
        <v>2530</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2990"/>
      <c r="Q29" s="1897" t="str">
        <f t="shared" si="11"/>
        <v>有无电梯</v>
      </c>
      <c r="R29" s="753" t="s">
        <v>25</v>
      </c>
      <c r="S29" s="754">
        <f t="shared" si="12"/>
        <v>100</v>
      </c>
      <c r="T29" s="753" t="s">
        <v>25</v>
      </c>
      <c r="U29" s="754">
        <f t="shared" si="13"/>
        <v>100</v>
      </c>
      <c r="V29" s="753" t="s">
        <v>25</v>
      </c>
      <c r="W29" s="754">
        <f t="shared" si="14"/>
        <v>100</v>
      </c>
      <c r="X29" s="1898"/>
      <c r="Y29" s="2990"/>
      <c r="Z29" s="1900" t="str">
        <f t="shared" si="15"/>
        <v>有无电梯</v>
      </c>
      <c r="AA29" s="1901">
        <f t="shared" si="3"/>
        <v>1</v>
      </c>
      <c r="AB29" s="1901">
        <f t="shared" si="4"/>
        <v>1</v>
      </c>
      <c r="AC29" s="1901">
        <f t="shared" si="5"/>
        <v>1</v>
      </c>
    </row>
    <row r="30" spans="1:29" ht="15">
      <c r="A30" s="453"/>
      <c r="B30" s="402" t="s">
        <v>2531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2990"/>
      <c r="Q30" s="1897" t="str">
        <f t="shared" si="11"/>
        <v>建筑面积</v>
      </c>
      <c r="R30" s="753" t="s">
        <v>25</v>
      </c>
      <c r="S30" s="754" t="e">
        <f t="shared" si="12"/>
        <v>#N/A</v>
      </c>
      <c r="T30" s="753" t="s">
        <v>25</v>
      </c>
      <c r="U30" s="754" t="e">
        <f t="shared" si="13"/>
        <v>#N/A</v>
      </c>
      <c r="V30" s="753" t="s">
        <v>25</v>
      </c>
      <c r="W30" s="754" t="e">
        <f t="shared" si="14"/>
        <v>#N/A</v>
      </c>
      <c r="X30" s="1898"/>
      <c r="Y30" s="2990"/>
      <c r="Z30" s="1900" t="str">
        <f t="shared" si="15"/>
        <v>建筑面积</v>
      </c>
      <c r="AA30" s="1901" t="e">
        <f t="shared" si="3"/>
        <v>#N/A</v>
      </c>
      <c r="AB30" s="1901" t="e">
        <f t="shared" si="4"/>
        <v>#N/A</v>
      </c>
      <c r="AC30" s="1901" t="e">
        <f t="shared" si="5"/>
        <v>#N/A</v>
      </c>
    </row>
    <row r="31" spans="1:29" s="35" customFormat="1" ht="15">
      <c r="A31" s="454"/>
      <c r="B31" s="402" t="s">
        <v>2532</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2990"/>
      <c r="Q31" s="1885" t="str">
        <f t="shared" si="11"/>
        <v>是否封闭</v>
      </c>
      <c r="R31" s="749" t="s">
        <v>25</v>
      </c>
      <c r="S31" s="750">
        <f t="shared" si="12"/>
        <v>100</v>
      </c>
      <c r="T31" s="749" t="s">
        <v>25</v>
      </c>
      <c r="U31" s="750">
        <f t="shared" si="13"/>
        <v>100</v>
      </c>
      <c r="V31" s="749" t="s">
        <v>25</v>
      </c>
      <c r="W31" s="750">
        <f t="shared" si="14"/>
        <v>100</v>
      </c>
      <c r="X31" s="751"/>
      <c r="Y31" s="2990"/>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2990" t="s">
        <v>2365</v>
      </c>
      <c r="Q32" s="1897">
        <f t="shared" si="11"/>
        <v>111</v>
      </c>
      <c r="R32" s="753" t="s">
        <v>25</v>
      </c>
      <c r="S32" s="754">
        <f t="shared" si="12"/>
        <v>100</v>
      </c>
      <c r="T32" s="753" t="s">
        <v>25</v>
      </c>
      <c r="U32" s="754">
        <f t="shared" si="13"/>
        <v>100</v>
      </c>
      <c r="V32" s="753" t="s">
        <v>25</v>
      </c>
      <c r="W32" s="754">
        <f t="shared" si="14"/>
        <v>100</v>
      </c>
      <c r="X32" s="1898"/>
      <c r="Y32" s="2990" t="s">
        <v>2365</v>
      </c>
      <c r="Z32" s="1900">
        <f t="shared" si="15"/>
        <v>111</v>
      </c>
      <c r="AA32" s="1901">
        <f t="shared" si="3"/>
        <v>1</v>
      </c>
      <c r="AB32" s="1901">
        <f t="shared" si="4"/>
        <v>1</v>
      </c>
      <c r="AC32" s="1901">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2990"/>
      <c r="Q33" s="1897">
        <f t="shared" si="11"/>
        <v>111</v>
      </c>
      <c r="R33" s="753" t="s">
        <v>25</v>
      </c>
      <c r="S33" s="754">
        <f t="shared" si="12"/>
        <v>100</v>
      </c>
      <c r="T33" s="753" t="s">
        <v>25</v>
      </c>
      <c r="U33" s="754">
        <f t="shared" si="13"/>
        <v>100</v>
      </c>
      <c r="V33" s="753" t="s">
        <v>25</v>
      </c>
      <c r="W33" s="754">
        <f t="shared" si="14"/>
        <v>100</v>
      </c>
      <c r="X33" s="1898"/>
      <c r="Y33" s="2990"/>
      <c r="Z33" s="1900">
        <f t="shared" si="15"/>
        <v>111</v>
      </c>
      <c r="AA33" s="1901">
        <f t="shared" si="3"/>
        <v>1</v>
      </c>
      <c r="AB33" s="1901">
        <f t="shared" si="4"/>
        <v>1</v>
      </c>
      <c r="AC33" s="1901">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2"/>
      <c r="M34" s="1243"/>
      <c r="N34" s="1243"/>
      <c r="O34" s="1251"/>
      <c r="P34" s="2990"/>
      <c r="Q34" s="1897">
        <f t="shared" si="11"/>
        <v>111</v>
      </c>
      <c r="R34" s="753" t="s">
        <v>25</v>
      </c>
      <c r="S34" s="754">
        <f t="shared" si="12"/>
        <v>100</v>
      </c>
      <c r="T34" s="753" t="s">
        <v>25</v>
      </c>
      <c r="U34" s="754">
        <f t="shared" si="13"/>
        <v>100</v>
      </c>
      <c r="V34" s="753" t="s">
        <v>25</v>
      </c>
      <c r="W34" s="754">
        <f t="shared" si="14"/>
        <v>100</v>
      </c>
      <c r="X34" s="1898"/>
      <c r="Y34" s="2990"/>
      <c r="Z34" s="1900">
        <f t="shared" si="15"/>
        <v>111</v>
      </c>
      <c r="AA34" s="1901">
        <f t="shared" si="3"/>
        <v>1</v>
      </c>
      <c r="AB34" s="1901">
        <f t="shared" si="4"/>
        <v>1</v>
      </c>
      <c r="AC34" s="1901">
        <f t="shared" si="5"/>
        <v>1</v>
      </c>
    </row>
    <row r="35" spans="1:29" ht="15">
      <c r="A35" s="460" t="s">
        <v>2377</v>
      </c>
      <c r="B35" s="461"/>
      <c r="C35" s="1500" t="s">
        <v>1</v>
      </c>
      <c r="D35" s="1501"/>
      <c r="E35" s="1502"/>
      <c r="F35" s="1503"/>
      <c r="G35" s="1504"/>
      <c r="H35" s="1505"/>
      <c r="I35" s="1502"/>
      <c r="J35" s="1505"/>
      <c r="K35" s="762"/>
      <c r="L35" s="1255"/>
      <c r="M35" s="1256"/>
      <c r="N35" s="1243"/>
      <c r="O35" s="1256"/>
      <c r="P35" s="2983" t="str">
        <f>A35</f>
        <v>成交单价（元/平方米）</v>
      </c>
      <c r="Q35" s="2983"/>
      <c r="R35" s="2984">
        <f>E35</f>
        <v>0</v>
      </c>
      <c r="S35" s="2984"/>
      <c r="T35" s="2984">
        <f>G35</f>
        <v>0</v>
      </c>
      <c r="U35" s="2984"/>
      <c r="V35" s="2984">
        <f>I35</f>
        <v>0</v>
      </c>
      <c r="W35" s="2984"/>
      <c r="X35" s="738"/>
      <c r="Y35" s="760"/>
      <c r="Z35" s="738"/>
      <c r="AA35" s="738"/>
      <c r="AB35" s="738"/>
      <c r="AC35" s="738"/>
    </row>
    <row r="36" spans="1:29" ht="15.75" thickBot="1">
      <c r="A36" s="467" t="s">
        <v>2460</v>
      </c>
      <c r="B36" s="468"/>
      <c r="C36" s="1506" t="e">
        <f>R37</f>
        <v>#DIV/0!</v>
      </c>
      <c r="D36" s="1507"/>
      <c r="E36" s="1508" t="e">
        <f>R36</f>
        <v>#DIV/0!</v>
      </c>
      <c r="F36" s="1508"/>
      <c r="G36" s="1506" t="e">
        <f>T36</f>
        <v>#DIV/0!</v>
      </c>
      <c r="H36" s="1507"/>
      <c r="I36" s="1508" t="e">
        <f>V36</f>
        <v>#DIV/0!</v>
      </c>
      <c r="J36" s="1507"/>
      <c r="K36" s="763"/>
      <c r="L36" s="1255"/>
      <c r="M36" s="1256"/>
      <c r="N36" s="1243"/>
      <c r="O36" s="1256"/>
      <c r="P36" s="2983" t="str">
        <f>A36</f>
        <v>比较价值（元/平方米）</v>
      </c>
      <c r="Q36" s="2983"/>
      <c r="R36" s="2984" t="e">
        <f>IF(E1="售价",ROUND(PRODUCT(R35,AA7:AA34),0),ROUND(PRODUCT(R35,AA7:AA34),1))</f>
        <v>#DIV/0!</v>
      </c>
      <c r="S36" s="2984"/>
      <c r="T36" s="2984" t="e">
        <f>IF(E1="售价",ROUND(PRODUCT(T35,AB7:AB34),0),ROUND(PRODUCT(T35,AB7:AB34),1))</f>
        <v>#DIV/0!</v>
      </c>
      <c r="U36" s="2984"/>
      <c r="V36" s="2984" t="e">
        <f>IF(E1="售价",ROUND(PRODUCT(V35,AC7:AC34),0),ROUND(PRODUCT(V35,AC7:AC34),1))</f>
        <v>#DIV/0!</v>
      </c>
      <c r="W36" s="2984"/>
      <c r="X36" s="738"/>
      <c r="Y36" s="738"/>
      <c r="Z36" s="738"/>
      <c r="AA36" s="738"/>
      <c r="AB36" s="738"/>
      <c r="AC36" s="738"/>
    </row>
    <row r="37" spans="1:29" ht="15.75" thickBot="1">
      <c r="A37" s="473" t="s">
        <v>2483</v>
      </c>
      <c r="B37" s="474"/>
      <c r="C37" s="1510" t="e">
        <f>R37</f>
        <v>#DIV/0!</v>
      </c>
      <c r="D37" s="1510"/>
      <c r="E37" s="1510"/>
      <c r="F37" s="1510"/>
      <c r="G37" s="1510"/>
      <c r="H37" s="1510"/>
      <c r="I37" s="1510"/>
      <c r="J37" s="1510"/>
      <c r="K37" s="764"/>
      <c r="L37" s="1255"/>
      <c r="M37" s="1256"/>
      <c r="N37" s="1256"/>
      <c r="O37" s="1256"/>
      <c r="P37" s="3057" t="str">
        <f>A37</f>
        <v>估价对象XX用房的比较价值（楼面单价，元/平方米）</v>
      </c>
      <c r="Q37" s="2982"/>
      <c r="R37" s="2986" t="e">
        <f>IF(E1="售价",ROUND(AVERAGE(R36:V36),0),ROUND(AVERAGE(R36:V36),1))</f>
        <v>#DIV/0!</v>
      </c>
      <c r="S37" s="2986"/>
      <c r="T37" s="2986"/>
      <c r="U37" s="2986"/>
      <c r="V37" s="2986"/>
      <c r="W37" s="2986"/>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2465</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6" t="str">
        <f>YEAR(C7)&amp;"-"&amp;MONTH(C7)</f>
        <v>2018-6</v>
      </c>
      <c r="D46" s="1677">
        <f>EDATE(C46,-1)</f>
        <v>43221</v>
      </c>
      <c r="E46" s="1677">
        <f t="shared" ref="E46:O46" si="16">EDATE(D46,-1)</f>
        <v>43191</v>
      </c>
      <c r="F46" s="1677">
        <f t="shared" si="16"/>
        <v>43160</v>
      </c>
      <c r="G46" s="1677">
        <f t="shared" si="16"/>
        <v>43132</v>
      </c>
      <c r="H46" s="1677">
        <f t="shared" si="16"/>
        <v>43101</v>
      </c>
      <c r="I46" s="1677">
        <f t="shared" si="16"/>
        <v>43070</v>
      </c>
      <c r="J46" s="1677">
        <f t="shared" si="16"/>
        <v>43040</v>
      </c>
      <c r="K46" s="1677">
        <f t="shared" si="16"/>
        <v>43009</v>
      </c>
      <c r="L46" s="1677">
        <f t="shared" si="16"/>
        <v>42979</v>
      </c>
      <c r="M46" s="1677">
        <f t="shared" si="16"/>
        <v>42948</v>
      </c>
      <c r="N46" s="1677">
        <f t="shared" si="16"/>
        <v>42917</v>
      </c>
      <c r="O46" s="1677">
        <f t="shared" si="16"/>
        <v>42887</v>
      </c>
      <c r="P46" s="488"/>
    </row>
    <row r="47" spans="1:29" s="35" customFormat="1" ht="15">
      <c r="A47" s="490"/>
      <c r="B47" s="491"/>
      <c r="C47" s="1675">
        <v>100</v>
      </c>
      <c r="D47" s="493"/>
      <c r="E47" s="493"/>
      <c r="F47" s="493"/>
      <c r="G47" s="493"/>
      <c r="H47" s="493"/>
      <c r="I47" s="493"/>
      <c r="J47" s="493"/>
      <c r="K47" s="493"/>
      <c r="L47" s="493"/>
      <c r="M47" s="494"/>
      <c r="N47" s="493"/>
      <c r="O47" s="495"/>
      <c r="P47" s="485"/>
    </row>
    <row r="48" spans="1:29" s="35" customFormat="1" ht="15.75" thickBot="1">
      <c r="A48" s="496" t="s">
        <v>2385</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2388</v>
      </c>
      <c r="B51" s="509" t="s">
        <v>2353</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2356</v>
      </c>
      <c r="C53" s="522" t="s">
        <v>2389</v>
      </c>
      <c r="D53" s="522" t="s">
        <v>2390</v>
      </c>
      <c r="E53" s="522" t="s">
        <v>2391</v>
      </c>
      <c r="F53" s="522" t="s">
        <v>2392</v>
      </c>
      <c r="G53" s="522" t="s">
        <v>2393</v>
      </c>
      <c r="H53" s="522" t="s">
        <v>2394</v>
      </c>
      <c r="I53" s="522" t="s">
        <v>2395</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2358</v>
      </c>
      <c r="B61" s="509" t="s">
        <v>2402</v>
      </c>
      <c r="C61" s="557" t="s">
        <v>2397</v>
      </c>
      <c r="D61" s="557" t="s">
        <v>2398</v>
      </c>
      <c r="E61" s="557" t="s">
        <v>2399</v>
      </c>
      <c r="F61" s="557" t="s">
        <v>2400</v>
      </c>
      <c r="G61" s="557" t="s">
        <v>2401</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2403</v>
      </c>
      <c r="C63" s="562" t="s">
        <v>2397</v>
      </c>
      <c r="D63" s="562" t="s">
        <v>2398</v>
      </c>
      <c r="E63" s="562" t="s">
        <v>2399</v>
      </c>
      <c r="F63" s="562" t="s">
        <v>2400</v>
      </c>
      <c r="G63" s="562" t="s">
        <v>2401</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2475</v>
      </c>
      <c r="C65" s="522" t="s">
        <v>2404</v>
      </c>
      <c r="D65" s="522" t="s">
        <v>2405</v>
      </c>
      <c r="E65" s="522" t="s">
        <v>2406</v>
      </c>
      <c r="F65" s="522" t="s">
        <v>2407</v>
      </c>
      <c r="G65" s="522" t="s">
        <v>2408</v>
      </c>
      <c r="H65" s="522"/>
      <c r="I65" s="522"/>
      <c r="J65" s="522"/>
      <c r="K65" s="522"/>
      <c r="L65" s="522"/>
      <c r="M65" s="1465"/>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2409</v>
      </c>
      <c r="C67" s="562" t="s">
        <v>2397</v>
      </c>
      <c r="D67" s="562" t="s">
        <v>2398</v>
      </c>
      <c r="E67" s="562" t="s">
        <v>2399</v>
      </c>
      <c r="F67" s="562" t="s">
        <v>2400</v>
      </c>
      <c r="G67" s="562" t="s">
        <v>2401</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2522</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2363</v>
      </c>
      <c r="B77" s="509" t="s">
        <v>2416</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2526</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2533</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2535</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2536</v>
      </c>
      <c r="B1" s="374"/>
      <c r="C1" s="375" t="s">
        <v>2537</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2000</v>
      </c>
      <c r="B2" s="654" t="e">
        <f>F66</f>
        <v>#DIV/0!</v>
      </c>
      <c r="C2" s="732" t="s">
        <v>2538</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2001</v>
      </c>
      <c r="B3" s="593" t="e">
        <f>ROUND(B2/'数据-取费表'!B5,0)</f>
        <v>#DIV/0!</v>
      </c>
      <c r="C3" s="732" t="s">
        <v>2539</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2334</v>
      </c>
      <c r="B4" s="381"/>
      <c r="C4" s="3008" t="s">
        <v>2335</v>
      </c>
      <c r="D4" s="3009"/>
      <c r="E4" s="3010" t="s">
        <v>2336</v>
      </c>
      <c r="F4" s="3011"/>
      <c r="G4" s="3008" t="s">
        <v>2337</v>
      </c>
      <c r="H4" s="3009"/>
      <c r="I4" s="3008" t="s">
        <v>2338</v>
      </c>
      <c r="J4" s="3009"/>
      <c r="K4" s="594" t="s">
        <v>2339</v>
      </c>
      <c r="L4" s="1242"/>
      <c r="M4" s="1243"/>
      <c r="N4" s="1243"/>
      <c r="O4" s="1243"/>
      <c r="P4" s="3064" t="s">
        <v>2340</v>
      </c>
      <c r="Q4" s="3001"/>
      <c r="R4" s="2994" t="s">
        <v>2336</v>
      </c>
      <c r="S4" s="2995"/>
      <c r="T4" s="2994" t="s">
        <v>2337</v>
      </c>
      <c r="U4" s="2995"/>
      <c r="V4" s="3016" t="s">
        <v>2338</v>
      </c>
      <c r="W4" s="3016"/>
      <c r="X4" s="1898"/>
      <c r="Y4" s="2994" t="s">
        <v>2340</v>
      </c>
      <c r="Z4" s="2995"/>
      <c r="AA4" s="3005" t="s">
        <v>2336</v>
      </c>
      <c r="AB4" s="3006" t="s">
        <v>2337</v>
      </c>
      <c r="AC4" s="3005" t="s">
        <v>2338</v>
      </c>
    </row>
    <row r="5" spans="1:30" ht="15">
      <c r="A5" s="383"/>
      <c r="B5" s="384"/>
      <c r="C5" s="3023" t="s">
        <v>2341</v>
      </c>
      <c r="D5" s="3020"/>
      <c r="E5" s="3017" t="s">
        <v>2342</v>
      </c>
      <c r="F5" s="3018"/>
      <c r="G5" s="3023" t="s">
        <v>2343</v>
      </c>
      <c r="H5" s="3020"/>
      <c r="I5" s="3023" t="s">
        <v>2344</v>
      </c>
      <c r="J5" s="3020"/>
      <c r="K5" s="594"/>
      <c r="L5" s="1242"/>
      <c r="M5" s="1243"/>
      <c r="N5" s="1243"/>
      <c r="O5" s="1243"/>
      <c r="P5" s="3065"/>
      <c r="Q5" s="3002"/>
      <c r="R5" s="2996"/>
      <c r="S5" s="2997"/>
      <c r="T5" s="2996"/>
      <c r="U5" s="2997"/>
      <c r="V5" s="3016"/>
      <c r="W5" s="3016"/>
      <c r="X5" s="1898"/>
      <c r="Y5" s="2996"/>
      <c r="Z5" s="2997"/>
      <c r="AA5" s="3006"/>
      <c r="AB5" s="3006"/>
      <c r="AC5" s="3006"/>
    </row>
    <row r="6" spans="1:30" ht="15.75" thickBot="1">
      <c r="A6" s="385"/>
      <c r="B6" s="386"/>
      <c r="C6" s="3021" t="s">
        <v>2345</v>
      </c>
      <c r="D6" s="3022"/>
      <c r="E6" s="3024" t="s">
        <v>2345</v>
      </c>
      <c r="F6" s="3025"/>
      <c r="G6" s="3021" t="s">
        <v>2345</v>
      </c>
      <c r="H6" s="3022"/>
      <c r="I6" s="3021" t="s">
        <v>2345</v>
      </c>
      <c r="J6" s="3022"/>
      <c r="K6" s="594" t="s">
        <v>2346</v>
      </c>
      <c r="L6" s="1242"/>
      <c r="M6" s="1243"/>
      <c r="N6" s="1243"/>
      <c r="O6" s="1243"/>
      <c r="P6" s="3066"/>
      <c r="Q6" s="3015"/>
      <c r="R6" s="2996"/>
      <c r="S6" s="2997"/>
      <c r="T6" s="2998"/>
      <c r="U6" s="2999"/>
      <c r="V6" s="3016"/>
      <c r="W6" s="3016"/>
      <c r="X6" s="1898"/>
      <c r="Y6" s="2998"/>
      <c r="Z6" s="2999"/>
      <c r="AA6" s="3007"/>
      <c r="AB6" s="3007"/>
      <c r="AC6" s="3007"/>
    </row>
    <row r="7" spans="1:30" s="35" customFormat="1" ht="15.75" thickBot="1">
      <c r="A7" s="387" t="s">
        <v>2347</v>
      </c>
      <c r="B7" s="388"/>
      <c r="C7" s="389">
        <f>'数据-取费表'!B2</f>
        <v>43257</v>
      </c>
      <c r="D7" s="390">
        <v>100</v>
      </c>
      <c r="E7" s="391"/>
      <c r="F7" s="392">
        <f>SUMIF(70:70,YEAR(E7)&amp;"-"&amp;INT((MONTH(E7)+2)/3),71:71)</f>
        <v>0</v>
      </c>
      <c r="G7" s="2464"/>
      <c r="H7" s="390">
        <f>SUMIF(70:70,YEAR(G7)&amp;"-"&amp;INT((MONTH(G7)+2)/3),71:71)</f>
        <v>0</v>
      </c>
      <c r="I7" s="2464"/>
      <c r="J7" s="390">
        <f>SUMIF(70:70,YEAR(I7)&amp;"-"&amp;INT((MONTH(I7)+2)/3),71:71)</f>
        <v>0</v>
      </c>
      <c r="K7" s="595"/>
      <c r="L7" s="1244"/>
      <c r="M7" s="1245"/>
      <c r="N7" s="1245"/>
      <c r="O7" s="1245"/>
      <c r="P7" s="2992" t="s">
        <v>2348</v>
      </c>
      <c r="Q7" s="3000"/>
      <c r="R7" s="749" t="s">
        <v>25</v>
      </c>
      <c r="S7" s="750">
        <f t="shared" ref="S7:S15" si="0">F7</f>
        <v>0</v>
      </c>
      <c r="T7" s="749" t="s">
        <v>25</v>
      </c>
      <c r="U7" s="750">
        <f t="shared" ref="U7:U15" si="1">H7</f>
        <v>0</v>
      </c>
      <c r="V7" s="749" t="s">
        <v>25</v>
      </c>
      <c r="W7" s="750">
        <f t="shared" ref="W7:W15" si="2">J7</f>
        <v>0</v>
      </c>
      <c r="X7" s="751"/>
      <c r="Y7" s="2992" t="s">
        <v>2348</v>
      </c>
      <c r="Z7" s="2993"/>
      <c r="AA7" s="752" t="e">
        <f>D7/F7</f>
        <v>#DIV/0!</v>
      </c>
      <c r="AB7" s="752" t="e">
        <f>D7/H7</f>
        <v>#DIV/0!</v>
      </c>
      <c r="AC7" s="752" t="e">
        <f>D7/J7</f>
        <v>#DIV/0!</v>
      </c>
    </row>
    <row r="8" spans="1:30" s="35" customFormat="1" ht="15.75" thickBot="1">
      <c r="A8" s="387" t="s">
        <v>2349</v>
      </c>
      <c r="B8" s="388"/>
      <c r="C8" s="394" t="s">
        <v>2540</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2992" t="s">
        <v>2351</v>
      </c>
      <c r="Q8" s="2993"/>
      <c r="R8" s="749" t="s">
        <v>25</v>
      </c>
      <c r="S8" s="750">
        <f t="shared" si="0"/>
        <v>0</v>
      </c>
      <c r="T8" s="749" t="s">
        <v>25</v>
      </c>
      <c r="U8" s="750">
        <f t="shared" si="1"/>
        <v>0</v>
      </c>
      <c r="V8" s="749" t="s">
        <v>25</v>
      </c>
      <c r="W8" s="750">
        <f t="shared" si="2"/>
        <v>0</v>
      </c>
      <c r="X8" s="751"/>
      <c r="Y8" s="2992" t="s">
        <v>2351</v>
      </c>
      <c r="Z8" s="2993"/>
      <c r="AA8" s="752" t="e">
        <f t="shared" ref="AA8:AA45" si="3">D8/F8</f>
        <v>#DIV/0!</v>
      </c>
      <c r="AB8" s="752" t="e">
        <f t="shared" ref="AB8:AB45" si="4">D8/H8</f>
        <v>#DIV/0!</v>
      </c>
      <c r="AC8" s="752" t="e">
        <f t="shared" ref="AC8:AC45" si="5">D8/J8</f>
        <v>#DIV/0!</v>
      </c>
    </row>
    <row r="9" spans="1:30" s="35" customFormat="1">
      <c r="A9" s="395" t="s">
        <v>2352</v>
      </c>
      <c r="B9" s="28" t="s">
        <v>2353</v>
      </c>
      <c r="C9" s="2482"/>
      <c r="D9" s="51">
        <v>100</v>
      </c>
      <c r="E9" s="2482"/>
      <c r="F9" s="51">
        <f>SUMIF(75:75,E9,76:76)-SUMIF(75:75,C9,76:76)+100</f>
        <v>100</v>
      </c>
      <c r="G9" s="2482"/>
      <c r="H9" s="51">
        <f>SUMIF(75:75,G9,76:76)-SUMIF(75:75,C9,76:76)+100</f>
        <v>100</v>
      </c>
      <c r="I9" s="2482"/>
      <c r="J9" s="51">
        <f>SUMIF(75:75,I9,76:76)-SUMIF(75:75,C9,76:76)+100</f>
        <v>100</v>
      </c>
      <c r="K9" s="595"/>
      <c r="L9" s="1244"/>
      <c r="M9" s="1245"/>
      <c r="N9" s="1245"/>
      <c r="O9" s="1246"/>
      <c r="P9" s="2983" t="s">
        <v>2354</v>
      </c>
      <c r="Q9" s="1885" t="str">
        <f t="shared" ref="Q9:Q15" si="6">B9</f>
        <v>用途</v>
      </c>
      <c r="R9" s="749" t="s">
        <v>25</v>
      </c>
      <c r="S9" s="750">
        <f t="shared" si="0"/>
        <v>100</v>
      </c>
      <c r="T9" s="749" t="s">
        <v>25</v>
      </c>
      <c r="U9" s="750">
        <f t="shared" si="1"/>
        <v>100</v>
      </c>
      <c r="V9" s="749" t="s">
        <v>25</v>
      </c>
      <c r="W9" s="750">
        <f t="shared" si="2"/>
        <v>100</v>
      </c>
      <c r="X9" s="751"/>
      <c r="Y9" s="2843"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2983"/>
      <c r="Q10" s="1885"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2983"/>
      <c r="Q11" s="1885"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30" s="35" customFormat="1" ht="15">
      <c r="A12" s="411"/>
      <c r="B12" s="2397" t="s">
        <v>2541</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2983"/>
      <c r="Q12" s="1885" t="str">
        <f t="shared" si="6"/>
        <v>配建</v>
      </c>
      <c r="R12" s="749" t="s">
        <v>25</v>
      </c>
      <c r="S12" s="750">
        <f t="shared" si="0"/>
        <v>100</v>
      </c>
      <c r="T12" s="749" t="s">
        <v>25</v>
      </c>
      <c r="U12" s="750">
        <f t="shared" si="1"/>
        <v>100</v>
      </c>
      <c r="V12" s="749" t="s">
        <v>25</v>
      </c>
      <c r="W12" s="750">
        <f t="shared" si="2"/>
        <v>100</v>
      </c>
      <c r="X12" s="751"/>
      <c r="Y12" s="2843"/>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2983"/>
      <c r="Q13" s="1885">
        <f t="shared" si="6"/>
        <v>111</v>
      </c>
      <c r="R13" s="749" t="s">
        <v>25</v>
      </c>
      <c r="S13" s="750">
        <f t="shared" si="0"/>
        <v>100</v>
      </c>
      <c r="T13" s="749" t="s">
        <v>25</v>
      </c>
      <c r="U13" s="750">
        <f t="shared" si="1"/>
        <v>100</v>
      </c>
      <c r="V13" s="749" t="s">
        <v>25</v>
      </c>
      <c r="W13" s="750">
        <f t="shared" si="2"/>
        <v>100</v>
      </c>
      <c r="X13" s="751"/>
      <c r="Y13" s="2843"/>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2983"/>
      <c r="Q14" s="1885">
        <f t="shared" si="6"/>
        <v>111</v>
      </c>
      <c r="R14" s="749" t="s">
        <v>25</v>
      </c>
      <c r="S14" s="750">
        <f t="shared" si="0"/>
        <v>100</v>
      </c>
      <c r="T14" s="749" t="s">
        <v>25</v>
      </c>
      <c r="U14" s="750">
        <f t="shared" si="1"/>
        <v>100</v>
      </c>
      <c r="V14" s="749" t="s">
        <v>25</v>
      </c>
      <c r="W14" s="750">
        <f t="shared" si="2"/>
        <v>100</v>
      </c>
      <c r="X14" s="751"/>
      <c r="Y14" s="2843"/>
      <c r="Z14" s="23">
        <f t="shared" si="7"/>
        <v>111</v>
      </c>
      <c r="AA14" s="752">
        <f>D14/F14</f>
        <v>1</v>
      </c>
      <c r="AB14" s="752">
        <f>D14/H14</f>
        <v>1</v>
      </c>
      <c r="AC14" s="752">
        <f>D14/J14</f>
        <v>1</v>
      </c>
    </row>
    <row r="15" spans="1:30" ht="15">
      <c r="A15" s="380" t="s">
        <v>2358</v>
      </c>
      <c r="B15" s="1485" t="s">
        <v>1734</v>
      </c>
      <c r="C15" s="2465">
        <f>估价对象房地状况!C15</f>
        <v>0</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03" t="s">
        <v>2359</v>
      </c>
      <c r="Q15" s="1897" t="str">
        <f t="shared" si="6"/>
        <v>居住社区成熟度</v>
      </c>
      <c r="R15" s="753" t="s">
        <v>25</v>
      </c>
      <c r="S15" s="754">
        <f t="shared" si="0"/>
        <v>100</v>
      </c>
      <c r="T15" s="753" t="s">
        <v>25</v>
      </c>
      <c r="U15" s="754">
        <f t="shared" si="1"/>
        <v>100</v>
      </c>
      <c r="V15" s="753" t="s">
        <v>25</v>
      </c>
      <c r="W15" s="754">
        <f t="shared" si="2"/>
        <v>100</v>
      </c>
      <c r="X15" s="1898"/>
      <c r="Y15" s="3003" t="s">
        <v>2359</v>
      </c>
      <c r="Z15" s="1900" t="str">
        <f t="shared" si="7"/>
        <v>居住社区成熟度</v>
      </c>
      <c r="AA15" s="1901">
        <f t="shared" si="3"/>
        <v>1</v>
      </c>
      <c r="AB15" s="1901">
        <f t="shared" si="4"/>
        <v>1</v>
      </c>
      <c r="AC15" s="1901">
        <f t="shared" si="5"/>
        <v>1</v>
      </c>
    </row>
    <row r="16" spans="1:30" ht="15">
      <c r="A16" s="383"/>
      <c r="B16" s="1486"/>
      <c r="C16" s="1470"/>
      <c r="D16" s="427"/>
      <c r="E16" s="428"/>
      <c r="F16" s="427"/>
      <c r="G16" s="428"/>
      <c r="H16" s="430"/>
      <c r="I16" s="2402"/>
      <c r="J16" s="427"/>
      <c r="K16" s="655"/>
      <c r="L16" s="1252"/>
      <c r="M16" s="1243"/>
      <c r="N16" s="1243"/>
      <c r="O16" s="1251"/>
      <c r="P16" s="3004"/>
      <c r="Q16" s="1897"/>
      <c r="R16" s="753"/>
      <c r="S16" s="754"/>
      <c r="T16" s="753"/>
      <c r="U16" s="754"/>
      <c r="V16" s="753"/>
      <c r="W16" s="754"/>
      <c r="X16" s="1898"/>
      <c r="Y16" s="3004"/>
      <c r="Z16" s="1900"/>
      <c r="AA16" s="1901">
        <v>1</v>
      </c>
      <c r="AB16" s="1901">
        <v>1</v>
      </c>
      <c r="AC16" s="1901">
        <v>1</v>
      </c>
    </row>
    <row r="17" spans="1:29" ht="15">
      <c r="A17" s="383"/>
      <c r="B17" s="1487" t="s">
        <v>2444</v>
      </c>
      <c r="C17" s="2483">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04"/>
      <c r="Q17" s="1897" t="str">
        <f>B17</f>
        <v>商业繁华度</v>
      </c>
      <c r="R17" s="753" t="s">
        <v>25</v>
      </c>
      <c r="S17" s="754">
        <f>F17</f>
        <v>100</v>
      </c>
      <c r="T17" s="753" t="s">
        <v>25</v>
      </c>
      <c r="U17" s="754">
        <f>H17</f>
        <v>100</v>
      </c>
      <c r="V17" s="753" t="s">
        <v>25</v>
      </c>
      <c r="W17" s="754">
        <f>J17</f>
        <v>100</v>
      </c>
      <c r="X17" s="1898"/>
      <c r="Y17" s="3004"/>
      <c r="Z17" s="1900" t="str">
        <f>Q17</f>
        <v>商业繁华度</v>
      </c>
      <c r="AA17" s="1901">
        <f t="shared" si="3"/>
        <v>1</v>
      </c>
      <c r="AB17" s="1901">
        <f t="shared" si="4"/>
        <v>1</v>
      </c>
      <c r="AC17" s="1901">
        <f t="shared" si="5"/>
        <v>1</v>
      </c>
    </row>
    <row r="18" spans="1:29" ht="15">
      <c r="A18" s="383"/>
      <c r="B18" s="1488"/>
      <c r="C18" s="2467"/>
      <c r="D18" s="430"/>
      <c r="E18" s="1466"/>
      <c r="F18" s="430"/>
      <c r="G18" s="1466"/>
      <c r="H18" s="427"/>
      <c r="I18" s="2405"/>
      <c r="J18" s="427"/>
      <c r="K18" s="655"/>
      <c r="L18" s="1252"/>
      <c r="M18" s="1243"/>
      <c r="N18" s="1243"/>
      <c r="O18" s="1251"/>
      <c r="P18" s="3004"/>
      <c r="Q18" s="1897"/>
      <c r="R18" s="753"/>
      <c r="S18" s="754"/>
      <c r="T18" s="753"/>
      <c r="U18" s="754"/>
      <c r="V18" s="753"/>
      <c r="W18" s="754"/>
      <c r="X18" s="1898"/>
      <c r="Y18" s="3004"/>
      <c r="Z18" s="1900"/>
      <c r="AA18" s="1901">
        <v>1</v>
      </c>
      <c r="AB18" s="1901">
        <v>1</v>
      </c>
      <c r="AC18" s="1901">
        <v>1</v>
      </c>
    </row>
    <row r="19" spans="1:29" ht="15">
      <c r="A19" s="383"/>
      <c r="B19" s="1487" t="s">
        <v>2473</v>
      </c>
      <c r="C19" s="2483" t="str">
        <f>估价对象房地状况!C17</f>
        <v>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04"/>
      <c r="Q19" s="1897" t="str">
        <f>B19</f>
        <v>办公集聚程度</v>
      </c>
      <c r="R19" s="753" t="s">
        <v>25</v>
      </c>
      <c r="S19" s="754">
        <f>F19</f>
        <v>100</v>
      </c>
      <c r="T19" s="753" t="s">
        <v>25</v>
      </c>
      <c r="U19" s="754">
        <f>H19</f>
        <v>100</v>
      </c>
      <c r="V19" s="753" t="s">
        <v>25</v>
      </c>
      <c r="W19" s="754">
        <f>J19</f>
        <v>100</v>
      </c>
      <c r="X19" s="1898"/>
      <c r="Y19" s="3004"/>
      <c r="Z19" s="1900" t="str">
        <f>Q19</f>
        <v>办公集聚程度</v>
      </c>
      <c r="AA19" s="1901">
        <f t="shared" si="3"/>
        <v>1</v>
      </c>
      <c r="AB19" s="1901">
        <f t="shared" si="4"/>
        <v>1</v>
      </c>
      <c r="AC19" s="1901">
        <f t="shared" si="5"/>
        <v>1</v>
      </c>
    </row>
    <row r="20" spans="1:29" ht="15">
      <c r="A20" s="383"/>
      <c r="B20" s="1488"/>
      <c r="C20" s="1470"/>
      <c r="D20" s="427"/>
      <c r="E20" s="428"/>
      <c r="F20" s="427"/>
      <c r="G20" s="428"/>
      <c r="H20" s="427"/>
      <c r="I20" s="2402"/>
      <c r="J20" s="427"/>
      <c r="K20" s="655"/>
      <c r="L20" s="1252"/>
      <c r="M20" s="1243"/>
      <c r="N20" s="1243"/>
      <c r="O20" s="1251"/>
      <c r="P20" s="3004"/>
      <c r="Q20" s="1897"/>
      <c r="R20" s="753"/>
      <c r="S20" s="754"/>
      <c r="T20" s="753"/>
      <c r="U20" s="754"/>
      <c r="V20" s="753"/>
      <c r="W20" s="754"/>
      <c r="X20" s="1898"/>
      <c r="Y20" s="3004"/>
      <c r="Z20" s="1900"/>
      <c r="AA20" s="1901">
        <v>1</v>
      </c>
      <c r="AB20" s="1901">
        <v>1</v>
      </c>
      <c r="AC20" s="1901">
        <v>1</v>
      </c>
    </row>
    <row r="21" spans="1:29" ht="15">
      <c r="A21" s="383"/>
      <c r="B21" s="1487" t="s">
        <v>2502</v>
      </c>
      <c r="C21" s="2466" t="str">
        <f>估价对象房地状况!C18</f>
        <v>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04"/>
      <c r="Q21" s="1897" t="str">
        <f>B21</f>
        <v>交通便捷度</v>
      </c>
      <c r="R21" s="753" t="s">
        <v>25</v>
      </c>
      <c r="S21" s="754">
        <f>F21</f>
        <v>100</v>
      </c>
      <c r="T21" s="753" t="s">
        <v>25</v>
      </c>
      <c r="U21" s="754">
        <f>H21</f>
        <v>100</v>
      </c>
      <c r="V21" s="753" t="s">
        <v>25</v>
      </c>
      <c r="W21" s="754">
        <f>J21</f>
        <v>100</v>
      </c>
      <c r="X21" s="1898"/>
      <c r="Y21" s="3004"/>
      <c r="Z21" s="1900" t="str">
        <f>Q21</f>
        <v>交通便捷度</v>
      </c>
      <c r="AA21" s="1901">
        <f t="shared" si="3"/>
        <v>1</v>
      </c>
      <c r="AB21" s="1901">
        <f t="shared" si="4"/>
        <v>1</v>
      </c>
      <c r="AC21" s="1901">
        <f t="shared" si="5"/>
        <v>1</v>
      </c>
    </row>
    <row r="22" spans="1:29" ht="15">
      <c r="A22" s="383"/>
      <c r="B22" s="1489"/>
      <c r="C22" s="1470"/>
      <c r="D22" s="430"/>
      <c r="E22" s="428"/>
      <c r="F22" s="427"/>
      <c r="G22" s="428"/>
      <c r="H22" s="427"/>
      <c r="I22" s="2402"/>
      <c r="J22" s="427"/>
      <c r="K22" s="655"/>
      <c r="L22" s="1252"/>
      <c r="M22" s="1243"/>
      <c r="N22" s="1243"/>
      <c r="O22" s="1251"/>
      <c r="P22" s="3004"/>
      <c r="Q22" s="1897"/>
      <c r="R22" s="753"/>
      <c r="S22" s="754"/>
      <c r="T22" s="753"/>
      <c r="U22" s="754"/>
      <c r="V22" s="753"/>
      <c r="W22" s="754"/>
      <c r="X22" s="1898"/>
      <c r="Y22" s="3004"/>
      <c r="Z22" s="1900"/>
      <c r="AA22" s="1901">
        <v>1</v>
      </c>
      <c r="AB22" s="1901">
        <v>1</v>
      </c>
      <c r="AC22" s="1901">
        <v>1</v>
      </c>
    </row>
    <row r="23" spans="1:29" ht="15">
      <c r="A23" s="383"/>
      <c r="B23" s="1490" t="s">
        <v>2542</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04"/>
      <c r="Q23" s="1897" t="str">
        <f t="shared" ref="Q23:Q37" si="8">B23</f>
        <v>区域土地利用方向</v>
      </c>
      <c r="R23" s="753" t="s">
        <v>25</v>
      </c>
      <c r="S23" s="754">
        <f>F23</f>
        <v>100</v>
      </c>
      <c r="T23" s="753" t="s">
        <v>25</v>
      </c>
      <c r="U23" s="754">
        <f>H23</f>
        <v>100</v>
      </c>
      <c r="V23" s="753" t="s">
        <v>25</v>
      </c>
      <c r="W23" s="754">
        <f>J23</f>
        <v>100</v>
      </c>
      <c r="X23" s="1898"/>
      <c r="Y23" s="3004"/>
      <c r="Z23" s="1900" t="str">
        <f>Q23</f>
        <v>区域土地利用方向</v>
      </c>
      <c r="AA23" s="1901">
        <f t="shared" si="3"/>
        <v>1</v>
      </c>
      <c r="AB23" s="1901">
        <f t="shared" si="4"/>
        <v>1</v>
      </c>
      <c r="AC23" s="1901">
        <f t="shared" si="5"/>
        <v>1</v>
      </c>
    </row>
    <row r="24" spans="1:29" ht="15">
      <c r="A24" s="383"/>
      <c r="B24" s="1491"/>
      <c r="C24" s="618"/>
      <c r="D24" s="427"/>
      <c r="E24" s="428"/>
      <c r="F24" s="427"/>
      <c r="G24" s="2402"/>
      <c r="H24" s="427"/>
      <c r="I24" s="2402"/>
      <c r="J24" s="427"/>
      <c r="K24" s="804"/>
      <c r="L24" s="1252"/>
      <c r="M24" s="1243"/>
      <c r="N24" s="1243"/>
      <c r="O24" s="1251"/>
      <c r="P24" s="3004"/>
      <c r="Q24" s="1897"/>
      <c r="R24" s="753"/>
      <c r="S24" s="754"/>
      <c r="T24" s="753"/>
      <c r="U24" s="754"/>
      <c r="V24" s="753"/>
      <c r="W24" s="754"/>
      <c r="X24" s="1898"/>
      <c r="Y24" s="3004"/>
      <c r="Z24" s="1900"/>
      <c r="AA24" s="1901"/>
      <c r="AB24" s="1901"/>
      <c r="AC24" s="1901"/>
    </row>
    <row r="25" spans="1:29" ht="27">
      <c r="A25" s="383"/>
      <c r="B25" s="1489" t="s">
        <v>2543</v>
      </c>
      <c r="C25" s="2483" t="str">
        <f>估价对象房地状况!C20</f>
        <v>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04"/>
      <c r="Q25" s="1897" t="str">
        <f t="shared" si="8"/>
        <v>自然及人文环境状况</v>
      </c>
      <c r="R25" s="753" t="s">
        <v>25</v>
      </c>
      <c r="S25" s="754">
        <f>F25</f>
        <v>100</v>
      </c>
      <c r="T25" s="753" t="s">
        <v>25</v>
      </c>
      <c r="U25" s="754">
        <f>H25</f>
        <v>100</v>
      </c>
      <c r="V25" s="753" t="s">
        <v>25</v>
      </c>
      <c r="W25" s="754">
        <f>J25</f>
        <v>100</v>
      </c>
      <c r="X25" s="1898"/>
      <c r="Y25" s="3004"/>
      <c r="Z25" s="1900" t="str">
        <f>Q25</f>
        <v>自然及人文环境状况</v>
      </c>
      <c r="AA25" s="1901">
        <f t="shared" si="3"/>
        <v>1</v>
      </c>
      <c r="AB25" s="1901">
        <f t="shared" si="4"/>
        <v>1</v>
      </c>
      <c r="AC25" s="1901">
        <f t="shared" si="5"/>
        <v>1</v>
      </c>
    </row>
    <row r="26" spans="1:29" ht="15">
      <c r="A26" s="383"/>
      <c r="B26" s="1488"/>
      <c r="C26" s="1470"/>
      <c r="D26" s="427"/>
      <c r="E26" s="1470"/>
      <c r="F26" s="427"/>
      <c r="G26" s="1470"/>
      <c r="H26" s="427"/>
      <c r="I26" s="426"/>
      <c r="J26" s="427"/>
      <c r="K26" s="655"/>
      <c r="L26" s="1252"/>
      <c r="M26" s="1243"/>
      <c r="N26" s="1243"/>
      <c r="O26" s="1251"/>
      <c r="P26" s="3004"/>
      <c r="Q26" s="1897"/>
      <c r="R26" s="753"/>
      <c r="S26" s="754"/>
      <c r="T26" s="753"/>
      <c r="U26" s="754"/>
      <c r="V26" s="753"/>
      <c r="W26" s="754"/>
      <c r="X26" s="1898"/>
      <c r="Y26" s="3004"/>
      <c r="Z26" s="1900"/>
      <c r="AA26" s="1901">
        <v>1</v>
      </c>
      <c r="AB26" s="1901">
        <v>1</v>
      </c>
      <c r="AC26" s="1901">
        <v>1</v>
      </c>
    </row>
    <row r="27" spans="1:29" ht="15">
      <c r="A27" s="383"/>
      <c r="B27" s="1489" t="s">
        <v>2445</v>
      </c>
      <c r="C27" s="2466" t="str">
        <f>估价对象房地状况!C21</f>
        <v>较好</v>
      </c>
      <c r="D27" s="430">
        <v>100</v>
      </c>
      <c r="E27" s="432"/>
      <c r="F27" s="430">
        <f>SUMIF(100:100,E28,101:101)-SUMIF(100:100,C28,101:101)+100</f>
        <v>100</v>
      </c>
      <c r="G27" s="432"/>
      <c r="H27" s="430">
        <f>SUMIF(100:100,G28,101:101)-SUMIF(100:100,C28,101:101)+100</f>
        <v>100</v>
      </c>
      <c r="I27" s="434"/>
      <c r="J27" s="430">
        <f>SUMIF(100:100,I28,101:101)-SUMIF(100:100,C28,101:101)+100</f>
        <v>100</v>
      </c>
      <c r="K27" s="1484"/>
      <c r="L27" s="1252"/>
      <c r="M27" s="1243"/>
      <c r="N27" s="1243"/>
      <c r="O27" s="1251"/>
      <c r="P27" s="3004"/>
      <c r="Q27" s="1885" t="str">
        <f t="shared" ref="Q27" si="9">B27</f>
        <v>公共配套设施</v>
      </c>
      <c r="R27" s="749" t="s">
        <v>25</v>
      </c>
      <c r="S27" s="750">
        <f>F27</f>
        <v>100</v>
      </c>
      <c r="T27" s="749" t="s">
        <v>25</v>
      </c>
      <c r="U27" s="750">
        <f>H27</f>
        <v>100</v>
      </c>
      <c r="V27" s="749" t="s">
        <v>25</v>
      </c>
      <c r="W27" s="750">
        <f>J27</f>
        <v>100</v>
      </c>
      <c r="X27" s="1898"/>
      <c r="Y27" s="3004"/>
      <c r="Z27" s="23" t="str">
        <f>Q27</f>
        <v>公共配套设施</v>
      </c>
      <c r="AA27" s="1901">
        <f>D27/F27</f>
        <v>1</v>
      </c>
      <c r="AB27" s="1901">
        <f>D27/H27</f>
        <v>1</v>
      </c>
      <c r="AC27" s="1901">
        <f>D27/J27</f>
        <v>1</v>
      </c>
    </row>
    <row r="28" spans="1:29" ht="15">
      <c r="A28" s="383"/>
      <c r="B28" s="1488"/>
      <c r="C28" s="2485"/>
      <c r="D28" s="427"/>
      <c r="E28" s="2485"/>
      <c r="F28" s="427"/>
      <c r="G28" s="2485"/>
      <c r="H28" s="427"/>
      <c r="I28" s="2485"/>
      <c r="J28" s="427"/>
      <c r="K28" s="655"/>
      <c r="L28" s="1252"/>
      <c r="M28" s="1243"/>
      <c r="N28" s="1243"/>
      <c r="O28" s="1251"/>
      <c r="P28" s="3004"/>
      <c r="Q28" s="1897"/>
      <c r="R28" s="753"/>
      <c r="S28" s="754"/>
      <c r="T28" s="753"/>
      <c r="U28" s="754"/>
      <c r="V28" s="753"/>
      <c r="W28" s="754"/>
      <c r="X28" s="1898"/>
      <c r="Y28" s="3004"/>
      <c r="Z28" s="23"/>
      <c r="AA28" s="1901">
        <v>1</v>
      </c>
      <c r="AB28" s="1901">
        <v>1</v>
      </c>
      <c r="AC28" s="1901">
        <v>1</v>
      </c>
    </row>
    <row r="29" spans="1:29" s="35" customFormat="1" ht="15">
      <c r="A29" s="633"/>
      <c r="B29" s="1489" t="s">
        <v>2446</v>
      </c>
      <c r="C29" s="2486"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4"/>
      <c r="L29" s="1244"/>
      <c r="M29" s="1245"/>
      <c r="N29" s="1245"/>
      <c r="O29" s="1246"/>
      <c r="P29" s="3004"/>
      <c r="Q29" s="1885" t="str">
        <f t="shared" si="8"/>
        <v>基础设施水平</v>
      </c>
      <c r="R29" s="749" t="s">
        <v>25</v>
      </c>
      <c r="S29" s="750">
        <f>F29</f>
        <v>100</v>
      </c>
      <c r="T29" s="749" t="s">
        <v>25</v>
      </c>
      <c r="U29" s="750">
        <f>H29</f>
        <v>100</v>
      </c>
      <c r="V29" s="749" t="s">
        <v>25</v>
      </c>
      <c r="W29" s="750">
        <f>J29</f>
        <v>100</v>
      </c>
      <c r="X29" s="751"/>
      <c r="Y29" s="3004"/>
      <c r="Z29" s="23" t="str">
        <f>Q29</f>
        <v>基础设施水平</v>
      </c>
      <c r="AA29" s="1901">
        <f>D29/F29</f>
        <v>1</v>
      </c>
      <c r="AB29" s="1901">
        <f>D29/H29</f>
        <v>1</v>
      </c>
      <c r="AC29" s="1901">
        <f>D29/J29</f>
        <v>1</v>
      </c>
    </row>
    <row r="30" spans="1:29" s="35" customFormat="1" ht="15">
      <c r="A30" s="633"/>
      <c r="B30" s="1488"/>
      <c r="C30" s="2485"/>
      <c r="D30" s="427"/>
      <c r="E30" s="2485"/>
      <c r="F30" s="427"/>
      <c r="G30" s="2485"/>
      <c r="H30" s="427"/>
      <c r="I30" s="2485"/>
      <c r="J30" s="427"/>
      <c r="K30" s="655"/>
      <c r="L30" s="1244"/>
      <c r="M30" s="1245"/>
      <c r="N30" s="1245"/>
      <c r="O30" s="1246"/>
      <c r="P30" s="3004"/>
      <c r="Q30" s="1885"/>
      <c r="R30" s="749"/>
      <c r="S30" s="750"/>
      <c r="T30" s="749"/>
      <c r="U30" s="750"/>
      <c r="V30" s="749"/>
      <c r="W30" s="750"/>
      <c r="X30" s="751"/>
      <c r="Y30" s="3004"/>
      <c r="Z30" s="23"/>
      <c r="AA30" s="1901">
        <v>1</v>
      </c>
      <c r="AB30" s="1901">
        <v>1</v>
      </c>
      <c r="AC30" s="1901">
        <v>1</v>
      </c>
    </row>
    <row r="31" spans="1:29" ht="15">
      <c r="A31" s="383"/>
      <c r="B31" s="1488" t="s">
        <v>2447</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04"/>
      <c r="Q31" s="1897" t="str">
        <f t="shared" si="8"/>
        <v>临街状况</v>
      </c>
      <c r="R31" s="753" t="s">
        <v>25</v>
      </c>
      <c r="S31" s="754">
        <f t="shared" ref="S31:S45" si="10">F31</f>
        <v>100</v>
      </c>
      <c r="T31" s="753" t="s">
        <v>25</v>
      </c>
      <c r="U31" s="754">
        <f t="shared" ref="U31:U45" si="11">H31</f>
        <v>100</v>
      </c>
      <c r="V31" s="753" t="s">
        <v>25</v>
      </c>
      <c r="W31" s="754">
        <f t="shared" ref="W31:W45" si="12">J31</f>
        <v>100</v>
      </c>
      <c r="X31" s="1898"/>
      <c r="Y31" s="3004"/>
      <c r="Z31" s="1900" t="str">
        <f t="shared" ref="Z31:Z45" si="13">Q31</f>
        <v>临街状况</v>
      </c>
      <c r="AA31" s="1901">
        <f t="shared" si="3"/>
        <v>1</v>
      </c>
      <c r="AB31" s="1901">
        <f t="shared" si="4"/>
        <v>1</v>
      </c>
      <c r="AC31" s="1901">
        <f t="shared" si="5"/>
        <v>1</v>
      </c>
    </row>
    <row r="32" spans="1:29" ht="27">
      <c r="A32" s="383"/>
      <c r="B32" s="1489" t="s">
        <v>2477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04"/>
      <c r="Q32" s="1897" t="str">
        <f t="shared" si="8"/>
        <v>毗邻道路的类型与等级</v>
      </c>
      <c r="R32" s="753" t="s">
        <v>25</v>
      </c>
      <c r="S32" s="754">
        <f t="shared" si="10"/>
        <v>100</v>
      </c>
      <c r="T32" s="753" t="s">
        <v>25</v>
      </c>
      <c r="U32" s="754">
        <f t="shared" si="11"/>
        <v>100</v>
      </c>
      <c r="V32" s="753" t="s">
        <v>25</v>
      </c>
      <c r="W32" s="754">
        <f t="shared" si="12"/>
        <v>100</v>
      </c>
      <c r="X32" s="1898"/>
      <c r="Y32" s="3004"/>
      <c r="Z32" s="1900" t="str">
        <f t="shared" si="13"/>
        <v>毗邻道路的类型与等级</v>
      </c>
      <c r="AA32" s="1901">
        <f t="shared" si="3"/>
        <v>1</v>
      </c>
      <c r="AB32" s="1901">
        <f t="shared" si="4"/>
        <v>1</v>
      </c>
      <c r="AC32" s="1901">
        <f t="shared" si="5"/>
        <v>1</v>
      </c>
    </row>
    <row r="33" spans="1:29" ht="15">
      <c r="A33" s="383"/>
      <c r="B33" s="1488"/>
      <c r="C33" s="1470"/>
      <c r="D33" s="427"/>
      <c r="E33" s="1470"/>
      <c r="F33" s="427"/>
      <c r="G33" s="1470"/>
      <c r="H33" s="427"/>
      <c r="I33" s="426"/>
      <c r="J33" s="427"/>
      <c r="K33" s="597"/>
      <c r="L33" s="1252"/>
      <c r="M33" s="1243"/>
      <c r="N33" s="1243"/>
      <c r="O33" s="1251"/>
      <c r="P33" s="3004"/>
      <c r="Q33" s="1897"/>
      <c r="R33" s="753"/>
      <c r="S33" s="754"/>
      <c r="T33" s="753"/>
      <c r="U33" s="754"/>
      <c r="V33" s="753"/>
      <c r="W33" s="754"/>
      <c r="X33" s="1898"/>
      <c r="Y33" s="3004"/>
      <c r="Z33" s="1900"/>
      <c r="AA33" s="1901">
        <v>1</v>
      </c>
      <c r="AB33" s="1901">
        <v>1</v>
      </c>
      <c r="AC33" s="1901">
        <v>1</v>
      </c>
    </row>
    <row r="34" spans="1:29" ht="15">
      <c r="A34" s="383"/>
      <c r="B34" s="1492" t="s">
        <v>2544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04"/>
      <c r="Q34" s="1897" t="str">
        <f t="shared" si="8"/>
        <v>土地级别</v>
      </c>
      <c r="R34" s="753" t="s">
        <v>25</v>
      </c>
      <c r="S34" s="754">
        <f t="shared" si="10"/>
        <v>100</v>
      </c>
      <c r="T34" s="753" t="s">
        <v>25</v>
      </c>
      <c r="U34" s="754">
        <f t="shared" si="11"/>
        <v>100</v>
      </c>
      <c r="V34" s="753" t="s">
        <v>25</v>
      </c>
      <c r="W34" s="754">
        <f t="shared" si="12"/>
        <v>100</v>
      </c>
      <c r="X34" s="1898"/>
      <c r="Y34" s="3004"/>
      <c r="Z34" s="1900" t="str">
        <f t="shared" si="13"/>
        <v>土地级别</v>
      </c>
      <c r="AA34" s="1901">
        <f t="shared" si="3"/>
        <v>1</v>
      </c>
      <c r="AB34" s="1901">
        <f t="shared" si="4"/>
        <v>1</v>
      </c>
      <c r="AC34" s="1901">
        <f t="shared" si="5"/>
        <v>1</v>
      </c>
    </row>
    <row r="35" spans="1:29" ht="15">
      <c r="A35" s="383"/>
      <c r="B35" s="1493">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04"/>
      <c r="Q35" s="1897">
        <f t="shared" si="8"/>
        <v>111</v>
      </c>
      <c r="R35" s="753" t="s">
        <v>25</v>
      </c>
      <c r="S35" s="754">
        <f t="shared" si="10"/>
        <v>100</v>
      </c>
      <c r="T35" s="753" t="s">
        <v>25</v>
      </c>
      <c r="U35" s="754">
        <f t="shared" si="11"/>
        <v>100</v>
      </c>
      <c r="V35" s="753" t="s">
        <v>25</v>
      </c>
      <c r="W35" s="754">
        <f t="shared" si="12"/>
        <v>100</v>
      </c>
      <c r="X35" s="1898"/>
      <c r="Y35" s="3004"/>
      <c r="Z35" s="1900">
        <f t="shared" si="13"/>
        <v>111</v>
      </c>
      <c r="AA35" s="1901">
        <f t="shared" si="3"/>
        <v>1</v>
      </c>
      <c r="AB35" s="1901">
        <f t="shared" si="4"/>
        <v>1</v>
      </c>
      <c r="AC35" s="1901">
        <f t="shared" si="5"/>
        <v>1</v>
      </c>
    </row>
    <row r="36" spans="1:29" ht="15">
      <c r="A36" s="658"/>
      <c r="B36" s="1494">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67" t="s">
        <v>2365</v>
      </c>
      <c r="Q36" s="1897">
        <f t="shared" si="8"/>
        <v>111</v>
      </c>
      <c r="R36" s="753" t="s">
        <v>25</v>
      </c>
      <c r="S36" s="754">
        <f t="shared" si="10"/>
        <v>100</v>
      </c>
      <c r="T36" s="753" t="s">
        <v>25</v>
      </c>
      <c r="U36" s="754">
        <f t="shared" si="11"/>
        <v>100</v>
      </c>
      <c r="V36" s="753" t="s">
        <v>25</v>
      </c>
      <c r="W36" s="754">
        <f t="shared" si="12"/>
        <v>100</v>
      </c>
      <c r="X36" s="1898"/>
      <c r="Y36" s="2990" t="s">
        <v>2365</v>
      </c>
      <c r="Z36" s="1900">
        <f t="shared" si="13"/>
        <v>111</v>
      </c>
      <c r="AA36" s="1901">
        <f t="shared" si="3"/>
        <v>1</v>
      </c>
      <c r="AB36" s="1901">
        <f t="shared" si="4"/>
        <v>1</v>
      </c>
      <c r="AC36" s="1901">
        <f t="shared" si="5"/>
        <v>1</v>
      </c>
    </row>
    <row r="37" spans="1:29" s="452" customFormat="1" ht="15.75" thickBot="1">
      <c r="A37" s="659"/>
      <c r="B37" s="1495">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2990"/>
      <c r="Q37" s="1897">
        <f t="shared" si="8"/>
        <v>111</v>
      </c>
      <c r="R37" s="756" t="s">
        <v>25</v>
      </c>
      <c r="S37" s="757">
        <f t="shared" si="10"/>
        <v>100</v>
      </c>
      <c r="T37" s="756" t="s">
        <v>25</v>
      </c>
      <c r="U37" s="757">
        <f t="shared" si="11"/>
        <v>100</v>
      </c>
      <c r="V37" s="756" t="s">
        <v>25</v>
      </c>
      <c r="W37" s="757">
        <f t="shared" si="12"/>
        <v>100</v>
      </c>
      <c r="X37" s="758"/>
      <c r="Y37" s="2990"/>
      <c r="Z37" s="759">
        <f t="shared" si="13"/>
        <v>111</v>
      </c>
      <c r="AA37" s="1901">
        <f t="shared" si="3"/>
        <v>1</v>
      </c>
      <c r="AB37" s="1901">
        <f t="shared" si="4"/>
        <v>1</v>
      </c>
      <c r="AC37" s="1901">
        <f t="shared" si="5"/>
        <v>1</v>
      </c>
    </row>
    <row r="38" spans="1:29" ht="15">
      <c r="A38" s="380" t="s">
        <v>2363</v>
      </c>
      <c r="B38" s="436" t="s">
        <v>2545</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2990"/>
      <c r="Q38" s="1897" t="str">
        <f>B38</f>
        <v>宗地面积</v>
      </c>
      <c r="R38" s="753" t="s">
        <v>25</v>
      </c>
      <c r="S38" s="754" t="e">
        <f t="shared" si="10"/>
        <v>#N/A</v>
      </c>
      <c r="T38" s="753" t="s">
        <v>25</v>
      </c>
      <c r="U38" s="754" t="e">
        <f t="shared" si="11"/>
        <v>#N/A</v>
      </c>
      <c r="V38" s="753" t="s">
        <v>25</v>
      </c>
      <c r="W38" s="754" t="e">
        <f t="shared" si="12"/>
        <v>#N/A</v>
      </c>
      <c r="X38" s="1898"/>
      <c r="Y38" s="2990"/>
      <c r="Z38" s="1900" t="str">
        <f t="shared" si="13"/>
        <v>宗地面积</v>
      </c>
      <c r="AA38" s="1901" t="e">
        <f t="shared" si="3"/>
        <v>#N/A</v>
      </c>
      <c r="AB38" s="1901" t="e">
        <f t="shared" si="4"/>
        <v>#N/A</v>
      </c>
      <c r="AC38" s="1901" t="e">
        <f t="shared" si="5"/>
        <v>#N/A</v>
      </c>
    </row>
    <row r="39" spans="1:29" ht="15">
      <c r="A39" s="453"/>
      <c r="B39" s="402" t="s">
        <v>2546</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2"/>
      <c r="M39" s="1243"/>
      <c r="N39" s="1243"/>
      <c r="O39" s="1251"/>
      <c r="P39" s="2990"/>
      <c r="Q39" s="1897" t="str">
        <f t="shared" ref="Q39:Q45" si="14">B39</f>
        <v>宗地形状</v>
      </c>
      <c r="R39" s="753" t="s">
        <v>25</v>
      </c>
      <c r="S39" s="754">
        <f t="shared" si="10"/>
        <v>100</v>
      </c>
      <c r="T39" s="753" t="s">
        <v>25</v>
      </c>
      <c r="U39" s="754">
        <f t="shared" si="11"/>
        <v>100</v>
      </c>
      <c r="V39" s="753" t="s">
        <v>25</v>
      </c>
      <c r="W39" s="754">
        <f t="shared" si="12"/>
        <v>100</v>
      </c>
      <c r="X39" s="1898"/>
      <c r="Y39" s="2990"/>
      <c r="Z39" s="1900" t="str">
        <f t="shared" si="13"/>
        <v>宗地形状</v>
      </c>
      <c r="AA39" s="1901">
        <f t="shared" si="3"/>
        <v>1</v>
      </c>
      <c r="AB39" s="1901">
        <f t="shared" si="4"/>
        <v>1</v>
      </c>
      <c r="AC39" s="1901">
        <f t="shared" si="5"/>
        <v>1</v>
      </c>
    </row>
    <row r="40" spans="1:29" ht="15">
      <c r="A40" s="453"/>
      <c r="B40" s="402" t="s">
        <v>2547</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2"/>
      <c r="M40" s="1243"/>
      <c r="N40" s="1243"/>
      <c r="O40" s="1251"/>
      <c r="P40" s="2990"/>
      <c r="Q40" s="1897" t="str">
        <f t="shared" si="14"/>
        <v>临街宽度及深度</v>
      </c>
      <c r="R40" s="753" t="s">
        <v>25</v>
      </c>
      <c r="S40" s="754">
        <f t="shared" si="10"/>
        <v>100</v>
      </c>
      <c r="T40" s="753" t="s">
        <v>25</v>
      </c>
      <c r="U40" s="754">
        <f t="shared" si="11"/>
        <v>100</v>
      </c>
      <c r="V40" s="753" t="s">
        <v>25</v>
      </c>
      <c r="W40" s="754">
        <f t="shared" si="12"/>
        <v>100</v>
      </c>
      <c r="X40" s="1898"/>
      <c r="Y40" s="2990"/>
      <c r="Z40" s="1900" t="str">
        <f t="shared" si="13"/>
        <v>临街宽度及深度</v>
      </c>
      <c r="AA40" s="1901">
        <f t="shared" si="3"/>
        <v>1</v>
      </c>
      <c r="AB40" s="1901">
        <f t="shared" si="4"/>
        <v>1</v>
      </c>
      <c r="AC40" s="1901">
        <f t="shared" si="5"/>
        <v>1</v>
      </c>
    </row>
    <row r="41" spans="1:29" s="35" customFormat="1" ht="15">
      <c r="A41" s="454"/>
      <c r="B41" s="402" t="s">
        <v>2548</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4"/>
      <c r="M41" s="1245"/>
      <c r="N41" s="1245"/>
      <c r="O41" s="1246"/>
      <c r="P41" s="2990"/>
      <c r="Q41" s="1897" t="str">
        <f t="shared" si="14"/>
        <v>宗地开发程度</v>
      </c>
      <c r="R41" s="749" t="s">
        <v>25</v>
      </c>
      <c r="S41" s="750">
        <f t="shared" si="10"/>
        <v>100</v>
      </c>
      <c r="T41" s="749" t="s">
        <v>25</v>
      </c>
      <c r="U41" s="750">
        <f t="shared" si="11"/>
        <v>100</v>
      </c>
      <c r="V41" s="749" t="s">
        <v>25</v>
      </c>
      <c r="W41" s="750">
        <f t="shared" si="12"/>
        <v>100</v>
      </c>
      <c r="X41" s="751"/>
      <c r="Y41" s="2990"/>
      <c r="Z41" s="23" t="str">
        <f t="shared" si="13"/>
        <v>宗地开发程度</v>
      </c>
      <c r="AA41" s="752">
        <f t="shared" si="3"/>
        <v>1</v>
      </c>
      <c r="AB41" s="752">
        <f t="shared" si="4"/>
        <v>1</v>
      </c>
      <c r="AC41" s="752">
        <f t="shared" si="5"/>
        <v>1</v>
      </c>
    </row>
    <row r="42" spans="1:29" ht="15">
      <c r="A42" s="453"/>
      <c r="B42" s="402" t="s">
        <v>2549</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2"/>
      <c r="M42" s="1243"/>
      <c r="N42" s="1243"/>
      <c r="O42" s="1251"/>
      <c r="P42" s="2990" t="s">
        <v>2365</v>
      </c>
      <c r="Q42" s="1897" t="str">
        <f t="shared" si="14"/>
        <v>工程地质条件</v>
      </c>
      <c r="R42" s="753" t="s">
        <v>25</v>
      </c>
      <c r="S42" s="754">
        <f t="shared" si="10"/>
        <v>100</v>
      </c>
      <c r="T42" s="753" t="s">
        <v>25</v>
      </c>
      <c r="U42" s="754">
        <f t="shared" si="11"/>
        <v>100</v>
      </c>
      <c r="V42" s="753" t="s">
        <v>25</v>
      </c>
      <c r="W42" s="754">
        <f t="shared" si="12"/>
        <v>100</v>
      </c>
      <c r="X42" s="1898"/>
      <c r="Y42" s="2990" t="s">
        <v>2365</v>
      </c>
      <c r="Z42" s="1900" t="str">
        <f t="shared" si="13"/>
        <v>工程地质条件</v>
      </c>
      <c r="AA42" s="1901">
        <f t="shared" si="3"/>
        <v>1</v>
      </c>
      <c r="AB42" s="1901">
        <f t="shared" si="4"/>
        <v>1</v>
      </c>
      <c r="AC42" s="1901">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2990"/>
      <c r="Q43" s="1897">
        <f t="shared" si="14"/>
        <v>111</v>
      </c>
      <c r="R43" s="753" t="s">
        <v>25</v>
      </c>
      <c r="S43" s="754">
        <f t="shared" si="10"/>
        <v>100</v>
      </c>
      <c r="T43" s="753" t="s">
        <v>25</v>
      </c>
      <c r="U43" s="754">
        <f t="shared" si="11"/>
        <v>100</v>
      </c>
      <c r="V43" s="753" t="s">
        <v>25</v>
      </c>
      <c r="W43" s="754">
        <f t="shared" si="12"/>
        <v>100</v>
      </c>
      <c r="X43" s="1898"/>
      <c r="Y43" s="2990"/>
      <c r="Z43" s="1900">
        <f t="shared" si="13"/>
        <v>111</v>
      </c>
      <c r="AA43" s="1901">
        <f t="shared" si="3"/>
        <v>1</v>
      </c>
      <c r="AB43" s="1901">
        <f t="shared" si="4"/>
        <v>1</v>
      </c>
      <c r="AC43" s="1901">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2990"/>
      <c r="Q44" s="1897">
        <f t="shared" si="14"/>
        <v>111</v>
      </c>
      <c r="R44" s="753" t="s">
        <v>25</v>
      </c>
      <c r="S44" s="754">
        <f t="shared" si="10"/>
        <v>100</v>
      </c>
      <c r="T44" s="753" t="s">
        <v>25</v>
      </c>
      <c r="U44" s="754">
        <f t="shared" si="11"/>
        <v>100</v>
      </c>
      <c r="V44" s="753" t="s">
        <v>25</v>
      </c>
      <c r="W44" s="754">
        <f t="shared" si="12"/>
        <v>100</v>
      </c>
      <c r="X44" s="1898"/>
      <c r="Y44" s="2990"/>
      <c r="Z44" s="1900">
        <f t="shared" si="13"/>
        <v>111</v>
      </c>
      <c r="AA44" s="1901">
        <f t="shared" si="3"/>
        <v>1</v>
      </c>
      <c r="AB44" s="1901">
        <f t="shared" si="4"/>
        <v>1</v>
      </c>
      <c r="AC44" s="1901">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2990"/>
      <c r="Q45" s="1897">
        <f t="shared" si="14"/>
        <v>111</v>
      </c>
      <c r="R45" s="756" t="s">
        <v>25</v>
      </c>
      <c r="S45" s="757">
        <f t="shared" si="10"/>
        <v>100</v>
      </c>
      <c r="T45" s="756" t="s">
        <v>25</v>
      </c>
      <c r="U45" s="757">
        <f t="shared" si="11"/>
        <v>100</v>
      </c>
      <c r="V45" s="756" t="s">
        <v>25</v>
      </c>
      <c r="W45" s="757">
        <f t="shared" si="12"/>
        <v>100</v>
      </c>
      <c r="X45" s="758"/>
      <c r="Y45" s="2990"/>
      <c r="Z45" s="759">
        <f t="shared" si="13"/>
        <v>111</v>
      </c>
      <c r="AA45" s="1901">
        <f t="shared" si="3"/>
        <v>1</v>
      </c>
      <c r="AB45" s="1901">
        <f t="shared" si="4"/>
        <v>1</v>
      </c>
      <c r="AC45" s="1901">
        <f t="shared" si="5"/>
        <v>1</v>
      </c>
    </row>
    <row r="46" spans="1:29" ht="15">
      <c r="A46" s="460" t="s">
        <v>2513</v>
      </c>
      <c r="B46" s="2490" t="s">
        <v>2550</v>
      </c>
      <c r="C46" s="665" t="s">
        <v>1</v>
      </c>
      <c r="D46" s="462"/>
      <c r="E46" s="463"/>
      <c r="F46" s="464"/>
      <c r="G46" s="465"/>
      <c r="H46" s="466"/>
      <c r="I46" s="463"/>
      <c r="J46" s="466"/>
      <c r="K46" s="762"/>
      <c r="L46" s="1255"/>
      <c r="M46" s="1256"/>
      <c r="N46" s="1243"/>
      <c r="O46" s="1256"/>
      <c r="P46" s="2983" t="str">
        <f>A46</f>
        <v>成交单价</v>
      </c>
      <c r="Q46" s="2983"/>
      <c r="R46" s="3016">
        <f>E46</f>
        <v>0</v>
      </c>
      <c r="S46" s="3016"/>
      <c r="T46" s="3016">
        <f>G46</f>
        <v>0</v>
      </c>
      <c r="U46" s="3016"/>
      <c r="V46" s="3016">
        <f>I46</f>
        <v>0</v>
      </c>
      <c r="W46" s="3016"/>
      <c r="X46" s="738"/>
      <c r="Y46" s="760"/>
      <c r="Z46" s="738"/>
      <c r="AA46" s="738"/>
      <c r="AB46" s="738"/>
      <c r="AC46" s="738"/>
    </row>
    <row r="47" spans="1:29" ht="15.75" thickBot="1">
      <c r="A47" s="467" t="s">
        <v>2460</v>
      </c>
      <c r="B47" s="666"/>
      <c r="C47" s="471" t="e">
        <f>R48</f>
        <v>#DIV/0!</v>
      </c>
      <c r="D47" s="470"/>
      <c r="E47" s="471" t="e">
        <f>R47</f>
        <v>#DIV/0!</v>
      </c>
      <c r="F47" s="472"/>
      <c r="G47" s="469" t="e">
        <f>T47</f>
        <v>#DIV/0!</v>
      </c>
      <c r="H47" s="470"/>
      <c r="I47" s="471" t="e">
        <f>V47</f>
        <v>#DIV/0!</v>
      </c>
      <c r="J47" s="470"/>
      <c r="K47" s="763"/>
      <c r="L47" s="1255"/>
      <c r="M47" s="1256"/>
      <c r="N47" s="1256"/>
      <c r="O47" s="1256"/>
      <c r="P47" s="2983" t="str">
        <f>A47</f>
        <v>比较价值（元/平方米）</v>
      </c>
      <c r="Q47" s="2983"/>
      <c r="R47" s="3068" t="e">
        <f>ROUND(PRODUCT(R46,AA7:AA45),0)</f>
        <v>#DIV/0!</v>
      </c>
      <c r="S47" s="3068"/>
      <c r="T47" s="3068" t="e">
        <f>ROUND(PRODUCT(T46,AB7:AB45),0)</f>
        <v>#DIV/0!</v>
      </c>
      <c r="U47" s="3068"/>
      <c r="V47" s="3068" t="e">
        <f>ROUND(PRODUCT(V46,AC7:AC45),0)</f>
        <v>#DIV/0!</v>
      </c>
      <c r="W47" s="3068"/>
      <c r="X47" s="738"/>
      <c r="Y47" s="738"/>
      <c r="Z47" s="738"/>
      <c r="AA47" s="738"/>
      <c r="AB47" s="738"/>
      <c r="AC47" s="738"/>
    </row>
    <row r="48" spans="1:29" ht="15.75" thickBot="1">
      <c r="A48" s="473" t="s">
        <v>2483</v>
      </c>
      <c r="B48" s="474"/>
      <c r="C48" s="475" t="e">
        <f>R48</f>
        <v>#DIV/0!</v>
      </c>
      <c r="D48" s="475"/>
      <c r="E48" s="475"/>
      <c r="F48" s="475"/>
      <c r="G48" s="475"/>
      <c r="H48" s="475"/>
      <c r="I48" s="475"/>
      <c r="J48" s="475"/>
      <c r="K48" s="764"/>
      <c r="L48" s="1255"/>
      <c r="M48" s="1256"/>
      <c r="N48" s="1256"/>
      <c r="O48" s="1256"/>
      <c r="P48" s="3057" t="str">
        <f>A48</f>
        <v>估价对象XX用房的比较价值（楼面单价，元/平方米）</v>
      </c>
      <c r="Q48" s="2982"/>
      <c r="R48" s="3069" t="e">
        <f>ROUND(AVERAGE(R47:V47),0)</f>
        <v>#DIV/0!</v>
      </c>
      <c r="S48" s="3069"/>
      <c r="T48" s="3069"/>
      <c r="U48" s="3069"/>
      <c r="V48" s="3069"/>
      <c r="W48" s="3069"/>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2462</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2463</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2464</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2551</v>
      </c>
      <c r="B55" s="668" t="s">
        <v>2552</v>
      </c>
      <c r="C55" s="2491" t="s">
        <v>2553</v>
      </c>
      <c r="D55" s="2492" t="s">
        <v>2554</v>
      </c>
      <c r="E55" s="669" t="s">
        <v>2555</v>
      </c>
      <c r="F55" s="670" t="s">
        <v>2556</v>
      </c>
      <c r="G55" s="62" t="s">
        <v>2557</v>
      </c>
      <c r="H55" s="62">
        <f>项目基本情况!G8</f>
        <v>0</v>
      </c>
      <c r="I55" s="2493" t="s">
        <v>2558</v>
      </c>
      <c r="J55" s="739"/>
      <c r="K55" s="1257"/>
      <c r="L55" s="1257"/>
      <c r="M55" s="1256"/>
      <c r="N55" s="1256"/>
      <c r="O55" s="1256"/>
    </row>
    <row r="56" spans="1:15" s="675" customFormat="1">
      <c r="A56" s="671" t="s">
        <v>2559</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2560</v>
      </c>
      <c r="B57" s="178" t="e">
        <f>ROUND($C$48*C57*D57,0)</f>
        <v>#DIV/0!</v>
      </c>
      <c r="C57" s="117">
        <f>IF($C$55="北京市系数",G57,H57)</f>
        <v>0.8</v>
      </c>
      <c r="D57" s="1291">
        <v>0.25</v>
      </c>
      <c r="E57" s="677">
        <v>0</v>
      </c>
      <c r="F57" s="674" t="e">
        <f t="shared" si="15"/>
        <v>#DIV/0!</v>
      </c>
      <c r="G57" s="972">
        <f>SUMIF(修正!$A$45:$A$56,项目基本情况!$F$9,修正!B45:B56)</f>
        <v>0.8</v>
      </c>
      <c r="H57" s="973"/>
      <c r="I57" s="1256"/>
      <c r="J57" s="1261"/>
      <c r="K57" s="1257"/>
      <c r="L57" s="1257"/>
      <c r="M57" s="1256"/>
      <c r="N57" s="1256"/>
      <c r="O57" s="971"/>
    </row>
    <row r="58" spans="1:15" s="675" customFormat="1">
      <c r="A58" s="676" t="s">
        <v>2561</v>
      </c>
      <c r="B58" s="178" t="e">
        <f t="shared" ref="B58:B65" si="16">ROUND($C$48*C58*D58,0)</f>
        <v>#DIV/0!</v>
      </c>
      <c r="C58" s="117">
        <f t="shared" ref="C58:C65" si="17">IF($C$55="北京市系数",G58,H58)</f>
        <v>0.5</v>
      </c>
      <c r="D58" s="1291">
        <v>0.25</v>
      </c>
      <c r="E58" s="677">
        <v>0</v>
      </c>
      <c r="F58" s="674" t="e">
        <f t="shared" si="15"/>
        <v>#DIV/0!</v>
      </c>
      <c r="G58" s="972">
        <f>SUMIF(修正!$A$45:$A$56,项目基本情况!$F$9,修正!C45:C56)</f>
        <v>0.5</v>
      </c>
      <c r="H58" s="973"/>
      <c r="I58" s="1258"/>
      <c r="J58" s="1258"/>
      <c r="K58" s="1262"/>
      <c r="L58" s="1263"/>
      <c r="M58" s="1258"/>
      <c r="N58" s="1258"/>
      <c r="O58" s="971"/>
    </row>
    <row r="59" spans="1:15" s="675" customFormat="1">
      <c r="A59" s="676" t="s">
        <v>2562</v>
      </c>
      <c r="B59" s="178" t="e">
        <f t="shared" si="16"/>
        <v>#DIV/0!</v>
      </c>
      <c r="C59" s="117">
        <f t="shared" si="17"/>
        <v>0.36</v>
      </c>
      <c r="D59" s="1291">
        <v>0.25</v>
      </c>
      <c r="E59" s="677">
        <v>0</v>
      </c>
      <c r="F59" s="674" t="e">
        <f t="shared" si="15"/>
        <v>#DIV/0!</v>
      </c>
      <c r="G59" s="972">
        <f>SUMIF(修正!$A$45:$A$56,项目基本情况!$F$9,修正!D45:D56)</f>
        <v>0.36</v>
      </c>
      <c r="H59" s="973"/>
      <c r="I59" s="1256"/>
      <c r="J59" s="1261"/>
      <c r="K59" s="1257"/>
      <c r="L59" s="1257"/>
      <c r="M59" s="1256"/>
      <c r="N59" s="1256"/>
      <c r="O59" s="971"/>
    </row>
    <row r="60" spans="1:15" s="675" customFormat="1">
      <c r="A60" s="676" t="s">
        <v>2563</v>
      </c>
      <c r="B60" s="178" t="e">
        <f t="shared" si="16"/>
        <v>#DIV/0!</v>
      </c>
      <c r="C60" s="117">
        <f t="shared" si="17"/>
        <v>0.3</v>
      </c>
      <c r="D60" s="1291">
        <v>0.25</v>
      </c>
      <c r="E60" s="677">
        <v>0</v>
      </c>
      <c r="F60" s="674" t="e">
        <f t="shared" si="15"/>
        <v>#DIV/0!</v>
      </c>
      <c r="G60" s="972">
        <f>SUMIF(修正!$A$45:$A$56,项目基本情况!$F$9,修正!E45:E56)</f>
        <v>0.3</v>
      </c>
      <c r="H60" s="973"/>
      <c r="I60" s="1258"/>
      <c r="J60" s="1258"/>
      <c r="K60" s="1262"/>
      <c r="L60" s="1263"/>
      <c r="M60" s="1258"/>
      <c r="N60" s="1258"/>
      <c r="O60" s="971"/>
    </row>
    <row r="61" spans="1:15" s="675" customFormat="1">
      <c r="A61" s="676" t="s">
        <v>2564</v>
      </c>
      <c r="B61" s="178" t="e">
        <f t="shared" si="16"/>
        <v>#DIV/0!</v>
      </c>
      <c r="C61" s="117">
        <f t="shared" si="17"/>
        <v>0.3</v>
      </c>
      <c r="D61" s="1291">
        <v>0.25</v>
      </c>
      <c r="E61" s="677">
        <v>0</v>
      </c>
      <c r="F61" s="674" t="e">
        <f t="shared" si="15"/>
        <v>#DIV/0!</v>
      </c>
      <c r="G61" s="972">
        <f>SUMIF(修正!A45:A56,项目基本情况!F9,修正!F45:F56)</f>
        <v>0.3</v>
      </c>
      <c r="H61" s="973"/>
      <c r="I61" s="1256"/>
      <c r="J61" s="1261"/>
      <c r="K61" s="1257"/>
      <c r="L61" s="1257"/>
      <c r="M61" s="1256"/>
      <c r="N61" s="1256"/>
      <c r="O61" s="971"/>
    </row>
    <row r="62" spans="1:15" s="675" customFormat="1">
      <c r="A62" s="676" t="s">
        <v>2565</v>
      </c>
      <c r="B62" s="178" t="e">
        <f t="shared" si="16"/>
        <v>#DIV/0!</v>
      </c>
      <c r="C62" s="117">
        <f t="shared" si="17"/>
        <v>0.3</v>
      </c>
      <c r="D62" s="1291">
        <v>0.25</v>
      </c>
      <c r="E62" s="677">
        <v>0</v>
      </c>
      <c r="F62" s="674" t="e">
        <f t="shared" si="15"/>
        <v>#DIV/0!</v>
      </c>
      <c r="G62" s="972">
        <f>SUMIF(修正!A45:A56,项目基本情况!F9,修正!G45:G56)</f>
        <v>0.3</v>
      </c>
      <c r="H62" s="973"/>
      <c r="I62" s="1258"/>
      <c r="J62" s="1258"/>
      <c r="K62" s="1262"/>
      <c r="L62" s="1263"/>
      <c r="M62" s="1258"/>
      <c r="N62" s="1258"/>
      <c r="O62" s="971"/>
    </row>
    <row r="63" spans="1:15" s="675" customFormat="1">
      <c r="A63" s="676" t="s">
        <v>2566</v>
      </c>
      <c r="B63" s="178" t="e">
        <f t="shared" si="16"/>
        <v>#DIV/0!</v>
      </c>
      <c r="C63" s="117">
        <f>IF($C$55="北京市系数",G63,H63)</f>
        <v>0.25</v>
      </c>
      <c r="D63" s="1291">
        <v>0.25</v>
      </c>
      <c r="E63" s="677">
        <v>0</v>
      </c>
      <c r="F63" s="674" t="e">
        <f t="shared" si="15"/>
        <v>#DIV/0!</v>
      </c>
      <c r="G63" s="972">
        <f>SUMIF(修正!A45:A56,项目基本情况!F9,修正!H45:H56)</f>
        <v>0.25</v>
      </c>
      <c r="H63" s="973"/>
      <c r="I63" s="1256"/>
      <c r="J63" s="1261"/>
      <c r="K63" s="1257"/>
      <c r="L63" s="1257"/>
      <c r="M63" s="1256"/>
      <c r="N63" s="1256"/>
      <c r="O63" s="971"/>
    </row>
    <row r="64" spans="1:15" s="675" customFormat="1">
      <c r="A64" s="676" t="s">
        <v>2567</v>
      </c>
      <c r="B64" s="178" t="e">
        <f t="shared" si="16"/>
        <v>#DIV/0!</v>
      </c>
      <c r="C64" s="117">
        <f t="shared" si="17"/>
        <v>0.25</v>
      </c>
      <c r="D64" s="1291">
        <v>0.25</v>
      </c>
      <c r="E64" s="677">
        <v>0</v>
      </c>
      <c r="F64" s="674" t="e">
        <f t="shared" si="15"/>
        <v>#DIV/0!</v>
      </c>
      <c r="G64" s="972">
        <f>G63</f>
        <v>0.25</v>
      </c>
      <c r="H64" s="973"/>
      <c r="I64" s="1258"/>
      <c r="J64" s="1258"/>
      <c r="K64" s="1262"/>
      <c r="L64" s="1263"/>
      <c r="M64" s="1258"/>
      <c r="N64" s="1258"/>
      <c r="O64" s="971"/>
    </row>
    <row r="65" spans="1:17" s="675" customFormat="1">
      <c r="A65" s="676" t="s">
        <v>2568</v>
      </c>
      <c r="B65" s="178" t="e">
        <f t="shared" si="16"/>
        <v>#DIV/0!</v>
      </c>
      <c r="C65" s="117">
        <f t="shared" si="17"/>
        <v>0.25</v>
      </c>
      <c r="D65" s="1291">
        <v>0.25</v>
      </c>
      <c r="E65" s="677">
        <v>0</v>
      </c>
      <c r="F65" s="674" t="e">
        <f t="shared" si="15"/>
        <v>#DIV/0!</v>
      </c>
      <c r="G65" s="972">
        <f>G63</f>
        <v>0.25</v>
      </c>
      <c r="H65" s="973"/>
      <c r="I65" s="1256"/>
      <c r="J65" s="1261"/>
      <c r="K65" s="1257"/>
      <c r="L65" s="1257"/>
      <c r="M65" s="1256"/>
      <c r="N65" s="1256"/>
      <c r="O65" s="971"/>
    </row>
    <row r="66" spans="1:17" s="675" customFormat="1" ht="13.5" thickBot="1">
      <c r="A66" s="679" t="s">
        <v>2569</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0" customFormat="1">
      <c r="A68" s="738"/>
      <c r="B68" s="1668"/>
      <c r="C68" s="1668" t="str">
        <f>YEAR(C7)&amp;"-"&amp;MONTH(C7)&amp;"-1"</f>
        <v>2018-6-1</v>
      </c>
      <c r="D68" s="1668">
        <f>EDATE(C68,-3)</f>
        <v>43160</v>
      </c>
      <c r="E68" s="1668">
        <f t="shared" ref="E68:O68" si="18">EDATE(D68,-3)</f>
        <v>43070</v>
      </c>
      <c r="F68" s="1668">
        <f t="shared" si="18"/>
        <v>42979</v>
      </c>
      <c r="G68" s="1668">
        <f t="shared" si="18"/>
        <v>42887</v>
      </c>
      <c r="H68" s="1668">
        <f t="shared" si="18"/>
        <v>42795</v>
      </c>
      <c r="I68" s="1668">
        <f t="shared" si="18"/>
        <v>42705</v>
      </c>
      <c r="J68" s="1668">
        <f t="shared" si="18"/>
        <v>42614</v>
      </c>
      <c r="K68" s="1668">
        <f t="shared" si="18"/>
        <v>42522</v>
      </c>
      <c r="L68" s="1668">
        <f t="shared" si="18"/>
        <v>42430</v>
      </c>
      <c r="M68" s="1668">
        <f t="shared" si="18"/>
        <v>42339</v>
      </c>
      <c r="N68" s="1668">
        <f t="shared" si="18"/>
        <v>42248</v>
      </c>
      <c r="O68" s="1668">
        <f t="shared" si="18"/>
        <v>42156</v>
      </c>
    </row>
    <row r="69" spans="1:17" ht="21.75" thickBot="1">
      <c r="A69" s="742" t="s">
        <v>2465</v>
      </c>
      <c r="B69" s="738"/>
      <c r="C69" s="743"/>
      <c r="D69" s="743"/>
      <c r="E69" s="743"/>
      <c r="F69" s="744"/>
      <c r="G69" s="744"/>
      <c r="H69" s="743"/>
      <c r="I69" s="1272"/>
      <c r="J69" s="1272"/>
      <c r="K69" s="1270"/>
      <c r="L69" s="1271"/>
      <c r="M69" s="1272"/>
      <c r="N69" s="1272"/>
      <c r="O69" s="1272"/>
      <c r="P69" s="484"/>
      <c r="Q69" s="485"/>
    </row>
    <row r="70" spans="1:17" s="1672" customFormat="1" ht="15">
      <c r="A70" s="2494" t="s">
        <v>2570</v>
      </c>
      <c r="B70" s="1454"/>
      <c r="C70" s="1669" t="str">
        <f>YEAR(C68)&amp;"-"&amp;ROUNDUP(MONTH(C68)/3,0)</f>
        <v>2018-2</v>
      </c>
      <c r="D70" s="1669" t="str">
        <f>YEAR(D68)&amp;"-"&amp;ROUNDUP(MONTH(D68)/3,0)</f>
        <v>2018-1</v>
      </c>
      <c r="E70" s="1669" t="str">
        <f t="shared" ref="E70:O70" si="19">YEAR(E68)&amp;"-"&amp;ROUNDUP(MONTH(E68)/3,0)</f>
        <v>2017-4</v>
      </c>
      <c r="F70" s="1669" t="str">
        <f t="shared" si="19"/>
        <v>2017-3</v>
      </c>
      <c r="G70" s="1669" t="str">
        <f t="shared" si="19"/>
        <v>2017-2</v>
      </c>
      <c r="H70" s="1669" t="str">
        <f t="shared" si="19"/>
        <v>2017-1</v>
      </c>
      <c r="I70" s="1669" t="str">
        <f t="shared" si="19"/>
        <v>2016-4</v>
      </c>
      <c r="J70" s="1669" t="str">
        <f t="shared" si="19"/>
        <v>2016-3</v>
      </c>
      <c r="K70" s="1669" t="str">
        <f t="shared" si="19"/>
        <v>2016-2</v>
      </c>
      <c r="L70" s="1669" t="str">
        <f t="shared" si="19"/>
        <v>2016-1</v>
      </c>
      <c r="M70" s="1669" t="str">
        <f t="shared" si="19"/>
        <v>2015-4</v>
      </c>
      <c r="N70" s="1669" t="str">
        <f t="shared" si="19"/>
        <v>2015-3</v>
      </c>
      <c r="O70" s="1669" t="str">
        <f t="shared" si="19"/>
        <v>2015-2</v>
      </c>
      <c r="P70" s="1671"/>
    </row>
    <row r="71" spans="1:17" s="35" customFormat="1" ht="29.25" customHeight="1">
      <c r="A71" s="2495" t="s">
        <v>2571</v>
      </c>
      <c r="B71" s="284" t="str">
        <f>"北京市平均增长率"&amp;TEXT(SUMIF(基准地价修正!N21:N25,A71,基准地价修正!P21:P25),"0.00%")</f>
        <v>北京市平均增长率1.57%</v>
      </c>
      <c r="C71" s="587">
        <v>100</v>
      </c>
      <c r="D71" s="579"/>
      <c r="E71" s="579"/>
      <c r="F71" s="579"/>
      <c r="G71" s="579"/>
      <c r="H71" s="579"/>
      <c r="I71" s="579"/>
      <c r="J71" s="579"/>
      <c r="K71" s="579"/>
      <c r="L71" s="579"/>
      <c r="M71" s="1667"/>
      <c r="N71" s="579"/>
      <c r="O71" s="1673"/>
      <c r="P71" s="485"/>
    </row>
    <row r="72" spans="1:17" s="35" customFormat="1" ht="15.75" thickBot="1">
      <c r="A72" s="496" t="s">
        <v>2385</v>
      </c>
      <c r="B72" s="497"/>
      <c r="C72" s="498"/>
      <c r="D72" s="499"/>
      <c r="E72" s="499"/>
      <c r="F72" s="499"/>
      <c r="G72" s="499"/>
      <c r="H72" s="499"/>
      <c r="I72" s="499"/>
      <c r="J72" s="499"/>
      <c r="K72" s="499"/>
      <c r="L72" s="499"/>
      <c r="M72" s="500"/>
      <c r="N72" s="499"/>
      <c r="O72" s="1674"/>
      <c r="P72" s="485"/>
      <c r="Q72" s="485"/>
    </row>
    <row r="73" spans="1:17" s="35" customFormat="1" ht="15">
      <c r="A73" s="502" t="s">
        <v>2349</v>
      </c>
      <c r="B73" s="491"/>
      <c r="C73" s="503" t="s">
        <v>2350</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2388</v>
      </c>
      <c r="B75" s="509" t="s">
        <v>2353</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2356</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2358</v>
      </c>
      <c r="B88" s="509" t="s">
        <v>2396</v>
      </c>
      <c r="C88" s="557" t="s">
        <v>2397</v>
      </c>
      <c r="D88" s="557" t="s">
        <v>2398</v>
      </c>
      <c r="E88" s="557" t="s">
        <v>2399</v>
      </c>
      <c r="F88" s="557" t="s">
        <v>2400</v>
      </c>
      <c r="G88" s="557" t="s">
        <v>2401</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2572</v>
      </c>
      <c r="C90" s="562" t="s">
        <v>2397</v>
      </c>
      <c r="D90" s="562" t="s">
        <v>2398</v>
      </c>
      <c r="E90" s="562" t="s">
        <v>2399</v>
      </c>
      <c r="F90" s="562" t="s">
        <v>2400</v>
      </c>
      <c r="G90" s="562" t="s">
        <v>2401</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2484</v>
      </c>
      <c r="C92" s="562" t="s">
        <v>2397</v>
      </c>
      <c r="D92" s="562" t="s">
        <v>2398</v>
      </c>
      <c r="E92" s="562" t="s">
        <v>2399</v>
      </c>
      <c r="F92" s="562" t="s">
        <v>2400</v>
      </c>
      <c r="G92" s="562" t="s">
        <v>2401</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2402</v>
      </c>
      <c r="C94" s="562" t="s">
        <v>2397</v>
      </c>
      <c r="D94" s="562" t="s">
        <v>2398</v>
      </c>
      <c r="E94" s="562" t="s">
        <v>2399</v>
      </c>
      <c r="F94" s="562" t="s">
        <v>2400</v>
      </c>
      <c r="G94" s="562" t="s">
        <v>2401</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2573</v>
      </c>
      <c r="C96" s="562" t="s">
        <v>2397</v>
      </c>
      <c r="D96" s="562" t="s">
        <v>2398</v>
      </c>
      <c r="E96" s="562" t="s">
        <v>2399</v>
      </c>
      <c r="F96" s="562" t="s">
        <v>2400</v>
      </c>
      <c r="G96" s="562" t="s">
        <v>2401</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2574</v>
      </c>
      <c r="C98" s="557" t="s">
        <v>2397</v>
      </c>
      <c r="D98" s="557" t="s">
        <v>2398</v>
      </c>
      <c r="E98" s="557" t="s">
        <v>2399</v>
      </c>
      <c r="F98" s="557" t="s">
        <v>2400</v>
      </c>
      <c r="G98" s="557" t="s">
        <v>2401</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2445</v>
      </c>
      <c r="C100" s="557" t="s">
        <v>2397</v>
      </c>
      <c r="D100" s="557" t="s">
        <v>2398</v>
      </c>
      <c r="E100" s="557" t="s">
        <v>2399</v>
      </c>
      <c r="F100" s="557" t="s">
        <v>2400</v>
      </c>
      <c r="G100" s="557" t="s">
        <v>2401</v>
      </c>
      <c r="H100" s="522"/>
      <c r="I100" s="522"/>
      <c r="J100" s="522"/>
      <c r="K100" s="522"/>
      <c r="L100" s="522"/>
      <c r="M100" s="1465"/>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2446</v>
      </c>
      <c r="C102" s="522" t="s">
        <v>2404</v>
      </c>
      <c r="D102" s="522" t="s">
        <v>2405</v>
      </c>
      <c r="E102" s="522" t="s">
        <v>2406</v>
      </c>
      <c r="F102" s="522" t="s">
        <v>2407</v>
      </c>
      <c r="G102" s="522" t="s">
        <v>2408</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2575</v>
      </c>
      <c r="D104" s="522" t="s">
        <v>2576</v>
      </c>
      <c r="E104" s="522" t="s">
        <v>2577</v>
      </c>
      <c r="F104" s="522" t="s">
        <v>2578</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2477</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2544</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2363</v>
      </c>
      <c r="B116" s="509" t="s">
        <v>2579</v>
      </c>
      <c r="C116" s="1855" t="str">
        <f t="shared" ref="C116:L116" si="25">C117&amp;"(含)"&amp;"-"&amp;D117</f>
        <v>(含)-</v>
      </c>
      <c r="D116" s="1855" t="str">
        <f t="shared" si="25"/>
        <v>(含)-</v>
      </c>
      <c r="E116" s="1855" t="str">
        <f t="shared" si="25"/>
        <v>(含)-</v>
      </c>
      <c r="F116" s="1855" t="str">
        <f t="shared" si="25"/>
        <v>(含)-</v>
      </c>
      <c r="G116" s="1855" t="str">
        <f t="shared" si="25"/>
        <v>(含)-</v>
      </c>
      <c r="H116" s="1855" t="str">
        <f t="shared" si="25"/>
        <v>(含)-</v>
      </c>
      <c r="I116" s="1855" t="str">
        <f t="shared" si="25"/>
        <v>(含)-</v>
      </c>
      <c r="J116" s="1855" t="str">
        <f t="shared" si="25"/>
        <v>(含)-</v>
      </c>
      <c r="K116" s="1855" t="str">
        <f t="shared" si="25"/>
        <v>(含)-</v>
      </c>
      <c r="L116" s="1856" t="str">
        <f t="shared" si="25"/>
        <v>(含)-</v>
      </c>
      <c r="M116" s="1857"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2580</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2581</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2582</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2583</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2536</v>
      </c>
      <c r="B1" s="374"/>
      <c r="C1" s="375" t="s">
        <v>2584</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2000</v>
      </c>
      <c r="B2" s="654" t="e">
        <f>F61</f>
        <v>#DIV/0!</v>
      </c>
      <c r="C2" s="732" t="s">
        <v>2538</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2001</v>
      </c>
      <c r="B3" s="593" t="e">
        <f>ROUND(B2/'数据-取费表'!B5,0)</f>
        <v>#DIV/0!</v>
      </c>
      <c r="C3" s="732" t="s">
        <v>2539</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2334</v>
      </c>
      <c r="B4" s="381"/>
      <c r="C4" s="3008" t="s">
        <v>2335</v>
      </c>
      <c r="D4" s="3009"/>
      <c r="E4" s="3010" t="s">
        <v>2336</v>
      </c>
      <c r="F4" s="3011"/>
      <c r="G4" s="3008" t="s">
        <v>2337</v>
      </c>
      <c r="H4" s="3009"/>
      <c r="I4" s="3008" t="s">
        <v>2338</v>
      </c>
      <c r="J4" s="3009"/>
      <c r="K4" s="594" t="s">
        <v>2339</v>
      </c>
      <c r="L4" s="1242"/>
      <c r="M4" s="1243"/>
      <c r="N4" s="1243"/>
      <c r="O4" s="1243"/>
      <c r="P4" s="3064" t="s">
        <v>2340</v>
      </c>
      <c r="Q4" s="3001"/>
      <c r="R4" s="2994" t="s">
        <v>2336</v>
      </c>
      <c r="S4" s="2995"/>
      <c r="T4" s="2994" t="s">
        <v>2337</v>
      </c>
      <c r="U4" s="2995"/>
      <c r="V4" s="3016" t="s">
        <v>2338</v>
      </c>
      <c r="W4" s="3016"/>
      <c r="X4" s="1898"/>
      <c r="Y4" s="2994" t="s">
        <v>2340</v>
      </c>
      <c r="Z4" s="2995"/>
      <c r="AA4" s="3005" t="s">
        <v>2336</v>
      </c>
      <c r="AB4" s="3006" t="s">
        <v>2337</v>
      </c>
      <c r="AC4" s="3005" t="s">
        <v>2338</v>
      </c>
    </row>
    <row r="5" spans="1:29" ht="15">
      <c r="A5" s="383"/>
      <c r="B5" s="384"/>
      <c r="C5" s="3023" t="s">
        <v>2341</v>
      </c>
      <c r="D5" s="3020"/>
      <c r="E5" s="3017" t="s">
        <v>2342</v>
      </c>
      <c r="F5" s="3018"/>
      <c r="G5" s="3023" t="s">
        <v>2343</v>
      </c>
      <c r="H5" s="3020"/>
      <c r="I5" s="3023" t="s">
        <v>2344</v>
      </c>
      <c r="J5" s="3020"/>
      <c r="K5" s="594"/>
      <c r="L5" s="1242"/>
      <c r="M5" s="1243"/>
      <c r="N5" s="1243"/>
      <c r="O5" s="1243"/>
      <c r="P5" s="3065"/>
      <c r="Q5" s="3002"/>
      <c r="R5" s="2996"/>
      <c r="S5" s="2997"/>
      <c r="T5" s="2996"/>
      <c r="U5" s="2997"/>
      <c r="V5" s="3016"/>
      <c r="W5" s="3016"/>
      <c r="X5" s="1898"/>
      <c r="Y5" s="2996"/>
      <c r="Z5" s="2997"/>
      <c r="AA5" s="3006"/>
      <c r="AB5" s="3006"/>
      <c r="AC5" s="3006"/>
    </row>
    <row r="6" spans="1:29" ht="15.75" thickBot="1">
      <c r="A6" s="385"/>
      <c r="B6" s="386"/>
      <c r="C6" s="3021" t="s">
        <v>2345</v>
      </c>
      <c r="D6" s="3022"/>
      <c r="E6" s="3024" t="s">
        <v>2345</v>
      </c>
      <c r="F6" s="3025"/>
      <c r="G6" s="3021" t="s">
        <v>2345</v>
      </c>
      <c r="H6" s="3022"/>
      <c r="I6" s="3021" t="s">
        <v>2345</v>
      </c>
      <c r="J6" s="3022"/>
      <c r="K6" s="594" t="s">
        <v>2346</v>
      </c>
      <c r="L6" s="1242"/>
      <c r="M6" s="1243"/>
      <c r="N6" s="1243"/>
      <c r="O6" s="1243"/>
      <c r="P6" s="3066"/>
      <c r="Q6" s="3015"/>
      <c r="R6" s="2996"/>
      <c r="S6" s="2997"/>
      <c r="T6" s="2998"/>
      <c r="U6" s="2999"/>
      <c r="V6" s="3016"/>
      <c r="W6" s="3016"/>
      <c r="X6" s="1898"/>
      <c r="Y6" s="2998"/>
      <c r="Z6" s="2999"/>
      <c r="AA6" s="3007"/>
      <c r="AB6" s="3007"/>
      <c r="AC6" s="3007"/>
    </row>
    <row r="7" spans="1:29" s="35" customFormat="1" ht="15.75" thickBot="1">
      <c r="A7" s="387" t="s">
        <v>2347</v>
      </c>
      <c r="B7" s="388"/>
      <c r="C7" s="389">
        <f>'数据-取费表'!B2</f>
        <v>43257</v>
      </c>
      <c r="D7" s="390">
        <v>100</v>
      </c>
      <c r="E7" s="391"/>
      <c r="F7" s="392">
        <f>SUMIF(65:65,YEAR(E7)&amp;"-"&amp;INT((MONTH(E7)+2)/3),66:66)</f>
        <v>0</v>
      </c>
      <c r="G7" s="2464"/>
      <c r="H7" s="390">
        <f>SUMIF(65:65,YEAR(G7)&amp;"-"&amp;INT((MONTH(G7)+2)/3),66:66)</f>
        <v>0</v>
      </c>
      <c r="I7" s="2464"/>
      <c r="J7" s="390">
        <f>SUMIF(65:65,YEAR(I7)&amp;"-"&amp;INT((MONTH(I7)+2)/3),66:66)</f>
        <v>0</v>
      </c>
      <c r="K7" s="595"/>
      <c r="L7" s="1244"/>
      <c r="M7" s="1245"/>
      <c r="N7" s="1245"/>
      <c r="O7" s="1245"/>
      <c r="P7" s="2992" t="s">
        <v>2348</v>
      </c>
      <c r="Q7" s="3000"/>
      <c r="R7" s="749" t="s">
        <v>25</v>
      </c>
      <c r="S7" s="750">
        <f t="shared" ref="S7:S15" si="0">F7</f>
        <v>0</v>
      </c>
      <c r="T7" s="749" t="s">
        <v>25</v>
      </c>
      <c r="U7" s="750">
        <f t="shared" ref="U7:U15" si="1">H7</f>
        <v>0</v>
      </c>
      <c r="V7" s="749" t="s">
        <v>25</v>
      </c>
      <c r="W7" s="750">
        <f t="shared" ref="W7:W15" si="2">J7</f>
        <v>0</v>
      </c>
      <c r="X7" s="751"/>
      <c r="Y7" s="2992" t="s">
        <v>2348</v>
      </c>
      <c r="Z7" s="2993"/>
      <c r="AA7" s="752" t="e">
        <f>D7/F7</f>
        <v>#DIV/0!</v>
      </c>
      <c r="AB7" s="752" t="e">
        <f>D7/H7</f>
        <v>#DIV/0!</v>
      </c>
      <c r="AC7" s="752" t="e">
        <f>D7/J7</f>
        <v>#DIV/0!</v>
      </c>
    </row>
    <row r="8" spans="1:29" s="35" customFormat="1" ht="15.75" thickBot="1">
      <c r="A8" s="387" t="s">
        <v>2349</v>
      </c>
      <c r="B8" s="388"/>
      <c r="C8" s="394" t="s">
        <v>2540</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2992" t="s">
        <v>2351</v>
      </c>
      <c r="Q8" s="2993"/>
      <c r="R8" s="749" t="s">
        <v>25</v>
      </c>
      <c r="S8" s="750">
        <f t="shared" si="0"/>
        <v>0</v>
      </c>
      <c r="T8" s="749" t="s">
        <v>25</v>
      </c>
      <c r="U8" s="750">
        <f t="shared" si="1"/>
        <v>0</v>
      </c>
      <c r="V8" s="749" t="s">
        <v>25</v>
      </c>
      <c r="W8" s="750">
        <f t="shared" si="2"/>
        <v>0</v>
      </c>
      <c r="X8" s="751"/>
      <c r="Y8" s="2992" t="s">
        <v>2351</v>
      </c>
      <c r="Z8" s="2993"/>
      <c r="AA8" s="752" t="e">
        <f t="shared" ref="AA8:AA40" si="3">D8/F8</f>
        <v>#DIV/0!</v>
      </c>
      <c r="AB8" s="752" t="e">
        <f t="shared" ref="AB8:AB40" si="4">D8/H8</f>
        <v>#DIV/0!</v>
      </c>
      <c r="AC8" s="752" t="e">
        <f t="shared" ref="AC8:AC40" si="5">D8/J8</f>
        <v>#DIV/0!</v>
      </c>
    </row>
    <row r="9" spans="1:29" s="35" customFormat="1">
      <c r="A9" s="395" t="s">
        <v>2352</v>
      </c>
      <c r="B9" s="28" t="s">
        <v>2353</v>
      </c>
      <c r="C9" s="2482" t="s">
        <v>2585</v>
      </c>
      <c r="D9" s="51">
        <v>100</v>
      </c>
      <c r="E9" s="2482"/>
      <c r="F9" s="51">
        <f>SUMIF(70:70,E9,71:71)-SUMIF(70:70,C9,71:71)+100</f>
        <v>100</v>
      </c>
      <c r="G9" s="2482"/>
      <c r="H9" s="51">
        <f>SUMIF(70:70,G9,71:71)-SUMIF(70:70,C9,71:71)+100</f>
        <v>100</v>
      </c>
      <c r="I9" s="2482"/>
      <c r="J9" s="51">
        <f>SUMIF(70:70,I9,71:71)-SUMIF(70:70,C9,71:71)+100</f>
        <v>100</v>
      </c>
      <c r="K9" s="595"/>
      <c r="L9" s="1244"/>
      <c r="M9" s="1245"/>
      <c r="N9" s="1245"/>
      <c r="O9" s="1246"/>
      <c r="P9" s="2983" t="s">
        <v>2354</v>
      </c>
      <c r="Q9" s="1885" t="str">
        <f t="shared" ref="Q9:Q15" si="6">B9</f>
        <v>用途</v>
      </c>
      <c r="R9" s="749" t="s">
        <v>25</v>
      </c>
      <c r="S9" s="750">
        <f t="shared" si="0"/>
        <v>100</v>
      </c>
      <c r="T9" s="749" t="s">
        <v>25</v>
      </c>
      <c r="U9" s="750">
        <f t="shared" si="1"/>
        <v>100</v>
      </c>
      <c r="V9" s="749" t="s">
        <v>25</v>
      </c>
      <c r="W9" s="750">
        <f t="shared" si="2"/>
        <v>100</v>
      </c>
      <c r="X9" s="751"/>
      <c r="Y9" s="2843"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2983"/>
      <c r="Q10" s="1885"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2983"/>
      <c r="Q11" s="1885"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2983"/>
      <c r="Q12" s="1885">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2983"/>
      <c r="Q13" s="1885">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2983"/>
      <c r="Q14" s="1885">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2358</v>
      </c>
      <c r="B15" s="613" t="s">
        <v>2586</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03" t="s">
        <v>2359</v>
      </c>
      <c r="Q15" s="1897" t="str">
        <f t="shared" si="6"/>
        <v>产业集聚程度</v>
      </c>
      <c r="R15" s="753" t="s">
        <v>25</v>
      </c>
      <c r="S15" s="754">
        <f t="shared" si="0"/>
        <v>100</v>
      </c>
      <c r="T15" s="753" t="s">
        <v>25</v>
      </c>
      <c r="U15" s="754">
        <f t="shared" si="1"/>
        <v>100</v>
      </c>
      <c r="V15" s="753" t="s">
        <v>25</v>
      </c>
      <c r="W15" s="754">
        <f t="shared" si="2"/>
        <v>100</v>
      </c>
      <c r="X15" s="1898"/>
      <c r="Y15" s="3003" t="s">
        <v>2359</v>
      </c>
      <c r="Z15" s="1900" t="str">
        <f t="shared" si="7"/>
        <v>产业集聚程度</v>
      </c>
      <c r="AA15" s="1901">
        <f t="shared" si="3"/>
        <v>1</v>
      </c>
      <c r="AB15" s="1901">
        <f t="shared" si="4"/>
        <v>1</v>
      </c>
      <c r="AC15" s="1901">
        <f t="shared" si="5"/>
        <v>1</v>
      </c>
    </row>
    <row r="16" spans="1:29" ht="15">
      <c r="A16" s="408"/>
      <c r="B16" s="614"/>
      <c r="C16" s="426"/>
      <c r="D16" s="427"/>
      <c r="E16" s="1470"/>
      <c r="F16" s="427"/>
      <c r="G16" s="1470"/>
      <c r="H16" s="430"/>
      <c r="I16" s="1470"/>
      <c r="J16" s="427"/>
      <c r="K16" s="655"/>
      <c r="L16" s="1252"/>
      <c r="M16" s="1243"/>
      <c r="N16" s="1243"/>
      <c r="O16" s="1251"/>
      <c r="P16" s="3004"/>
      <c r="Q16" s="1897"/>
      <c r="R16" s="753"/>
      <c r="S16" s="754"/>
      <c r="T16" s="753"/>
      <c r="U16" s="754"/>
      <c r="V16" s="753"/>
      <c r="W16" s="754"/>
      <c r="X16" s="1898"/>
      <c r="Y16" s="3004"/>
      <c r="Z16" s="1900"/>
      <c r="AA16" s="1901">
        <v>1</v>
      </c>
      <c r="AB16" s="1901">
        <v>1</v>
      </c>
      <c r="AC16" s="1901">
        <v>1</v>
      </c>
    </row>
    <row r="17" spans="1:29" ht="85.5">
      <c r="A17" s="408"/>
      <c r="B17" s="615" t="s">
        <v>2502</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04"/>
      <c r="Q17" s="1897" t="str">
        <f>B17</f>
        <v>交通便捷度</v>
      </c>
      <c r="R17" s="753" t="s">
        <v>25</v>
      </c>
      <c r="S17" s="754">
        <f>F17</f>
        <v>100</v>
      </c>
      <c r="T17" s="753" t="s">
        <v>25</v>
      </c>
      <c r="U17" s="754">
        <f>H17</f>
        <v>100</v>
      </c>
      <c r="V17" s="753" t="s">
        <v>25</v>
      </c>
      <c r="W17" s="754">
        <f>J17</f>
        <v>100</v>
      </c>
      <c r="X17" s="1898"/>
      <c r="Y17" s="3004"/>
      <c r="Z17" s="1900" t="str">
        <f>Q17</f>
        <v>交通便捷度</v>
      </c>
      <c r="AA17" s="1901">
        <f t="shared" si="3"/>
        <v>1</v>
      </c>
      <c r="AB17" s="1901">
        <f t="shared" si="4"/>
        <v>1</v>
      </c>
      <c r="AC17" s="1901">
        <f t="shared" si="5"/>
        <v>1</v>
      </c>
    </row>
    <row r="18" spans="1:29" ht="15">
      <c r="A18" s="408"/>
      <c r="B18" s="616"/>
      <c r="C18" s="426"/>
      <c r="D18" s="427"/>
      <c r="E18" s="428"/>
      <c r="F18" s="427"/>
      <c r="G18" s="428"/>
      <c r="H18" s="427"/>
      <c r="I18" s="2402"/>
      <c r="J18" s="427"/>
      <c r="K18" s="655"/>
      <c r="L18" s="1252"/>
      <c r="M18" s="1243"/>
      <c r="N18" s="1243"/>
      <c r="O18" s="1251"/>
      <c r="P18" s="3004"/>
      <c r="Q18" s="1897"/>
      <c r="R18" s="753"/>
      <c r="S18" s="754"/>
      <c r="T18" s="753"/>
      <c r="U18" s="754"/>
      <c r="V18" s="753"/>
      <c r="W18" s="754"/>
      <c r="X18" s="1898"/>
      <c r="Y18" s="3004"/>
      <c r="Z18" s="1900"/>
      <c r="AA18" s="1901">
        <v>1</v>
      </c>
      <c r="AB18" s="1901">
        <v>1</v>
      </c>
      <c r="AC18" s="1901">
        <v>1</v>
      </c>
    </row>
    <row r="19" spans="1:29" ht="15">
      <c r="A19" s="408"/>
      <c r="B19" s="615" t="s">
        <v>2542</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04"/>
      <c r="Q19" s="1897" t="str">
        <f t="shared" ref="Q19:Q33" si="8">B19</f>
        <v>区域土地利用方向</v>
      </c>
      <c r="R19" s="753" t="s">
        <v>25</v>
      </c>
      <c r="S19" s="754">
        <f>F19</f>
        <v>100</v>
      </c>
      <c r="T19" s="753" t="s">
        <v>25</v>
      </c>
      <c r="U19" s="754">
        <f>H19</f>
        <v>100</v>
      </c>
      <c r="V19" s="753" t="s">
        <v>25</v>
      </c>
      <c r="W19" s="754">
        <f>J19</f>
        <v>100</v>
      </c>
      <c r="X19" s="1898"/>
      <c r="Y19" s="3004"/>
      <c r="Z19" s="1900" t="str">
        <f>Q19</f>
        <v>区域土地利用方向</v>
      </c>
      <c r="AA19" s="1901">
        <f t="shared" si="3"/>
        <v>1</v>
      </c>
      <c r="AB19" s="1901">
        <f t="shared" si="4"/>
        <v>1</v>
      </c>
      <c r="AC19" s="1901">
        <f t="shared" si="5"/>
        <v>1</v>
      </c>
    </row>
    <row r="20" spans="1:29" ht="15">
      <c r="A20" s="383"/>
      <c r="B20" s="616"/>
      <c r="C20" s="426"/>
      <c r="D20" s="427"/>
      <c r="E20" s="428"/>
      <c r="F20" s="427"/>
      <c r="G20" s="428"/>
      <c r="H20" s="427"/>
      <c r="I20" s="428"/>
      <c r="J20" s="427"/>
      <c r="K20" s="804"/>
      <c r="L20" s="1252"/>
      <c r="M20" s="1243"/>
      <c r="N20" s="1243"/>
      <c r="O20" s="1251"/>
      <c r="P20" s="3004"/>
      <c r="Q20" s="1897"/>
      <c r="R20" s="753"/>
      <c r="S20" s="754"/>
      <c r="T20" s="753"/>
      <c r="U20" s="754"/>
      <c r="V20" s="753"/>
      <c r="W20" s="754"/>
      <c r="X20" s="1898"/>
      <c r="Y20" s="3004"/>
      <c r="Z20" s="1900"/>
      <c r="AA20" s="1901"/>
      <c r="AB20" s="1901"/>
      <c r="AC20" s="1901"/>
    </row>
    <row r="21" spans="1:29" ht="71.25">
      <c r="A21" s="383"/>
      <c r="B21" s="615" t="s">
        <v>2587</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04"/>
      <c r="Q21" s="1897" t="str">
        <f t="shared" si="8"/>
        <v>环境状况</v>
      </c>
      <c r="R21" s="753" t="s">
        <v>25</v>
      </c>
      <c r="S21" s="754">
        <f>F21</f>
        <v>100</v>
      </c>
      <c r="T21" s="753" t="s">
        <v>25</v>
      </c>
      <c r="U21" s="754">
        <f>H21</f>
        <v>100</v>
      </c>
      <c r="V21" s="753" t="s">
        <v>25</v>
      </c>
      <c r="W21" s="754">
        <f>J21</f>
        <v>100</v>
      </c>
      <c r="X21" s="1898"/>
      <c r="Y21" s="3004"/>
      <c r="Z21" s="1900" t="str">
        <f>Q21</f>
        <v>环境状况</v>
      </c>
      <c r="AA21" s="1901">
        <f t="shared" si="3"/>
        <v>1</v>
      </c>
      <c r="AB21" s="1901">
        <f t="shared" si="4"/>
        <v>1</v>
      </c>
      <c r="AC21" s="1901">
        <f t="shared" si="5"/>
        <v>1</v>
      </c>
    </row>
    <row r="22" spans="1:29" ht="15">
      <c r="A22" s="383"/>
      <c r="B22" s="616"/>
      <c r="C22" s="426"/>
      <c r="D22" s="427"/>
      <c r="E22" s="1470"/>
      <c r="F22" s="427"/>
      <c r="G22" s="1470"/>
      <c r="H22" s="427"/>
      <c r="I22" s="426"/>
      <c r="J22" s="427"/>
      <c r="K22" s="655"/>
      <c r="L22" s="1252"/>
      <c r="M22" s="1243"/>
      <c r="N22" s="1243"/>
      <c r="O22" s="1251"/>
      <c r="P22" s="3004"/>
      <c r="Q22" s="1897"/>
      <c r="R22" s="753"/>
      <c r="S22" s="754"/>
      <c r="T22" s="753"/>
      <c r="U22" s="754"/>
      <c r="V22" s="753"/>
      <c r="W22" s="754"/>
      <c r="X22" s="1898"/>
      <c r="Y22" s="3004"/>
      <c r="Z22" s="1900"/>
      <c r="AA22" s="1901">
        <v>1</v>
      </c>
      <c r="AB22" s="1901">
        <v>1</v>
      </c>
      <c r="AC22" s="1901">
        <v>1</v>
      </c>
    </row>
    <row r="23" spans="1:29" s="35" customFormat="1" ht="42.75">
      <c r="A23" s="633"/>
      <c r="B23" s="615" t="s">
        <v>2445</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04"/>
      <c r="Q23" s="1885" t="str">
        <f t="shared" si="8"/>
        <v>公共配套设施</v>
      </c>
      <c r="R23" s="749" t="s">
        <v>25</v>
      </c>
      <c r="S23" s="750">
        <f>F23</f>
        <v>100</v>
      </c>
      <c r="T23" s="749" t="s">
        <v>25</v>
      </c>
      <c r="U23" s="750">
        <f>H23</f>
        <v>100</v>
      </c>
      <c r="V23" s="749" t="s">
        <v>25</v>
      </c>
      <c r="W23" s="750">
        <f>J23</f>
        <v>100</v>
      </c>
      <c r="X23" s="751"/>
      <c r="Y23" s="3004"/>
      <c r="Z23" s="23" t="str">
        <f>Q23</f>
        <v>公共配套设施</v>
      </c>
      <c r="AA23" s="1901">
        <f>D23/F23</f>
        <v>1</v>
      </c>
      <c r="AB23" s="1901">
        <f>D23/H23</f>
        <v>1</v>
      </c>
      <c r="AC23" s="1901">
        <f>D23/J23</f>
        <v>1</v>
      </c>
    </row>
    <row r="24" spans="1:29" s="35" customFormat="1" ht="15">
      <c r="A24" s="633"/>
      <c r="B24" s="616"/>
      <c r="C24" s="2496"/>
      <c r="D24" s="427"/>
      <c r="E24" s="1470"/>
      <c r="F24" s="427"/>
      <c r="G24" s="1470"/>
      <c r="H24" s="427"/>
      <c r="I24" s="426"/>
      <c r="J24" s="427"/>
      <c r="K24" s="655"/>
      <c r="L24" s="1244"/>
      <c r="M24" s="1245"/>
      <c r="N24" s="1245"/>
      <c r="O24" s="1246"/>
      <c r="P24" s="3004"/>
      <c r="Q24" s="1885"/>
      <c r="R24" s="749"/>
      <c r="S24" s="750"/>
      <c r="T24" s="749"/>
      <c r="U24" s="750"/>
      <c r="V24" s="749"/>
      <c r="W24" s="750"/>
      <c r="X24" s="751"/>
      <c r="Y24" s="3004"/>
      <c r="Z24" s="23"/>
      <c r="AA24" s="752">
        <v>1</v>
      </c>
      <c r="AB24" s="752">
        <v>1</v>
      </c>
      <c r="AC24" s="752">
        <v>1</v>
      </c>
    </row>
    <row r="25" spans="1:29" s="35" customFormat="1" ht="28.5">
      <c r="A25" s="633"/>
      <c r="B25" s="617" t="s">
        <v>2446</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04"/>
      <c r="Q25" s="1885" t="str">
        <f t="shared" ref="Q25" si="9">B25</f>
        <v>基础设施水平</v>
      </c>
      <c r="R25" s="749" t="s">
        <v>25</v>
      </c>
      <c r="S25" s="750">
        <f>F25</f>
        <v>100</v>
      </c>
      <c r="T25" s="749" t="s">
        <v>25</v>
      </c>
      <c r="U25" s="750">
        <f>H25</f>
        <v>100</v>
      </c>
      <c r="V25" s="749" t="s">
        <v>25</v>
      </c>
      <c r="W25" s="750">
        <f>J25</f>
        <v>100</v>
      </c>
      <c r="X25" s="751"/>
      <c r="Y25" s="3004"/>
      <c r="Z25" s="23" t="str">
        <f>Q25</f>
        <v>基础设施水平</v>
      </c>
      <c r="AA25" s="1901">
        <f>D25/F25</f>
        <v>1</v>
      </c>
      <c r="AB25" s="1901">
        <f>D25/H25</f>
        <v>1</v>
      </c>
      <c r="AC25" s="1901">
        <f>D25/J25</f>
        <v>1</v>
      </c>
    </row>
    <row r="26" spans="1:29" s="35" customFormat="1" ht="15">
      <c r="A26" s="633"/>
      <c r="B26" s="616"/>
      <c r="C26" s="2496"/>
      <c r="D26" s="427"/>
      <c r="E26" s="2485"/>
      <c r="F26" s="427"/>
      <c r="G26" s="2485"/>
      <c r="H26" s="427"/>
      <c r="I26" s="2485"/>
      <c r="J26" s="427"/>
      <c r="K26" s="655"/>
      <c r="L26" s="1244"/>
      <c r="M26" s="1245"/>
      <c r="N26" s="1245"/>
      <c r="O26" s="1246"/>
      <c r="P26" s="3004"/>
      <c r="Q26" s="1885"/>
      <c r="R26" s="749"/>
      <c r="S26" s="750"/>
      <c r="T26" s="749"/>
      <c r="U26" s="750"/>
      <c r="V26" s="749"/>
      <c r="W26" s="750"/>
      <c r="X26" s="751"/>
      <c r="Y26" s="3004"/>
      <c r="Z26" s="23"/>
      <c r="AA26" s="752">
        <v>1</v>
      </c>
      <c r="AB26" s="752">
        <v>1</v>
      </c>
      <c r="AC26" s="752">
        <v>1</v>
      </c>
    </row>
    <row r="27" spans="1:29" ht="15">
      <c r="A27" s="408"/>
      <c r="B27" s="616" t="s">
        <v>2447</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04"/>
      <c r="Q27" s="1897" t="str">
        <f t="shared" si="8"/>
        <v>临街状况</v>
      </c>
      <c r="R27" s="753" t="s">
        <v>25</v>
      </c>
      <c r="S27" s="754">
        <f t="shared" ref="S27:S40" si="10">F27</f>
        <v>100</v>
      </c>
      <c r="T27" s="753" t="s">
        <v>25</v>
      </c>
      <c r="U27" s="754">
        <f t="shared" ref="U27:U40" si="11">H27</f>
        <v>100</v>
      </c>
      <c r="V27" s="753" t="s">
        <v>25</v>
      </c>
      <c r="W27" s="754">
        <f t="shared" ref="W27:W40" si="12">J27</f>
        <v>100</v>
      </c>
      <c r="X27" s="1898"/>
      <c r="Y27" s="3004"/>
      <c r="Z27" s="1900" t="str">
        <f t="shared" ref="Z27:Z40" si="13">Q27</f>
        <v>临街状况</v>
      </c>
      <c r="AA27" s="1901">
        <f t="shared" si="3"/>
        <v>1</v>
      </c>
      <c r="AB27" s="1901">
        <f t="shared" si="4"/>
        <v>1</v>
      </c>
      <c r="AC27" s="1901">
        <f t="shared" si="5"/>
        <v>1</v>
      </c>
    </row>
    <row r="28" spans="1:29" ht="27">
      <c r="A28" s="408"/>
      <c r="B28" s="617" t="s">
        <v>2477</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04"/>
      <c r="Q28" s="1897" t="str">
        <f t="shared" si="8"/>
        <v>毗邻道路的类型与等级</v>
      </c>
      <c r="R28" s="753" t="s">
        <v>25</v>
      </c>
      <c r="S28" s="754">
        <f t="shared" si="10"/>
        <v>100</v>
      </c>
      <c r="T28" s="753" t="s">
        <v>25</v>
      </c>
      <c r="U28" s="754">
        <f t="shared" si="11"/>
        <v>100</v>
      </c>
      <c r="V28" s="753" t="s">
        <v>25</v>
      </c>
      <c r="W28" s="754">
        <f t="shared" si="12"/>
        <v>100</v>
      </c>
      <c r="X28" s="1898"/>
      <c r="Y28" s="3004"/>
      <c r="Z28" s="1900" t="str">
        <f t="shared" si="13"/>
        <v>毗邻道路的类型与等级</v>
      </c>
      <c r="AA28" s="1901">
        <f t="shared" si="3"/>
        <v>1</v>
      </c>
      <c r="AB28" s="1901">
        <f t="shared" si="4"/>
        <v>1</v>
      </c>
      <c r="AC28" s="1901">
        <f t="shared" si="5"/>
        <v>1</v>
      </c>
    </row>
    <row r="29" spans="1:29" ht="15">
      <c r="A29" s="408"/>
      <c r="B29" s="616"/>
      <c r="C29" s="426"/>
      <c r="D29" s="427"/>
      <c r="E29" s="1470"/>
      <c r="F29" s="427"/>
      <c r="G29" s="1470"/>
      <c r="H29" s="427"/>
      <c r="I29" s="1470"/>
      <c r="J29" s="427"/>
      <c r="K29" s="597"/>
      <c r="L29" s="1252"/>
      <c r="M29" s="1243"/>
      <c r="N29" s="1243"/>
      <c r="O29" s="1251"/>
      <c r="P29" s="3004"/>
      <c r="Q29" s="1897"/>
      <c r="R29" s="753"/>
      <c r="S29" s="754"/>
      <c r="T29" s="753"/>
      <c r="U29" s="754"/>
      <c r="V29" s="753"/>
      <c r="W29" s="754"/>
      <c r="X29" s="1898"/>
      <c r="Y29" s="3004"/>
      <c r="Z29" s="1900"/>
      <c r="AA29" s="1901">
        <v>1</v>
      </c>
      <c r="AB29" s="1901">
        <v>1</v>
      </c>
      <c r="AC29" s="1901">
        <v>1</v>
      </c>
    </row>
    <row r="30" spans="1:29" ht="15">
      <c r="A30" s="408"/>
      <c r="B30" s="637" t="s">
        <v>2544</v>
      </c>
      <c r="C30" s="1497">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04"/>
      <c r="Q30" s="1897" t="str">
        <f t="shared" si="8"/>
        <v>土地级别</v>
      </c>
      <c r="R30" s="753" t="s">
        <v>25</v>
      </c>
      <c r="S30" s="754">
        <f t="shared" si="10"/>
        <v>100</v>
      </c>
      <c r="T30" s="753" t="s">
        <v>25</v>
      </c>
      <c r="U30" s="754">
        <f t="shared" si="11"/>
        <v>100</v>
      </c>
      <c r="V30" s="753" t="s">
        <v>25</v>
      </c>
      <c r="W30" s="754">
        <f t="shared" si="12"/>
        <v>100</v>
      </c>
      <c r="X30" s="1898"/>
      <c r="Y30" s="3004"/>
      <c r="Z30" s="1900" t="str">
        <f t="shared" si="13"/>
        <v>土地级别</v>
      </c>
      <c r="AA30" s="1901">
        <f t="shared" si="3"/>
        <v>1</v>
      </c>
      <c r="AB30" s="1901">
        <f t="shared" si="4"/>
        <v>1</v>
      </c>
      <c r="AC30" s="1901">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04"/>
      <c r="Q31" s="1897">
        <f t="shared" si="8"/>
        <v>111</v>
      </c>
      <c r="R31" s="753" t="s">
        <v>25</v>
      </c>
      <c r="S31" s="754">
        <f t="shared" si="10"/>
        <v>100</v>
      </c>
      <c r="T31" s="753" t="s">
        <v>25</v>
      </c>
      <c r="U31" s="754">
        <f t="shared" si="11"/>
        <v>100</v>
      </c>
      <c r="V31" s="753" t="s">
        <v>25</v>
      </c>
      <c r="W31" s="754">
        <f t="shared" si="12"/>
        <v>100</v>
      </c>
      <c r="X31" s="1898"/>
      <c r="Y31" s="3004"/>
      <c r="Z31" s="1900">
        <f t="shared" si="13"/>
        <v>111</v>
      </c>
      <c r="AA31" s="1901">
        <f t="shared" si="3"/>
        <v>1</v>
      </c>
      <c r="AB31" s="1901">
        <f t="shared" si="4"/>
        <v>1</v>
      </c>
      <c r="AC31" s="1901">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67" t="s">
        <v>2365</v>
      </c>
      <c r="Q32" s="1897">
        <f t="shared" si="8"/>
        <v>111</v>
      </c>
      <c r="R32" s="753" t="s">
        <v>25</v>
      </c>
      <c r="S32" s="754">
        <f t="shared" si="10"/>
        <v>100</v>
      </c>
      <c r="T32" s="753" t="s">
        <v>25</v>
      </c>
      <c r="U32" s="754">
        <f t="shared" si="11"/>
        <v>100</v>
      </c>
      <c r="V32" s="753" t="s">
        <v>25</v>
      </c>
      <c r="W32" s="754">
        <f t="shared" si="12"/>
        <v>100</v>
      </c>
      <c r="X32" s="1898"/>
      <c r="Y32" s="2990" t="s">
        <v>2365</v>
      </c>
      <c r="Z32" s="1900">
        <f t="shared" si="13"/>
        <v>111</v>
      </c>
      <c r="AA32" s="1901">
        <f t="shared" si="3"/>
        <v>1</v>
      </c>
      <c r="AB32" s="1901">
        <f t="shared" si="4"/>
        <v>1</v>
      </c>
      <c r="AC32" s="1901">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2990"/>
      <c r="Q33" s="1897">
        <f t="shared" si="8"/>
        <v>111</v>
      </c>
      <c r="R33" s="756" t="s">
        <v>25</v>
      </c>
      <c r="S33" s="757">
        <f t="shared" si="10"/>
        <v>100</v>
      </c>
      <c r="T33" s="756" t="s">
        <v>25</v>
      </c>
      <c r="U33" s="757">
        <f t="shared" si="11"/>
        <v>100</v>
      </c>
      <c r="V33" s="756" t="s">
        <v>25</v>
      </c>
      <c r="W33" s="757">
        <f t="shared" si="12"/>
        <v>100</v>
      </c>
      <c r="X33" s="758"/>
      <c r="Y33" s="2990"/>
      <c r="Z33" s="759">
        <f t="shared" si="13"/>
        <v>111</v>
      </c>
      <c r="AA33" s="1901">
        <f t="shared" si="3"/>
        <v>1</v>
      </c>
      <c r="AB33" s="1901">
        <f t="shared" si="4"/>
        <v>1</v>
      </c>
      <c r="AC33" s="1901">
        <f t="shared" si="5"/>
        <v>1</v>
      </c>
    </row>
    <row r="34" spans="1:29" ht="15">
      <c r="A34" s="453" t="s">
        <v>2363</v>
      </c>
      <c r="B34" s="436" t="s">
        <v>2545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2990"/>
      <c r="Q34" s="1897" t="str">
        <f>B34</f>
        <v>宗地面积</v>
      </c>
      <c r="R34" s="753" t="s">
        <v>25</v>
      </c>
      <c r="S34" s="754" t="e">
        <f t="shared" si="10"/>
        <v>#N/A</v>
      </c>
      <c r="T34" s="753" t="s">
        <v>25</v>
      </c>
      <c r="U34" s="754" t="e">
        <f t="shared" si="11"/>
        <v>#N/A</v>
      </c>
      <c r="V34" s="753" t="s">
        <v>25</v>
      </c>
      <c r="W34" s="754" t="e">
        <f t="shared" si="12"/>
        <v>#N/A</v>
      </c>
      <c r="X34" s="1898"/>
      <c r="Y34" s="2990"/>
      <c r="Z34" s="1900" t="str">
        <f t="shared" si="13"/>
        <v>宗地面积</v>
      </c>
      <c r="AA34" s="1901" t="e">
        <f t="shared" si="3"/>
        <v>#N/A</v>
      </c>
      <c r="AB34" s="1901" t="e">
        <f t="shared" si="4"/>
        <v>#N/A</v>
      </c>
      <c r="AC34" s="1901" t="e">
        <f t="shared" si="5"/>
        <v>#N/A</v>
      </c>
    </row>
    <row r="35" spans="1:29" ht="15">
      <c r="A35" s="453"/>
      <c r="B35" s="402" t="s">
        <v>2546</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2"/>
      <c r="M35" s="1243"/>
      <c r="N35" s="1243"/>
      <c r="O35" s="1251"/>
      <c r="P35" s="2990"/>
      <c r="Q35" s="1897" t="str">
        <f t="shared" ref="Q35:Q40" si="14">B35</f>
        <v>宗地形状</v>
      </c>
      <c r="R35" s="753" t="s">
        <v>25</v>
      </c>
      <c r="S35" s="754">
        <f t="shared" si="10"/>
        <v>100</v>
      </c>
      <c r="T35" s="753" t="s">
        <v>25</v>
      </c>
      <c r="U35" s="754">
        <f t="shared" si="11"/>
        <v>100</v>
      </c>
      <c r="V35" s="753" t="s">
        <v>25</v>
      </c>
      <c r="W35" s="754">
        <f t="shared" si="12"/>
        <v>100</v>
      </c>
      <c r="X35" s="1898"/>
      <c r="Y35" s="2990"/>
      <c r="Z35" s="1900" t="str">
        <f t="shared" si="13"/>
        <v>宗地形状</v>
      </c>
      <c r="AA35" s="1901">
        <f t="shared" si="3"/>
        <v>1</v>
      </c>
      <c r="AB35" s="1901">
        <f t="shared" si="4"/>
        <v>1</v>
      </c>
      <c r="AC35" s="1901">
        <f t="shared" si="5"/>
        <v>1</v>
      </c>
    </row>
    <row r="36" spans="1:29" s="35" customFormat="1" ht="15">
      <c r="A36" s="454"/>
      <c r="B36" s="402" t="s">
        <v>2548</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4"/>
      <c r="M36" s="1245"/>
      <c r="N36" s="1245"/>
      <c r="O36" s="1246"/>
      <c r="P36" s="2990"/>
      <c r="Q36" s="1897" t="str">
        <f t="shared" si="14"/>
        <v>宗地开发程度</v>
      </c>
      <c r="R36" s="749" t="s">
        <v>25</v>
      </c>
      <c r="S36" s="750">
        <f t="shared" si="10"/>
        <v>100</v>
      </c>
      <c r="T36" s="749" t="s">
        <v>25</v>
      </c>
      <c r="U36" s="750">
        <f t="shared" si="11"/>
        <v>100</v>
      </c>
      <c r="V36" s="749" t="s">
        <v>25</v>
      </c>
      <c r="W36" s="750">
        <f t="shared" si="12"/>
        <v>100</v>
      </c>
      <c r="X36" s="751"/>
      <c r="Y36" s="2990"/>
      <c r="Z36" s="23" t="str">
        <f t="shared" si="13"/>
        <v>宗地开发程度</v>
      </c>
      <c r="AA36" s="752">
        <f t="shared" si="3"/>
        <v>1</v>
      </c>
      <c r="AB36" s="752">
        <f t="shared" si="4"/>
        <v>1</v>
      </c>
      <c r="AC36" s="752">
        <f t="shared" si="5"/>
        <v>1</v>
      </c>
    </row>
    <row r="37" spans="1:29" ht="15">
      <c r="A37" s="453"/>
      <c r="B37" s="402" t="s">
        <v>2549</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2"/>
      <c r="M37" s="1243"/>
      <c r="N37" s="1243"/>
      <c r="O37" s="1251"/>
      <c r="P37" s="2990" t="s">
        <v>2365</v>
      </c>
      <c r="Q37" s="1897" t="str">
        <f t="shared" si="14"/>
        <v>工程地质条件</v>
      </c>
      <c r="R37" s="753" t="s">
        <v>25</v>
      </c>
      <c r="S37" s="754">
        <f t="shared" si="10"/>
        <v>100</v>
      </c>
      <c r="T37" s="753" t="s">
        <v>25</v>
      </c>
      <c r="U37" s="754">
        <f t="shared" si="11"/>
        <v>100</v>
      </c>
      <c r="V37" s="753" t="s">
        <v>25</v>
      </c>
      <c r="W37" s="754">
        <f t="shared" si="12"/>
        <v>100</v>
      </c>
      <c r="X37" s="1898"/>
      <c r="Y37" s="2990" t="s">
        <v>2365</v>
      </c>
      <c r="Z37" s="1900" t="str">
        <f t="shared" si="13"/>
        <v>工程地质条件</v>
      </c>
      <c r="AA37" s="1901">
        <f t="shared" si="3"/>
        <v>1</v>
      </c>
      <c r="AB37" s="1901">
        <f t="shared" si="4"/>
        <v>1</v>
      </c>
      <c r="AC37" s="1901">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2990"/>
      <c r="Q38" s="1897">
        <f t="shared" si="14"/>
        <v>111</v>
      </c>
      <c r="R38" s="753" t="s">
        <v>25</v>
      </c>
      <c r="S38" s="754">
        <f t="shared" si="10"/>
        <v>100</v>
      </c>
      <c r="T38" s="753" t="s">
        <v>25</v>
      </c>
      <c r="U38" s="754">
        <f t="shared" si="11"/>
        <v>100</v>
      </c>
      <c r="V38" s="753" t="s">
        <v>25</v>
      </c>
      <c r="W38" s="754">
        <f t="shared" si="12"/>
        <v>100</v>
      </c>
      <c r="X38" s="1898"/>
      <c r="Y38" s="2990"/>
      <c r="Z38" s="1900">
        <f t="shared" si="13"/>
        <v>111</v>
      </c>
      <c r="AA38" s="1901">
        <f t="shared" si="3"/>
        <v>1</v>
      </c>
      <c r="AB38" s="1901">
        <f t="shared" si="4"/>
        <v>1</v>
      </c>
      <c r="AC38" s="1901">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2990"/>
      <c r="Q39" s="1897">
        <f t="shared" si="14"/>
        <v>111</v>
      </c>
      <c r="R39" s="753" t="s">
        <v>25</v>
      </c>
      <c r="S39" s="754">
        <f t="shared" si="10"/>
        <v>100</v>
      </c>
      <c r="T39" s="753" t="s">
        <v>25</v>
      </c>
      <c r="U39" s="754">
        <f t="shared" si="11"/>
        <v>100</v>
      </c>
      <c r="V39" s="753" t="s">
        <v>25</v>
      </c>
      <c r="W39" s="754">
        <f t="shared" si="12"/>
        <v>100</v>
      </c>
      <c r="X39" s="1898"/>
      <c r="Y39" s="2990"/>
      <c r="Z39" s="1900">
        <f t="shared" si="13"/>
        <v>111</v>
      </c>
      <c r="AA39" s="1901">
        <f t="shared" si="3"/>
        <v>1</v>
      </c>
      <c r="AB39" s="1901">
        <f t="shared" si="4"/>
        <v>1</v>
      </c>
      <c r="AC39" s="1901">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2990"/>
      <c r="Q40" s="1897">
        <f t="shared" si="14"/>
        <v>111</v>
      </c>
      <c r="R40" s="756" t="s">
        <v>25</v>
      </c>
      <c r="S40" s="757">
        <f t="shared" si="10"/>
        <v>100</v>
      </c>
      <c r="T40" s="756" t="s">
        <v>25</v>
      </c>
      <c r="U40" s="757">
        <f t="shared" si="11"/>
        <v>100</v>
      </c>
      <c r="V40" s="756" t="s">
        <v>25</v>
      </c>
      <c r="W40" s="757">
        <f t="shared" si="12"/>
        <v>100</v>
      </c>
      <c r="X40" s="758"/>
      <c r="Y40" s="2990"/>
      <c r="Z40" s="759">
        <f t="shared" si="13"/>
        <v>111</v>
      </c>
      <c r="AA40" s="1901">
        <f t="shared" si="3"/>
        <v>1</v>
      </c>
      <c r="AB40" s="1901">
        <f t="shared" si="4"/>
        <v>1</v>
      </c>
      <c r="AC40" s="1901">
        <f t="shared" si="5"/>
        <v>1</v>
      </c>
    </row>
    <row r="41" spans="1:29" ht="15">
      <c r="A41" s="460" t="s">
        <v>2513</v>
      </c>
      <c r="B41" s="2490" t="s">
        <v>2588</v>
      </c>
      <c r="C41" s="665" t="s">
        <v>1</v>
      </c>
      <c r="D41" s="462"/>
      <c r="E41" s="463"/>
      <c r="F41" s="464"/>
      <c r="G41" s="465"/>
      <c r="H41" s="466"/>
      <c r="I41" s="463"/>
      <c r="J41" s="466"/>
      <c r="K41" s="762"/>
      <c r="L41" s="1255"/>
      <c r="M41" s="1243"/>
      <c r="N41" s="1243"/>
      <c r="O41" s="1256"/>
      <c r="P41" s="2983" t="str">
        <f>A41</f>
        <v>成交单价</v>
      </c>
      <c r="Q41" s="2983"/>
      <c r="R41" s="3016">
        <f>E41</f>
        <v>0</v>
      </c>
      <c r="S41" s="3016"/>
      <c r="T41" s="3016">
        <f>G41</f>
        <v>0</v>
      </c>
      <c r="U41" s="3016"/>
      <c r="V41" s="3016">
        <f>I41</f>
        <v>0</v>
      </c>
      <c r="W41" s="3016"/>
      <c r="X41" s="738"/>
      <c r="Y41" s="760"/>
      <c r="Z41" s="738"/>
      <c r="AA41" s="738"/>
      <c r="AB41" s="738"/>
      <c r="AC41" s="738"/>
    </row>
    <row r="42" spans="1:29" ht="15.75" thickBot="1">
      <c r="A42" s="467" t="s">
        <v>2460</v>
      </c>
      <c r="B42" s="666"/>
      <c r="C42" s="471" t="e">
        <f>R43</f>
        <v>#DIV/0!</v>
      </c>
      <c r="D42" s="470"/>
      <c r="E42" s="471" t="e">
        <f>R42</f>
        <v>#DIV/0!</v>
      </c>
      <c r="F42" s="472"/>
      <c r="G42" s="469" t="e">
        <f>T42</f>
        <v>#DIV/0!</v>
      </c>
      <c r="H42" s="470"/>
      <c r="I42" s="471" t="e">
        <f>V42</f>
        <v>#DIV/0!</v>
      </c>
      <c r="J42" s="470"/>
      <c r="K42" s="763"/>
      <c r="L42" s="1255"/>
      <c r="M42" s="1243"/>
      <c r="N42" s="1243"/>
      <c r="O42" s="1256"/>
      <c r="P42" s="2983" t="str">
        <f>A42</f>
        <v>比较价值（元/平方米）</v>
      </c>
      <c r="Q42" s="2983"/>
      <c r="R42" s="3068" t="e">
        <f>ROUND(PRODUCT(R41,AA7:AA40),0)</f>
        <v>#DIV/0!</v>
      </c>
      <c r="S42" s="3068"/>
      <c r="T42" s="3068" t="e">
        <f>ROUND(PRODUCT(T41,AB7:AB40),0)</f>
        <v>#DIV/0!</v>
      </c>
      <c r="U42" s="3068"/>
      <c r="V42" s="3068" t="e">
        <f>ROUND(PRODUCT(V41,AC7:AC40),0)</f>
        <v>#DIV/0!</v>
      </c>
      <c r="W42" s="3068"/>
      <c r="X42" s="738"/>
      <c r="Y42" s="738"/>
      <c r="Z42" s="738"/>
      <c r="AA42" s="738"/>
      <c r="AB42" s="738"/>
      <c r="AC42" s="738"/>
    </row>
    <row r="43" spans="1:29" ht="15.75" thickBot="1">
      <c r="A43" s="473" t="s">
        <v>2483</v>
      </c>
      <c r="B43" s="474"/>
      <c r="C43" s="475" t="e">
        <f>R43</f>
        <v>#DIV/0!</v>
      </c>
      <c r="D43" s="475"/>
      <c r="E43" s="475"/>
      <c r="F43" s="475"/>
      <c r="G43" s="475"/>
      <c r="H43" s="475"/>
      <c r="I43" s="475"/>
      <c r="J43" s="475"/>
      <c r="K43" s="764"/>
      <c r="L43" s="1255"/>
      <c r="M43" s="1243"/>
      <c r="N43" s="1243"/>
      <c r="O43" s="1256"/>
      <c r="P43" s="3057" t="str">
        <f>A43</f>
        <v>估价对象XX用房的比较价值（楼面单价，元/平方米）</v>
      </c>
      <c r="Q43" s="2982"/>
      <c r="R43" s="3069" t="e">
        <f>ROUND(AVERAGE(R42:V42),0)</f>
        <v>#DIV/0!</v>
      </c>
      <c r="S43" s="3069"/>
      <c r="T43" s="3069"/>
      <c r="U43" s="3069"/>
      <c r="V43" s="3069"/>
      <c r="W43" s="3069"/>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2551</v>
      </c>
      <c r="B50" s="668" t="s">
        <v>2552</v>
      </c>
      <c r="C50" s="2491" t="s">
        <v>2553</v>
      </c>
      <c r="D50" s="2492" t="s">
        <v>2554</v>
      </c>
      <c r="E50" s="669" t="s">
        <v>2555</v>
      </c>
      <c r="F50" s="670" t="s">
        <v>2556</v>
      </c>
      <c r="G50" s="1900" t="s">
        <v>2589</v>
      </c>
      <c r="H50" s="1900">
        <f>项目基本情况!G8</f>
        <v>0</v>
      </c>
      <c r="I50" s="1847" t="s">
        <v>2558</v>
      </c>
      <c r="J50" s="1261"/>
      <c r="K50" s="1257"/>
      <c r="L50" s="1257"/>
      <c r="M50" s="1256"/>
      <c r="N50" s="1256"/>
      <c r="O50" s="1256"/>
    </row>
    <row r="51" spans="1:17" s="675" customFormat="1">
      <c r="A51" s="671" t="s">
        <v>2559</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2560</v>
      </c>
      <c r="B52" s="178" t="e">
        <f>ROUND($C$43*C52*D52,0)</f>
        <v>#DIV/0!</v>
      </c>
      <c r="C52" s="117">
        <f>IF($C$50="北京市系数",G52,H52)</f>
        <v>0.8</v>
      </c>
      <c r="D52" s="1291">
        <v>0.25</v>
      </c>
      <c r="E52" s="677">
        <v>0</v>
      </c>
      <c r="F52" s="674" t="e">
        <f t="shared" si="15"/>
        <v>#DIV/0!</v>
      </c>
      <c r="G52" s="972">
        <f>SUMIF(修正!$A$45:$A$56,项目基本情况!$F$9,修正!B45:B56)</f>
        <v>0.8</v>
      </c>
      <c r="H52" s="973"/>
      <c r="I52" s="1256"/>
      <c r="J52" s="1261"/>
      <c r="K52" s="1257"/>
      <c r="L52" s="1257"/>
      <c r="M52" s="1256"/>
      <c r="N52" s="1256"/>
      <c r="O52" s="1256"/>
    </row>
    <row r="53" spans="1:17" s="675" customFormat="1">
      <c r="A53" s="676" t="s">
        <v>2561</v>
      </c>
      <c r="B53" s="178" t="e">
        <f t="shared" ref="B53:B60" si="16">ROUND($C$43*C53*D53,0)</f>
        <v>#DIV/0!</v>
      </c>
      <c r="C53" s="117">
        <f t="shared" ref="C53:C60" si="17">IF($C$50="北京市系数",G53,H53)</f>
        <v>0.5</v>
      </c>
      <c r="D53" s="1291">
        <v>0.25</v>
      </c>
      <c r="E53" s="677">
        <v>0</v>
      </c>
      <c r="F53" s="674" t="e">
        <f t="shared" si="15"/>
        <v>#DIV/0!</v>
      </c>
      <c r="G53" s="972">
        <f>SUMIF(修正!$A$45:$A$56,项目基本情况!$F$9,修正!C45:C56)</f>
        <v>0.5</v>
      </c>
      <c r="H53" s="973"/>
      <c r="I53" s="1258"/>
      <c r="J53" s="1261"/>
      <c r="K53" s="1257"/>
      <c r="L53" s="1257"/>
      <c r="M53" s="1256"/>
      <c r="N53" s="1256"/>
      <c r="O53" s="1256"/>
    </row>
    <row r="54" spans="1:17" s="675" customFormat="1">
      <c r="A54" s="676" t="s">
        <v>2562</v>
      </c>
      <c r="B54" s="178" t="e">
        <f t="shared" si="16"/>
        <v>#DIV/0!</v>
      </c>
      <c r="C54" s="117">
        <f t="shared" si="17"/>
        <v>0.36</v>
      </c>
      <c r="D54" s="1291">
        <v>0.25</v>
      </c>
      <c r="E54" s="677">
        <v>0</v>
      </c>
      <c r="F54" s="674" t="e">
        <f t="shared" si="15"/>
        <v>#DIV/0!</v>
      </c>
      <c r="G54" s="972">
        <f>SUMIF(修正!$A$45:$A$56,项目基本情况!$F$9,修正!D45:D56)</f>
        <v>0.36</v>
      </c>
      <c r="H54" s="973"/>
      <c r="I54" s="1256"/>
      <c r="J54" s="1261"/>
      <c r="K54" s="1257"/>
      <c r="L54" s="1257"/>
      <c r="M54" s="1256"/>
      <c r="N54" s="1256"/>
      <c r="O54" s="1256"/>
    </row>
    <row r="55" spans="1:17" s="675" customFormat="1">
      <c r="A55" s="676" t="s">
        <v>2563</v>
      </c>
      <c r="B55" s="178" t="e">
        <f t="shared" si="16"/>
        <v>#DIV/0!</v>
      </c>
      <c r="C55" s="117">
        <f t="shared" si="17"/>
        <v>0.3</v>
      </c>
      <c r="D55" s="1291">
        <v>0.25</v>
      </c>
      <c r="E55" s="677">
        <v>0</v>
      </c>
      <c r="F55" s="674" t="e">
        <f t="shared" si="15"/>
        <v>#DIV/0!</v>
      </c>
      <c r="G55" s="972">
        <f>SUMIF(修正!$A$45:$A$56,项目基本情况!$F$9,修正!E45:E56)</f>
        <v>0.3</v>
      </c>
      <c r="H55" s="973"/>
      <c r="I55" s="1258"/>
      <c r="J55" s="1261"/>
      <c r="K55" s="1257"/>
      <c r="L55" s="1257"/>
      <c r="M55" s="1256"/>
      <c r="N55" s="1256"/>
      <c r="O55" s="1256"/>
    </row>
    <row r="56" spans="1:17" s="675" customFormat="1">
      <c r="A56" s="676" t="s">
        <v>2564</v>
      </c>
      <c r="B56" s="178" t="e">
        <f t="shared" si="16"/>
        <v>#DIV/0!</v>
      </c>
      <c r="C56" s="117">
        <f t="shared" si="17"/>
        <v>0.25</v>
      </c>
      <c r="D56" s="1291">
        <v>0.25</v>
      </c>
      <c r="E56" s="677">
        <v>0</v>
      </c>
      <c r="F56" s="674" t="e">
        <f t="shared" si="15"/>
        <v>#DIV/0!</v>
      </c>
      <c r="G56" s="972">
        <f>SUMIF(修正!A40:A51,项目基本情况!F9,修正!F45:F56)</f>
        <v>0.25</v>
      </c>
      <c r="H56" s="973"/>
      <c r="I56" s="1256"/>
      <c r="J56" s="1261"/>
      <c r="K56" s="1257"/>
      <c r="L56" s="1257"/>
      <c r="M56" s="1256"/>
      <c r="N56" s="1256"/>
      <c r="O56" s="1256"/>
    </row>
    <row r="57" spans="1:17" s="675" customFormat="1">
      <c r="A57" s="676" t="s">
        <v>2565</v>
      </c>
      <c r="B57" s="178" t="e">
        <f t="shared" si="16"/>
        <v>#DIV/0!</v>
      </c>
      <c r="C57" s="117">
        <f t="shared" si="17"/>
        <v>0.25</v>
      </c>
      <c r="D57" s="1291">
        <v>0.25</v>
      </c>
      <c r="E57" s="677">
        <v>0</v>
      </c>
      <c r="F57" s="674" t="e">
        <f t="shared" si="15"/>
        <v>#DIV/0!</v>
      </c>
      <c r="G57" s="972">
        <f>SUMIF(修正!A40:A51,项目基本情况!F9,修正!G45:G56)</f>
        <v>0.25</v>
      </c>
      <c r="H57" s="973"/>
      <c r="I57" s="1258"/>
      <c r="J57" s="1261"/>
      <c r="K57" s="1257"/>
      <c r="L57" s="1257"/>
      <c r="M57" s="1256"/>
      <c r="N57" s="1256"/>
      <c r="O57" s="1256"/>
    </row>
    <row r="58" spans="1:17" s="675" customFormat="1">
      <c r="A58" s="676" t="s">
        <v>2566</v>
      </c>
      <c r="B58" s="178" t="e">
        <f t="shared" si="16"/>
        <v>#DIV/0!</v>
      </c>
      <c r="C58" s="117">
        <f t="shared" si="17"/>
        <v>0.2</v>
      </c>
      <c r="D58" s="1291">
        <v>0.25</v>
      </c>
      <c r="E58" s="677">
        <v>0</v>
      </c>
      <c r="F58" s="674" t="e">
        <f t="shared" si="15"/>
        <v>#DIV/0!</v>
      </c>
      <c r="G58" s="972">
        <f>SUMIF(修正!A40:A51,项目基本情况!F9,修正!H45:H56)</f>
        <v>0.2</v>
      </c>
      <c r="H58" s="973"/>
      <c r="I58" s="1256"/>
      <c r="J58" s="1261"/>
      <c r="K58" s="1257"/>
      <c r="L58" s="1257"/>
      <c r="M58" s="1256"/>
      <c r="N58" s="1256"/>
      <c r="O58" s="1256"/>
    </row>
    <row r="59" spans="1:17" s="675" customFormat="1">
      <c r="A59" s="676" t="s">
        <v>2567</v>
      </c>
      <c r="B59" s="178" t="e">
        <f t="shared" si="16"/>
        <v>#DIV/0!</v>
      </c>
      <c r="C59" s="117">
        <f t="shared" si="17"/>
        <v>0.2</v>
      </c>
      <c r="D59" s="1291">
        <v>0.25</v>
      </c>
      <c r="E59" s="677">
        <v>0</v>
      </c>
      <c r="F59" s="674" t="e">
        <f t="shared" si="15"/>
        <v>#DIV/0!</v>
      </c>
      <c r="G59" s="972">
        <f>G58</f>
        <v>0.2</v>
      </c>
      <c r="H59" s="973"/>
      <c r="I59" s="1258"/>
      <c r="J59" s="1261"/>
      <c r="K59" s="1257"/>
      <c r="L59" s="1257"/>
      <c r="M59" s="1256"/>
      <c r="N59" s="1256"/>
      <c r="O59" s="1256"/>
    </row>
    <row r="60" spans="1:17" s="675" customFormat="1">
      <c r="A60" s="676" t="s">
        <v>2568</v>
      </c>
      <c r="B60" s="178" t="e">
        <f t="shared" si="16"/>
        <v>#DIV/0!</v>
      </c>
      <c r="C60" s="117">
        <f t="shared" si="17"/>
        <v>0.2</v>
      </c>
      <c r="D60" s="1291">
        <v>0.25</v>
      </c>
      <c r="E60" s="677">
        <v>0</v>
      </c>
      <c r="F60" s="674" t="e">
        <f t="shared" si="15"/>
        <v>#DIV/0!</v>
      </c>
      <c r="G60" s="972">
        <f>G58</f>
        <v>0.2</v>
      </c>
      <c r="H60" s="973"/>
      <c r="I60" s="1256"/>
      <c r="J60" s="1261"/>
      <c r="K60" s="1257"/>
      <c r="L60" s="1257"/>
      <c r="M60" s="1256"/>
      <c r="N60" s="1256"/>
      <c r="O60" s="1256"/>
    </row>
    <row r="61" spans="1:17" s="675" customFormat="1" ht="15" thickBot="1">
      <c r="A61" s="679" t="s">
        <v>2569</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8" t="str">
        <f>YEAR(C7)&amp;"-"&amp;MONTH(C7)&amp;"-1"</f>
        <v>2018-6-1</v>
      </c>
      <c r="D63" s="1668">
        <f>EDATE(C63,-3)</f>
        <v>43160</v>
      </c>
      <c r="E63" s="1668">
        <f t="shared" ref="E63:O63" si="18">EDATE(D63,-3)</f>
        <v>43070</v>
      </c>
      <c r="F63" s="1668">
        <f t="shared" si="18"/>
        <v>42979</v>
      </c>
      <c r="G63" s="1668">
        <f t="shared" si="18"/>
        <v>42887</v>
      </c>
      <c r="H63" s="1668">
        <f t="shared" si="18"/>
        <v>42795</v>
      </c>
      <c r="I63" s="1668">
        <f t="shared" si="18"/>
        <v>42705</v>
      </c>
      <c r="J63" s="1668">
        <f t="shared" si="18"/>
        <v>42614</v>
      </c>
      <c r="K63" s="1668">
        <f t="shared" si="18"/>
        <v>42522</v>
      </c>
      <c r="L63" s="1668">
        <f t="shared" si="18"/>
        <v>42430</v>
      </c>
      <c r="M63" s="1668">
        <f t="shared" si="18"/>
        <v>42339</v>
      </c>
      <c r="N63" s="1668">
        <f t="shared" si="18"/>
        <v>42248</v>
      </c>
      <c r="O63" s="1668">
        <f t="shared" si="18"/>
        <v>42156</v>
      </c>
    </row>
    <row r="64" spans="1:17" ht="21.75" thickBot="1">
      <c r="A64" s="742" t="s">
        <v>2465</v>
      </c>
      <c r="B64" s="738"/>
      <c r="C64" s="743"/>
      <c r="D64" s="743"/>
      <c r="E64" s="743"/>
      <c r="F64" s="744"/>
      <c r="G64" s="744"/>
      <c r="H64" s="743"/>
      <c r="I64" s="1272"/>
      <c r="J64" s="1272"/>
      <c r="K64" s="1270"/>
      <c r="L64" s="1271"/>
      <c r="M64" s="1272"/>
      <c r="N64" s="1272"/>
      <c r="O64" s="1272"/>
      <c r="P64" s="484"/>
      <c r="Q64" s="485"/>
    </row>
    <row r="65" spans="1:17" s="489" customFormat="1" ht="15">
      <c r="A65" s="2494" t="s">
        <v>2570</v>
      </c>
      <c r="B65" s="1454"/>
      <c r="C65" s="1669" t="str">
        <f>YEAR(C63)&amp;"-"&amp;ROUNDUP(MONTH(C63)/3,0)</f>
        <v>2018-2</v>
      </c>
      <c r="D65" s="1669" t="str">
        <f t="shared" ref="D65:O65" si="19">YEAR(D63)&amp;"-"&amp;ROUNDUP(MONTH(D63)/3,0)</f>
        <v>2018-1</v>
      </c>
      <c r="E65" s="1669" t="str">
        <f t="shared" si="19"/>
        <v>2017-4</v>
      </c>
      <c r="F65" s="1669" t="str">
        <f t="shared" si="19"/>
        <v>2017-3</v>
      </c>
      <c r="G65" s="1669" t="str">
        <f t="shared" si="19"/>
        <v>2017-2</v>
      </c>
      <c r="H65" s="1669" t="str">
        <f t="shared" si="19"/>
        <v>2017-1</v>
      </c>
      <c r="I65" s="1669" t="str">
        <f t="shared" si="19"/>
        <v>2016-4</v>
      </c>
      <c r="J65" s="1669" t="str">
        <f t="shared" si="19"/>
        <v>2016-3</v>
      </c>
      <c r="K65" s="1669" t="str">
        <f t="shared" si="19"/>
        <v>2016-2</v>
      </c>
      <c r="L65" s="1669" t="str">
        <f t="shared" si="19"/>
        <v>2016-1</v>
      </c>
      <c r="M65" s="1669" t="str">
        <f t="shared" si="19"/>
        <v>2015-4</v>
      </c>
      <c r="N65" s="1669" t="str">
        <f t="shared" si="19"/>
        <v>2015-3</v>
      </c>
      <c r="O65" s="1669" t="str">
        <f t="shared" si="19"/>
        <v>2015-2</v>
      </c>
      <c r="P65" s="488"/>
    </row>
    <row r="66" spans="1:17" s="35" customFormat="1" ht="33.75" customHeight="1">
      <c r="A66" s="2500" t="s">
        <v>2590</v>
      </c>
      <c r="B66" s="284" t="str">
        <f>"北京市平均增长率"&amp;TEXT(基准地价修正!P24,"0.00%")</f>
        <v>北京市平均增长率1.35%</v>
      </c>
      <c r="C66" s="587">
        <v>100</v>
      </c>
      <c r="D66" s="579"/>
      <c r="E66" s="579"/>
      <c r="F66" s="579"/>
      <c r="G66" s="579"/>
      <c r="H66" s="579"/>
      <c r="I66" s="579"/>
      <c r="J66" s="579"/>
      <c r="K66" s="579"/>
      <c r="L66" s="579"/>
      <c r="M66" s="1667"/>
      <c r="N66" s="579"/>
      <c r="O66" s="1673"/>
      <c r="P66" s="485"/>
    </row>
    <row r="67" spans="1:17" s="35" customFormat="1" ht="15.75" thickBot="1">
      <c r="A67" s="496" t="s">
        <v>2385</v>
      </c>
      <c r="B67" s="497"/>
      <c r="C67" s="498"/>
      <c r="D67" s="499"/>
      <c r="E67" s="499"/>
      <c r="F67" s="499"/>
      <c r="G67" s="499"/>
      <c r="H67" s="499"/>
      <c r="I67" s="499"/>
      <c r="J67" s="499"/>
      <c r="K67" s="499"/>
      <c r="L67" s="499"/>
      <c r="M67" s="500"/>
      <c r="N67" s="499"/>
      <c r="O67" s="1674"/>
      <c r="P67" s="485"/>
      <c r="Q67" s="485"/>
    </row>
    <row r="68" spans="1:17" s="35" customFormat="1" ht="15">
      <c r="A68" s="502" t="s">
        <v>2349</v>
      </c>
      <c r="B68" s="491"/>
      <c r="C68" s="503" t="s">
        <v>2350</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2388</v>
      </c>
      <c r="B70" s="509" t="s">
        <v>2353</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2356</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2358</v>
      </c>
      <c r="B83" s="509" t="s">
        <v>2498</v>
      </c>
      <c r="C83" s="557" t="s">
        <v>2397</v>
      </c>
      <c r="D83" s="557" t="s">
        <v>2398</v>
      </c>
      <c r="E83" s="557" t="s">
        <v>2399</v>
      </c>
      <c r="F83" s="557" t="s">
        <v>2400</v>
      </c>
      <c r="G83" s="557" t="s">
        <v>2401</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2402</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2573</v>
      </c>
      <c r="C87" s="557" t="s">
        <v>2397</v>
      </c>
      <c r="D87" s="557" t="s">
        <v>2398</v>
      </c>
      <c r="E87" s="557" t="s">
        <v>2399</v>
      </c>
      <c r="F87" s="557" t="s">
        <v>2400</v>
      </c>
      <c r="G87" s="557" t="s">
        <v>2401</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2574</v>
      </c>
      <c r="C89" s="557" t="s">
        <v>2397</v>
      </c>
      <c r="D89" s="557" t="s">
        <v>2398</v>
      </c>
      <c r="E89" s="557" t="s">
        <v>2399</v>
      </c>
      <c r="F89" s="557" t="s">
        <v>2400</v>
      </c>
      <c r="G89" s="557" t="s">
        <v>2401</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2445</v>
      </c>
      <c r="C91" s="557" t="s">
        <v>2397</v>
      </c>
      <c r="D91" s="557" t="s">
        <v>2398</v>
      </c>
      <c r="E91" s="557" t="s">
        <v>2399</v>
      </c>
      <c r="F91" s="557" t="s">
        <v>2400</v>
      </c>
      <c r="G91" s="557" t="s">
        <v>2401</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2446</v>
      </c>
      <c r="C93" s="522" t="s">
        <v>2404</v>
      </c>
      <c r="D93" s="522" t="s">
        <v>2405</v>
      </c>
      <c r="E93" s="522" t="s">
        <v>2406</v>
      </c>
      <c r="F93" s="522" t="s">
        <v>2407</v>
      </c>
      <c r="G93" s="522" t="s">
        <v>2408</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6"/>
      <c r="N94" s="1268"/>
      <c r="O94" s="1268"/>
      <c r="P94" s="542"/>
      <c r="Q94" s="543"/>
    </row>
    <row r="95" spans="1:17" ht="15.75" thickTop="1">
      <c r="A95" s="516"/>
      <c r="B95" s="521" t="str">
        <f>B27</f>
        <v>临街状况</v>
      </c>
      <c r="C95" s="522" t="s">
        <v>2575</v>
      </c>
      <c r="D95" s="522" t="s">
        <v>2576</v>
      </c>
      <c r="E95" s="522" t="s">
        <v>2577</v>
      </c>
      <c r="F95" s="522" t="s">
        <v>2578</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2477</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2544</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2363</v>
      </c>
      <c r="B107" s="509" t="s">
        <v>2579</v>
      </c>
      <c r="C107" s="1855" t="str">
        <f t="shared" ref="C107:L107" si="25">C108&amp;"(含)"&amp;"-"&amp;D108</f>
        <v>(含)-</v>
      </c>
      <c r="D107" s="1855" t="str">
        <f t="shared" si="25"/>
        <v>(含)-</v>
      </c>
      <c r="E107" s="1855" t="str">
        <f t="shared" si="25"/>
        <v>(含)-</v>
      </c>
      <c r="F107" s="1855" t="str">
        <f t="shared" si="25"/>
        <v>(含)-</v>
      </c>
      <c r="G107" s="1855" t="str">
        <f t="shared" si="25"/>
        <v>(含)-</v>
      </c>
      <c r="H107" s="1855" t="str">
        <f t="shared" si="25"/>
        <v>(含)-</v>
      </c>
      <c r="I107" s="1855" t="str">
        <f t="shared" si="25"/>
        <v>(含)-</v>
      </c>
      <c r="J107" s="1855" t="str">
        <f t="shared" si="25"/>
        <v>(含)-</v>
      </c>
      <c r="K107" s="1855" t="str">
        <f t="shared" si="25"/>
        <v>(含)-</v>
      </c>
      <c r="L107" s="1856" t="str">
        <f t="shared" si="25"/>
        <v>(含)-</v>
      </c>
      <c r="M107" s="1857"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2580</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2582</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2583</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1"/>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abSelected="1" view="pageBreakPreview" topLeftCell="A13" zoomScale="90" zoomScaleNormal="90" zoomScaleSheetLayoutView="90" workbookViewId="0">
      <selection activeCell="C29" sqref="C29"/>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0"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2591</v>
      </c>
      <c r="B1" s="2502"/>
      <c r="C1" s="162" t="s">
        <v>2592</v>
      </c>
      <c r="D1" s="2503">
        <f>SUM(D29:D30,D33:D39)</f>
        <v>218.48</v>
      </c>
      <c r="E1" s="2503"/>
      <c r="F1" s="2503"/>
      <c r="G1" s="2503"/>
      <c r="H1" s="2503"/>
      <c r="I1" s="2503"/>
      <c r="J1" s="2503"/>
      <c r="L1" s="2504" t="s">
        <v>2593</v>
      </c>
      <c r="M1" s="1118">
        <f>SUMPRODUCT((区片价!B5:B9=I2)*(区片价!C3:F3=E2)*(区片价!C5:F9))</f>
        <v>0</v>
      </c>
      <c r="N1" s="1121">
        <f>SUMPRODUCT((因素修正幅度!B5:B9=I2)*(因素修正幅度!C3:F3=E2)*(因素修正幅度!C5:F9))</f>
        <v>0</v>
      </c>
      <c r="O1" s="1460"/>
      <c r="P1" s="1460"/>
      <c r="Q1" s="1460"/>
      <c r="R1" s="1707" t="s">
        <v>2594</v>
      </c>
      <c r="S1" s="1707" t="s">
        <v>2595</v>
      </c>
      <c r="T1" s="1707" t="s">
        <v>2596</v>
      </c>
      <c r="U1" s="1707" t="s">
        <v>2597</v>
      </c>
      <c r="V1" s="1707" t="s">
        <v>2598</v>
      </c>
      <c r="W1" s="1711"/>
      <c r="X1" s="1711"/>
      <c r="Y1" s="1711"/>
      <c r="Z1" s="1711"/>
      <c r="AA1" s="1711"/>
      <c r="AB1" s="1711"/>
      <c r="AC1" s="1712"/>
      <c r="AD1" s="1713"/>
      <c r="AE1" s="1713"/>
      <c r="AF1" s="1713"/>
      <c r="AG1" s="1713"/>
      <c r="AH1" s="1713"/>
      <c r="AI1" s="1713"/>
      <c r="AJ1" s="1714"/>
    </row>
    <row r="2" spans="1:36" ht="24.75">
      <c r="A2" s="165" t="s">
        <v>2599</v>
      </c>
      <c r="B2" s="168">
        <f ca="1">C26</f>
        <v>0</v>
      </c>
      <c r="C2" s="2506" t="s">
        <v>2600</v>
      </c>
      <c r="D2" s="2507" t="s">
        <v>2601</v>
      </c>
      <c r="E2" s="2508" t="s">
        <v>2817</v>
      </c>
      <c r="F2" s="2507" t="s">
        <v>2602</v>
      </c>
      <c r="G2" s="2509" t="str">
        <f>项目基本情况!F9</f>
        <v>二级</v>
      </c>
      <c r="H2" s="2510" t="s">
        <v>2603</v>
      </c>
      <c r="I2" s="2509" t="str">
        <f>项目基本情况!F10</f>
        <v>Ⅱ—03</v>
      </c>
      <c r="J2" s="2511"/>
      <c r="L2" s="2512" t="s">
        <v>2604</v>
      </c>
      <c r="M2" s="1119">
        <f>SUMPRODUCT((区片价!B10:B28=I2)*(区片价!C3:F3=E2)*(区片价!C10:F28))</f>
        <v>23180</v>
      </c>
      <c r="N2" s="1122">
        <f>SUMPRODUCT((因素修正幅度!B10:B28=I2)*(因素修正幅度!C3:F3=E2)*(因素修正幅度!C10:F28))</f>
        <v>7.0999999999999994E-2</v>
      </c>
      <c r="O2" s="1460"/>
      <c r="P2" s="1460"/>
      <c r="Q2" s="1460"/>
      <c r="R2" s="1707">
        <v>1</v>
      </c>
      <c r="S2" s="1707">
        <f>ROUND(IF(G3&gt;1,IF(R2&lt;7,SUMPRODUCT((B93:B98=R2)*(C92:N92=G2)*(C93:N98)),SUMIF(C92:N92,G2,C100:N100)),IF(R2&lt;7,SUMPRODUCT((B102:B107=R2)*(C92:N92=G2)*(C102:N107)),SUMIF(C92:N92,G2,C109:N109))),4)</f>
        <v>1.9361999999999999</v>
      </c>
      <c r="T2" s="1707">
        <f ca="1">ROUND($C$5*$C$18*$C$19*$C$20*S2*$C$24,0)</f>
        <v>60963</v>
      </c>
      <c r="U2" s="1708"/>
      <c r="V2" s="1707">
        <f ca="1">ROUND(T2*U2/10000,0)</f>
        <v>0</v>
      </c>
      <c r="W2" s="1711"/>
      <c r="X2" s="1711"/>
      <c r="Y2" s="1711"/>
      <c r="Z2" s="1711"/>
      <c r="AA2" s="1711"/>
      <c r="AB2" s="1711"/>
      <c r="AC2" s="1712"/>
      <c r="AD2" s="1713"/>
      <c r="AE2" s="1713"/>
      <c r="AF2" s="1713"/>
      <c r="AG2" s="1713"/>
      <c r="AH2" s="1713"/>
      <c r="AI2" s="1713"/>
      <c r="AJ2" s="1714"/>
    </row>
    <row r="3" spans="1:36" ht="25.5">
      <c r="A3" s="167" t="s">
        <v>2605</v>
      </c>
      <c r="B3" s="168">
        <f ca="1">ROUND(B2/D1,0)</f>
        <v>0</v>
      </c>
      <c r="C3" s="2506" t="s">
        <v>2606</v>
      </c>
      <c r="D3" s="2507" t="s">
        <v>2607</v>
      </c>
      <c r="E3" s="2513" t="s">
        <v>2818</v>
      </c>
      <c r="F3" s="2514" t="s">
        <v>2608</v>
      </c>
      <c r="G3" s="941">
        <f>项目基本情况!C15</f>
        <v>3.6</v>
      </c>
      <c r="H3" s="115" t="s">
        <v>2609</v>
      </c>
      <c r="I3" s="974"/>
      <c r="J3" s="2511" t="s">
        <v>2610</v>
      </c>
      <c r="L3" s="2512" t="s">
        <v>2611</v>
      </c>
      <c r="M3" s="1119">
        <f>SUMPRODUCT((区片价!B29:B48=I2)*(区片价!C3:F3=E2)*(区片价!C29:F48))</f>
        <v>0</v>
      </c>
      <c r="N3" s="1122">
        <f>SUMPRODUCT((因素修正幅度!B29:B48=I2)*(因素修正幅度!C3:F3=E2)*(因素修正幅度!C29:F48))</f>
        <v>0</v>
      </c>
      <c r="O3" s="1460"/>
      <c r="P3" s="1460"/>
      <c r="Q3" s="1460"/>
      <c r="R3" s="1707">
        <v>2</v>
      </c>
      <c r="S3" s="1707">
        <f>ROUND(IF(G3&gt;1,IF(R3&lt;7,SUMPRODUCT((B93:B98=R3)*(C92:N92=G2)*(C93:N98)),SUMIF(C92:N92,G2,C100:N100)),IF(R3&lt;7,SUMPRODUCT((B102:B107=R3)*(C92:N92=G2)*(C102:N107)),SUMIF(C92:N92,G2,C109:N109))),4)</f>
        <v>1.4198</v>
      </c>
      <c r="T3" s="1707">
        <f t="shared" ref="T3:T16" ca="1" si="0">ROUND($C$5*$C$18*$C$19*$C$20*S3*$C$24,0)</f>
        <v>44703</v>
      </c>
      <c r="U3" s="1708"/>
      <c r="V3" s="1707">
        <f t="shared" ref="V3:V16" ca="1" si="1">ROUND(T3*U3/10000,0)</f>
        <v>0</v>
      </c>
      <c r="W3" s="1711"/>
      <c r="X3" s="1711"/>
      <c r="Y3" s="1711"/>
      <c r="Z3" s="1711"/>
      <c r="AA3" s="1711"/>
      <c r="AB3" s="1711"/>
      <c r="AC3" s="1712"/>
      <c r="AD3" s="1713"/>
      <c r="AE3" s="1713"/>
      <c r="AF3" s="1713"/>
      <c r="AG3" s="1713"/>
      <c r="AH3" s="1713"/>
      <c r="AI3" s="1713"/>
      <c r="AJ3" s="1714"/>
    </row>
    <row r="4" spans="1:36" ht="15.75">
      <c r="A4" s="3073"/>
      <c r="B4" s="3074"/>
      <c r="C4" s="3074"/>
      <c r="D4" s="3075"/>
      <c r="E4" s="3075"/>
      <c r="F4" s="3075"/>
      <c r="G4" s="3075"/>
      <c r="H4" s="3075"/>
      <c r="I4" s="3075"/>
      <c r="J4" s="3076"/>
      <c r="L4" s="2512" t="s">
        <v>2612</v>
      </c>
      <c r="M4" s="1119">
        <f>SUMPRODUCT((区片价!B49:B75=I2)*(区片价!C3:F3=E2)*(区片价!C49:F75))</f>
        <v>0</v>
      </c>
      <c r="N4" s="1122">
        <f>SUMPRODUCT((因素修正幅度!B49:B75=I2)*(因素修正幅度!C3:F3=E2)*(因素修正幅度!C49:F75))</f>
        <v>0</v>
      </c>
      <c r="O4" s="1460"/>
      <c r="P4" s="1460"/>
      <c r="Q4" s="1460"/>
      <c r="R4" s="1707">
        <v>3</v>
      </c>
      <c r="S4" s="1707">
        <f>ROUND(IF(G3&gt;1,IF(R4&lt;7,SUMPRODUCT((B93:B98=R4)*(C92:N92=G2)*(C93:N98)),SUMIF(C92:N92,G2,C100:N100)),IF(R4&lt;7,SUMPRODUCT((B102:B107=R4)*(C92:N92=G2)*(C102:N107)),SUMIF(C92:N92,G2,C109:N109))),4)</f>
        <v>1.1594</v>
      </c>
      <c r="T4" s="1707">
        <f t="shared" ca="1" si="0"/>
        <v>36504</v>
      </c>
      <c r="U4" s="1708"/>
      <c r="V4" s="1707">
        <f t="shared" ca="1" si="1"/>
        <v>0</v>
      </c>
      <c r="W4" s="1711"/>
      <c r="X4" s="1711"/>
      <c r="Y4" s="1711"/>
      <c r="Z4" s="1711"/>
      <c r="AA4" s="1711"/>
      <c r="AB4" s="1711"/>
      <c r="AC4" s="1712"/>
      <c r="AD4" s="1713"/>
      <c r="AE4" s="1713"/>
      <c r="AF4" s="1713"/>
      <c r="AG4" s="1713"/>
      <c r="AH4" s="1713"/>
      <c r="AI4" s="1713"/>
      <c r="AJ4" s="1714"/>
    </row>
    <row r="5" spans="1:36" s="2524" customFormat="1" ht="15.75" thickBot="1">
      <c r="A5" s="2515" t="s">
        <v>2613</v>
      </c>
      <c r="B5" s="2516" t="s">
        <v>2614</v>
      </c>
      <c r="C5" s="942">
        <f>ROUND(IF(E2="商业",IF(F16="增加",C6*C7+C16,C6*C7-C16),IF(E2="住宅",IF(F16="增加",C6*C12+C16,C6*C12-C16),IF(F16="增加",C6+C16,C6-C16))),0)</f>
        <v>23149</v>
      </c>
      <c r="D5" s="1875">
        <f>ROUND(IF(E2="商业",IF(F16="增加",C6+C16,C6-C16)),0)</f>
        <v>0</v>
      </c>
      <c r="E5" s="2517"/>
      <c r="F5" s="2517"/>
      <c r="G5" s="2518"/>
      <c r="H5" s="2518"/>
      <c r="I5" s="2518"/>
      <c r="J5" s="2519"/>
      <c r="K5" s="2520"/>
      <c r="L5" s="2512" t="s">
        <v>2615</v>
      </c>
      <c r="M5" s="1119">
        <f>SUMPRODUCT((区片价!B76:B109=I2)*(区片价!C3:F3=E2)*(区片价!C76:F109))</f>
        <v>0</v>
      </c>
      <c r="N5" s="1122">
        <f>SUMPRODUCT((因素修正幅度!B76:B109=I2)*(因素修正幅度!C3:F3=E2)*(因素修正幅度!C76:F109))</f>
        <v>0</v>
      </c>
      <c r="O5" s="1460"/>
      <c r="P5" s="1460"/>
      <c r="Q5" s="1460"/>
      <c r="R5" s="1707">
        <v>4</v>
      </c>
      <c r="S5" s="1707">
        <f>ROUND(IF(G3&gt;1,IF(R5&lt;7,SUMPRODUCT((B93:B98=R5)*(C92:N92=G2)*(C93:N98)),SUMIF(C92:N92,G2,C100:N100)),IF(R5&lt;7,SUMPRODUCT((B102:B107=R5)*(C92:N92=G2)*(C102:N107)),SUMIF(C92:N92,G2,C109:N109))),4)</f>
        <v>0.96220000000000006</v>
      </c>
      <c r="T5" s="1707">
        <f t="shared" ca="1" si="0"/>
        <v>30296</v>
      </c>
      <c r="U5" s="1708"/>
      <c r="V5" s="1707">
        <f t="shared" ca="1" si="1"/>
        <v>0</v>
      </c>
      <c r="W5" s="1711"/>
      <c r="X5" s="1711"/>
      <c r="Y5" s="1711"/>
      <c r="Z5" s="1711"/>
      <c r="AA5" s="1711"/>
      <c r="AB5" s="1711"/>
      <c r="AC5" s="2521"/>
      <c r="AD5" s="2522"/>
      <c r="AE5" s="2522"/>
      <c r="AF5" s="2522"/>
      <c r="AG5" s="2522"/>
      <c r="AH5" s="2522"/>
      <c r="AI5" s="2522"/>
      <c r="AJ5" s="2523"/>
    </row>
    <row r="6" spans="1:36" ht="15.75" thickBot="1">
      <c r="A6" s="2525">
        <v>1</v>
      </c>
      <c r="B6" s="2526" t="s">
        <v>2616</v>
      </c>
      <c r="C6" s="943">
        <f>SUMIF(L1:L12,G2,M1:M12)</f>
        <v>23180</v>
      </c>
      <c r="D6" s="2527" t="s">
        <v>2617</v>
      </c>
      <c r="E6" s="2528"/>
      <c r="F6" s="2528"/>
      <c r="G6" s="2529"/>
      <c r="H6" s="2529"/>
      <c r="I6" s="2529"/>
      <c r="J6" s="2530"/>
      <c r="K6" s="2531"/>
      <c r="L6" s="2512" t="s">
        <v>2618</v>
      </c>
      <c r="M6" s="1119">
        <f>SUMPRODUCT((区片价!B110:B157=I2)*(区片价!C3:F3=E2)*(区片价!C110:F157))</f>
        <v>0</v>
      </c>
      <c r="N6" s="1122">
        <f>SUMPRODUCT((因素修正幅度!B110:B157=I2)*(因素修正幅度!C3:F3=E2)*(因素修正幅度!C110:F157))</f>
        <v>0</v>
      </c>
      <c r="O6" s="1460"/>
      <c r="P6" s="1460"/>
      <c r="Q6" s="1460"/>
      <c r="R6" s="1707">
        <v>5</v>
      </c>
      <c r="S6" s="1707">
        <f>ROUND(IF(G3&gt;1,IF(R6&lt;7,SUMPRODUCT((B93:B98=R6)*(C92:N92=G2)*(C93:N98)),SUMIF(C92:N92,G2,C100:N100)),IF(R6&lt;7,SUMPRODUCT((B102:B107=R6)*(C92:N92=G2)*(C102:N107)),SUMIF(C92:N92,G2,C109:N109))),4)</f>
        <v>0.8417</v>
      </c>
      <c r="T6" s="1707">
        <f t="shared" ca="1" si="0"/>
        <v>26501</v>
      </c>
      <c r="U6" s="1708"/>
      <c r="V6" s="1707">
        <f t="shared" ca="1" si="1"/>
        <v>0</v>
      </c>
      <c r="W6" s="1711"/>
      <c r="X6" s="1711"/>
      <c r="Y6" s="1711"/>
      <c r="Z6" s="1711"/>
      <c r="AA6" s="1711"/>
      <c r="AB6" s="1711"/>
      <c r="AC6" s="2521"/>
      <c r="AD6" s="2522"/>
      <c r="AE6" s="2522"/>
      <c r="AF6" s="2522"/>
      <c r="AG6" s="2522"/>
      <c r="AH6" s="2522"/>
      <c r="AI6" s="2522"/>
      <c r="AJ6" s="2523"/>
    </row>
    <row r="7" spans="1:36" ht="24">
      <c r="A7" s="3077" t="str">
        <f>IF(E2="商业",IF(C8="不临58条商业街","",2),"")</f>
        <v/>
      </c>
      <c r="B7" s="2532" t="s">
        <v>2619</v>
      </c>
      <c r="C7" s="944">
        <f>IF(C8="不临58条商业街",1,ROUND(1+(1.6*E8+1.2*E9+0.8*E10+0.4*E11)*C9,4))</f>
        <v>1</v>
      </c>
      <c r="D7" s="2533" t="s">
        <v>2620</v>
      </c>
      <c r="E7" s="975"/>
      <c r="F7" s="2534"/>
      <c r="G7" s="2535"/>
      <c r="H7" s="2535"/>
      <c r="I7" s="2535"/>
      <c r="J7" s="2536"/>
      <c r="K7" s="2531"/>
      <c r="L7" s="2512" t="s">
        <v>2621</v>
      </c>
      <c r="M7" s="1119">
        <f>SUMPRODUCT((区片价!B158:B205=I2)*(区片价!C3:F3=E2)*(区片价!C158:F205))</f>
        <v>0</v>
      </c>
      <c r="N7" s="1122">
        <f>SUMPRODUCT((因素修正幅度!B158:B205=I2)*(因素修正幅度!C3:F3=E2)*(因素修正幅度!C158:F205))</f>
        <v>0</v>
      </c>
      <c r="O7" s="1460"/>
      <c r="P7" s="1460"/>
      <c r="Q7" s="1460"/>
      <c r="R7" s="1707">
        <v>6</v>
      </c>
      <c r="S7" s="1707">
        <f>ROUND(IF(G3&gt;1,IF(R7&lt;7,SUMPRODUCT((B93:B98=R7)*(C92:N92=G2)*(C93:N98)),SUMIF(C92:N92,G2,C100:N100)),IF(R7&lt;7,SUMPRODUCT((B102:B107=R7)*(C92:N92=G2)*(C102:N107)),SUMIF(C92:N92,G2,C109:N109))),4)</f>
        <v>0.76080000000000003</v>
      </c>
      <c r="T7" s="1707">
        <f t="shared" ca="1" si="0"/>
        <v>23954</v>
      </c>
      <c r="U7" s="1708"/>
      <c r="V7" s="1707">
        <f t="shared" ca="1" si="1"/>
        <v>0</v>
      </c>
      <c r="W7" s="1903" t="s">
        <v>2622</v>
      </c>
      <c r="X7" s="1709" t="str">
        <f>G2</f>
        <v>二级</v>
      </c>
      <c r="Y7" s="1709" t="s">
        <v>2623</v>
      </c>
      <c r="Z7" s="1710">
        <f>G3</f>
        <v>3.6</v>
      </c>
      <c r="AA7" s="1711"/>
      <c r="AB7" s="1711"/>
      <c r="AC7" s="1712"/>
      <c r="AD7" s="1713"/>
      <c r="AE7" s="1713"/>
      <c r="AF7" s="1713"/>
      <c r="AG7" s="1713"/>
      <c r="AH7" s="1713"/>
      <c r="AI7" s="1713"/>
      <c r="AJ7" s="1714"/>
    </row>
    <row r="8" spans="1:36" ht="15">
      <c r="A8" s="3078"/>
      <c r="B8" s="115" t="s">
        <v>2624</v>
      </c>
      <c r="C8" s="2537" t="s">
        <v>2819</v>
      </c>
      <c r="D8" s="945" t="s">
        <v>89</v>
      </c>
      <c r="E8" s="946" t="e">
        <f>ROUND(C11/E7,4)</f>
        <v>#DIV/0!</v>
      </c>
      <c r="F8" s="2538" t="s">
        <v>2625</v>
      </c>
      <c r="G8" s="2539"/>
      <c r="H8" s="2539"/>
      <c r="I8" s="2539"/>
      <c r="J8" s="2540"/>
      <c r="L8" s="2512" t="s">
        <v>2626</v>
      </c>
      <c r="M8" s="1119">
        <f>SUMPRODUCT((区片价!B206:B244=I2)*(区片价!C3:F3=E2)*(区片价!C206:F244))</f>
        <v>0</v>
      </c>
      <c r="N8" s="1122">
        <f>SUMPRODUCT((因素修正幅度!B206:B244=I2)*(因素修正幅度!C3:F3=E2)*(因素修正幅度!C206:F244))</f>
        <v>0</v>
      </c>
      <c r="O8" s="1460"/>
      <c r="P8" s="1460"/>
      <c r="Q8" s="1460"/>
      <c r="R8" s="1707">
        <v>7</v>
      </c>
      <c r="S8" s="1708"/>
      <c r="T8" s="1707">
        <f t="shared" ca="1" si="0"/>
        <v>0</v>
      </c>
      <c r="U8" s="1708"/>
      <c r="V8" s="1707">
        <f t="shared" ca="1" si="1"/>
        <v>0</v>
      </c>
      <c r="W8" s="3070" t="s">
        <v>2627</v>
      </c>
      <c r="X8" s="3071"/>
      <c r="Y8" s="1715" t="s">
        <v>2628</v>
      </c>
      <c r="Z8" s="1715" t="s">
        <v>2629</v>
      </c>
      <c r="AA8" s="1715" t="s">
        <v>2630</v>
      </c>
      <c r="AB8" s="1715" t="s">
        <v>2631</v>
      </c>
      <c r="AC8" s="1715" t="s">
        <v>2632</v>
      </c>
      <c r="AD8" s="1715" t="s">
        <v>2633</v>
      </c>
      <c r="AE8" s="1715" t="s">
        <v>2634</v>
      </c>
      <c r="AF8" s="1715" t="s">
        <v>2635</v>
      </c>
      <c r="AG8" s="1715" t="s">
        <v>2636</v>
      </c>
      <c r="AH8" s="1715" t="s">
        <v>2637</v>
      </c>
      <c r="AI8" s="1715" t="s">
        <v>2638</v>
      </c>
      <c r="AJ8" s="1715" t="s">
        <v>2639</v>
      </c>
    </row>
    <row r="9" spans="1:36" ht="15">
      <c r="A9" s="3078"/>
      <c r="B9" s="115" t="s">
        <v>2640</v>
      </c>
      <c r="C9" s="947">
        <f>SUMIF(修正!C59:C119,C8,修正!E59:E119)</f>
        <v>0</v>
      </c>
      <c r="D9" s="117" t="s">
        <v>90</v>
      </c>
      <c r="E9" s="117" t="e">
        <f>ROUND(C11/E7,4)</f>
        <v>#DIV/0!</v>
      </c>
      <c r="F9" s="2538" t="s">
        <v>2641</v>
      </c>
      <c r="G9" s="2539"/>
      <c r="H9" s="2539"/>
      <c r="I9" s="2539"/>
      <c r="J9" s="2540"/>
      <c r="L9" s="2512" t="s">
        <v>2642</v>
      </c>
      <c r="M9" s="1119">
        <f>SUMPRODUCT((区片价!B245:B289=I2)*(区片价!C3:F3=E2)*(区片价!C245:F289))</f>
        <v>0</v>
      </c>
      <c r="N9" s="1122">
        <f>SUMPRODUCT((因素修正幅度!B245:B289=I2)*(因素修正幅度!C3:F3=E2)*(因素修正幅度!C245:F289))</f>
        <v>0</v>
      </c>
      <c r="O9" s="1460"/>
      <c r="P9" s="1460"/>
      <c r="Q9" s="1460"/>
      <c r="R9" s="1707">
        <v>8</v>
      </c>
      <c r="S9" s="1708"/>
      <c r="T9" s="1707">
        <f t="shared" ca="1" si="0"/>
        <v>0</v>
      </c>
      <c r="U9" s="1708"/>
      <c r="V9" s="1707">
        <f t="shared" ca="1" si="1"/>
        <v>0</v>
      </c>
      <c r="W9" s="3072" t="s">
        <v>2643</v>
      </c>
      <c r="X9" s="1716" t="s">
        <v>2644</v>
      </c>
      <c r="Y9" s="1717"/>
      <c r="Z9" s="1718">
        <f>$Y$9</f>
        <v>0</v>
      </c>
      <c r="AA9" s="1718">
        <f t="shared" ref="AA9:AJ9" si="2">$Y$9</f>
        <v>0</v>
      </c>
      <c r="AB9" s="1718">
        <f t="shared" si="2"/>
        <v>0</v>
      </c>
      <c r="AC9" s="1718">
        <f t="shared" si="2"/>
        <v>0</v>
      </c>
      <c r="AD9" s="1718">
        <f t="shared" si="2"/>
        <v>0</v>
      </c>
      <c r="AE9" s="1718">
        <f t="shared" si="2"/>
        <v>0</v>
      </c>
      <c r="AF9" s="1718">
        <f t="shared" si="2"/>
        <v>0</v>
      </c>
      <c r="AG9" s="1718">
        <f t="shared" si="2"/>
        <v>0</v>
      </c>
      <c r="AH9" s="1718">
        <f t="shared" si="2"/>
        <v>0</v>
      </c>
      <c r="AI9" s="1718">
        <f t="shared" si="2"/>
        <v>0</v>
      </c>
      <c r="AJ9" s="1718">
        <f t="shared" si="2"/>
        <v>0</v>
      </c>
    </row>
    <row r="10" spans="1:36" ht="15">
      <c r="A10" s="3078"/>
      <c r="B10" s="115" t="s">
        <v>2645</v>
      </c>
      <c r="C10" s="117">
        <f>SUMIF(修正!C59:C119,C8,修正!F59:F119)</f>
        <v>0</v>
      </c>
      <c r="D10" s="117" t="s">
        <v>91</v>
      </c>
      <c r="E10" s="117" t="e">
        <f>ROUND(C11/E7,4)</f>
        <v>#DIV/0!</v>
      </c>
      <c r="F10" s="2538" t="s">
        <v>2646</v>
      </c>
      <c r="G10" s="2539"/>
      <c r="H10" s="2539"/>
      <c r="I10" s="2539"/>
      <c r="J10" s="2540"/>
      <c r="L10" s="2512" t="s">
        <v>2647</v>
      </c>
      <c r="M10" s="1119">
        <f>SUMPRODUCT((区片价!B290:B316=I2)*(区片价!C3:F3=E2)*(区片价!C290:F316))</f>
        <v>0</v>
      </c>
      <c r="N10" s="1122">
        <f>SUMPRODUCT((因素修正幅度!B290:B316=I2)*(因素修正幅度!C3:F3=E2)*(因素修正幅度!C290:F316))</f>
        <v>0</v>
      </c>
      <c r="O10" s="1460"/>
      <c r="P10" s="1460"/>
      <c r="Q10" s="1460"/>
      <c r="R10" s="1707">
        <v>9</v>
      </c>
      <c r="S10" s="1708"/>
      <c r="T10" s="1707">
        <f t="shared" ca="1" si="0"/>
        <v>0</v>
      </c>
      <c r="U10" s="1708"/>
      <c r="V10" s="1707">
        <f t="shared" ca="1" si="1"/>
        <v>0</v>
      </c>
      <c r="W10" s="3072"/>
      <c r="X10" s="1716">
        <v>7</v>
      </c>
      <c r="Y10" s="1719">
        <f>(-0.163*(Y9^2)-0.59*Y9+7617)*(10^(-4))</f>
        <v>0.76170000000000004</v>
      </c>
      <c r="Z10" s="1719">
        <f>(-0.163*(Z9^2)-0.59*Z9+7617)*(10^(-4))</f>
        <v>0.76170000000000004</v>
      </c>
      <c r="AA10" s="1719">
        <f>(-0.161*(AA9^2)-7.509*AA9+6533)*(10^(-4))</f>
        <v>0.65329999999999999</v>
      </c>
      <c r="AB10" s="1719">
        <f>(-0.161*(AB9^2)-7.509*AB9+6533)*(10^(-4))</f>
        <v>0.65329999999999999</v>
      </c>
      <c r="AC10" s="1719">
        <f>(-0.161*(AC9^2)-7.509*AC9+6533)*(10^(-4))</f>
        <v>0.65329999999999999</v>
      </c>
      <c r="AD10" s="1719">
        <f>(-0.161*(AD9^2)-7.509*AD9+6533)*(10^(-4))</f>
        <v>0.65329999999999999</v>
      </c>
      <c r="AE10" s="1719">
        <f>(-0.161*(AE9^2)-7.509*AE9+6533)*(10^(-4))</f>
        <v>0.65329999999999999</v>
      </c>
      <c r="AF10" s="1719">
        <f>(-0.214*(AF9^2)-21.991*AF9+4665)*(10^(-4))</f>
        <v>0.46650000000000003</v>
      </c>
      <c r="AG10" s="1719">
        <f>(-0.214*(AG9^2)-21.991*AG9+4665)*(10^(-4))</f>
        <v>0.46650000000000003</v>
      </c>
      <c r="AH10" s="1719">
        <f>(-0.214*(AH9^2)-21.991*AH9+4665)*(10^(-4))</f>
        <v>0.46650000000000003</v>
      </c>
      <c r="AI10" s="1719">
        <f>(-0.214*(AI9^2)-21.991*AI9+4665)*(10^(-4))</f>
        <v>0.46650000000000003</v>
      </c>
      <c r="AJ10" s="1719">
        <f>(-0.214*(AJ9^2)-21.991*AJ9+4665)*(10^(-4))</f>
        <v>0.46650000000000003</v>
      </c>
    </row>
    <row r="11" spans="1:36" ht="15.75" thickBot="1">
      <c r="A11" s="3078"/>
      <c r="B11" s="2541" t="s">
        <v>2648</v>
      </c>
      <c r="C11" s="948">
        <f>C10/4</f>
        <v>0</v>
      </c>
      <c r="D11" s="948" t="s">
        <v>92</v>
      </c>
      <c r="E11" s="948" t="e">
        <f>ROUND(C11/E7,4)</f>
        <v>#DIV/0!</v>
      </c>
      <c r="F11" s="2542" t="s">
        <v>2649</v>
      </c>
      <c r="G11" s="2543"/>
      <c r="H11" s="2543"/>
      <c r="I11" s="2543"/>
      <c r="J11" s="2544"/>
      <c r="L11" s="2512" t="s">
        <v>2650</v>
      </c>
      <c r="M11" s="1119">
        <f>SUMPRODUCT((区片价!B317:B337=I2)*(区片价!C3:F3=E2)*(区片价!C317:F337))</f>
        <v>0</v>
      </c>
      <c r="N11" s="1122">
        <f>SUMPRODUCT((因素修正幅度!B317:B337=I2)*(因素修正幅度!C3:F3=E2)*(因素修正幅度!C317:F337))</f>
        <v>0</v>
      </c>
      <c r="O11" s="1460"/>
      <c r="P11" s="1460"/>
      <c r="Q11" s="1460"/>
      <c r="R11" s="1707">
        <v>10</v>
      </c>
      <c r="S11" s="1708"/>
      <c r="T11" s="1707">
        <f t="shared" ca="1" si="0"/>
        <v>0</v>
      </c>
      <c r="U11" s="1708"/>
      <c r="V11" s="1707">
        <f t="shared" ca="1" si="1"/>
        <v>0</v>
      </c>
      <c r="W11" s="3072" t="s">
        <v>2651</v>
      </c>
      <c r="X11" s="1720" t="s">
        <v>2652</v>
      </c>
      <c r="Y11" s="1721">
        <f>$G$3</f>
        <v>3.6</v>
      </c>
      <c r="Z11" s="1721">
        <f t="shared" ref="Z11:AJ11" si="3">$G$3</f>
        <v>3.6</v>
      </c>
      <c r="AA11" s="1721">
        <f t="shared" si="3"/>
        <v>3.6</v>
      </c>
      <c r="AB11" s="1721">
        <f t="shared" si="3"/>
        <v>3.6</v>
      </c>
      <c r="AC11" s="1721">
        <f t="shared" si="3"/>
        <v>3.6</v>
      </c>
      <c r="AD11" s="1721">
        <f t="shared" si="3"/>
        <v>3.6</v>
      </c>
      <c r="AE11" s="1721">
        <f t="shared" si="3"/>
        <v>3.6</v>
      </c>
      <c r="AF11" s="1721">
        <f t="shared" si="3"/>
        <v>3.6</v>
      </c>
      <c r="AG11" s="1721">
        <f t="shared" si="3"/>
        <v>3.6</v>
      </c>
      <c r="AH11" s="1721">
        <f t="shared" si="3"/>
        <v>3.6</v>
      </c>
      <c r="AI11" s="1721">
        <f t="shared" si="3"/>
        <v>3.6</v>
      </c>
      <c r="AJ11" s="1721">
        <f t="shared" si="3"/>
        <v>3.6</v>
      </c>
    </row>
    <row r="12" spans="1:36" ht="25.5" thickBot="1">
      <c r="A12" s="3077" t="str">
        <f>IF(E2="住宅",2,"")</f>
        <v/>
      </c>
      <c r="B12" s="2545" t="s">
        <v>2653</v>
      </c>
      <c r="C12" s="944">
        <f>ROUND(C15*D15*E15*F15*G15*H15*I15*J15,4)</f>
        <v>1.32</v>
      </c>
      <c r="D12" s="2546" t="s">
        <v>2654</v>
      </c>
      <c r="E12" s="2547"/>
      <c r="F12" s="2547"/>
      <c r="G12" s="2548"/>
      <c r="H12" s="2548"/>
      <c r="I12" s="2548"/>
      <c r="J12" s="2549"/>
      <c r="L12" s="2550" t="s">
        <v>2655</v>
      </c>
      <c r="M12" s="1120">
        <f>SUMPRODUCT((区片价!B338:B344=I2)*(区片价!C3:F3=E2)*(区片价!C338:F344))</f>
        <v>0</v>
      </c>
      <c r="N12" s="1123">
        <f>SUMPRODUCT((因素修正幅度!B338:B344=I2)*(因素修正幅度!C3:F3=E2)*(因素修正幅度!C338:F344))</f>
        <v>0</v>
      </c>
      <c r="O12" s="1460"/>
      <c r="P12" s="1460"/>
      <c r="Q12" s="1460"/>
      <c r="R12" s="1707">
        <v>11</v>
      </c>
      <c r="S12" s="1708"/>
      <c r="T12" s="1707">
        <f t="shared" ca="1" si="0"/>
        <v>0</v>
      </c>
      <c r="U12" s="1708"/>
      <c r="V12" s="1707">
        <f t="shared" ca="1" si="1"/>
        <v>0</v>
      </c>
      <c r="W12" s="3072"/>
      <c r="X12" s="1722" t="s">
        <v>2656</v>
      </c>
      <c r="Y12" s="1718">
        <f t="shared" ref="Y12:AJ12" si="4">Y9</f>
        <v>0</v>
      </c>
      <c r="Z12" s="1718">
        <f t="shared" si="4"/>
        <v>0</v>
      </c>
      <c r="AA12" s="1718">
        <f t="shared" si="4"/>
        <v>0</v>
      </c>
      <c r="AB12" s="1718">
        <f t="shared" si="4"/>
        <v>0</v>
      </c>
      <c r="AC12" s="1718">
        <f t="shared" si="4"/>
        <v>0</v>
      </c>
      <c r="AD12" s="1718">
        <f t="shared" si="4"/>
        <v>0</v>
      </c>
      <c r="AE12" s="1718">
        <f t="shared" si="4"/>
        <v>0</v>
      </c>
      <c r="AF12" s="1718">
        <f t="shared" si="4"/>
        <v>0</v>
      </c>
      <c r="AG12" s="1718">
        <f t="shared" si="4"/>
        <v>0</v>
      </c>
      <c r="AH12" s="1718">
        <f t="shared" si="4"/>
        <v>0</v>
      </c>
      <c r="AI12" s="1718">
        <f t="shared" si="4"/>
        <v>0</v>
      </c>
      <c r="AJ12" s="1718">
        <f t="shared" si="4"/>
        <v>0</v>
      </c>
    </row>
    <row r="13" spans="1:36" ht="24">
      <c r="A13" s="3079"/>
      <c r="B13" s="2551" t="s">
        <v>2657</v>
      </c>
      <c r="C13" s="2552" t="s">
        <v>2658</v>
      </c>
      <c r="D13" s="2553" t="s">
        <v>2659</v>
      </c>
      <c r="E13" s="2553" t="s">
        <v>2660</v>
      </c>
      <c r="F13" s="20" t="s">
        <v>2661</v>
      </c>
      <c r="G13" s="2554" t="s">
        <v>2662</v>
      </c>
      <c r="H13" s="2554" t="s">
        <v>2662</v>
      </c>
      <c r="I13" s="2554" t="s">
        <v>2662</v>
      </c>
      <c r="J13" s="2555" t="s">
        <v>2662</v>
      </c>
      <c r="L13" s="1460"/>
      <c r="M13" s="1460"/>
      <c r="N13" s="1460"/>
      <c r="O13" s="1460"/>
      <c r="P13" s="1460"/>
      <c r="Q13" s="1460"/>
      <c r="R13" s="1707">
        <v>12</v>
      </c>
      <c r="S13" s="1708"/>
      <c r="T13" s="1707">
        <f t="shared" ca="1" si="0"/>
        <v>0</v>
      </c>
      <c r="U13" s="1708"/>
      <c r="V13" s="1707">
        <f t="shared" ca="1" si="1"/>
        <v>0</v>
      </c>
      <c r="W13" s="3072"/>
      <c r="X13" s="1722"/>
      <c r="Y13" s="1719">
        <f>(-0.163*(Y12^2)-0.59*Y12+7617)*(10^(-4))/Y11</f>
        <v>0.21158333333333335</v>
      </c>
      <c r="Z13" s="1719">
        <f t="shared" ref="Z13:AJ13" si="5">(-0.163*(Z12^2)-0.59*Z12+7617)*(10^(-4))/Z11</f>
        <v>0.21158333333333335</v>
      </c>
      <c r="AA13" s="1719">
        <f t="shared" si="5"/>
        <v>0.21158333333333335</v>
      </c>
      <c r="AB13" s="1719">
        <f t="shared" si="5"/>
        <v>0.21158333333333335</v>
      </c>
      <c r="AC13" s="1719">
        <f t="shared" si="5"/>
        <v>0.21158333333333335</v>
      </c>
      <c r="AD13" s="1719">
        <f t="shared" si="5"/>
        <v>0.21158333333333335</v>
      </c>
      <c r="AE13" s="1719">
        <f t="shared" si="5"/>
        <v>0.21158333333333335</v>
      </c>
      <c r="AF13" s="1719">
        <f t="shared" si="5"/>
        <v>0.21158333333333335</v>
      </c>
      <c r="AG13" s="1719">
        <f t="shared" si="5"/>
        <v>0.21158333333333335</v>
      </c>
      <c r="AH13" s="1719">
        <f t="shared" si="5"/>
        <v>0.21158333333333335</v>
      </c>
      <c r="AI13" s="1719">
        <f t="shared" si="5"/>
        <v>0.21158333333333335</v>
      </c>
      <c r="AJ13" s="1719">
        <f t="shared" si="5"/>
        <v>0.21158333333333335</v>
      </c>
    </row>
    <row r="14" spans="1:36" ht="15">
      <c r="A14" s="3079"/>
      <c r="B14" s="2556"/>
      <c r="C14" s="2557" t="s">
        <v>2663</v>
      </c>
      <c r="D14" s="2558" t="s">
        <v>2664</v>
      </c>
      <c r="E14" s="2558" t="s">
        <v>2664</v>
      </c>
      <c r="F14" s="2559" t="s">
        <v>2665</v>
      </c>
      <c r="G14" s="2560" t="s">
        <v>2666</v>
      </c>
      <c r="H14" s="2561"/>
      <c r="I14" s="2562"/>
      <c r="J14" s="2563"/>
      <c r="L14" s="1460"/>
      <c r="M14" s="1460"/>
      <c r="N14" s="1460"/>
      <c r="O14" s="1460"/>
      <c r="P14" s="1460"/>
      <c r="Q14" s="1460"/>
      <c r="R14" s="1707">
        <v>13</v>
      </c>
      <c r="S14" s="1708"/>
      <c r="T14" s="1707">
        <f t="shared" ca="1" si="0"/>
        <v>0</v>
      </c>
      <c r="U14" s="1708"/>
      <c r="V14" s="1707">
        <f t="shared" ca="1" si="1"/>
        <v>0</v>
      </c>
      <c r="W14" s="1711"/>
      <c r="X14" s="1711"/>
      <c r="Y14" s="1711"/>
      <c r="Z14" s="1711"/>
      <c r="AA14" s="1711"/>
      <c r="AB14" s="1711"/>
      <c r="AC14" s="1712"/>
      <c r="AD14" s="1713"/>
      <c r="AE14" s="1713"/>
      <c r="AF14" s="1713"/>
      <c r="AG14" s="1713"/>
      <c r="AH14" s="1713"/>
      <c r="AI14" s="1713"/>
      <c r="AJ14" s="1714"/>
    </row>
    <row r="15" spans="1:36" ht="15.75" thickBot="1">
      <c r="A15" s="3080"/>
      <c r="B15" s="2564" t="s">
        <v>2667</v>
      </c>
      <c r="C15" s="150">
        <f>IF(C14="有",1.1,1)</f>
        <v>1.1000000000000001</v>
      </c>
      <c r="D15" s="150">
        <f>IF(D14="有",1.1,1)</f>
        <v>1</v>
      </c>
      <c r="E15" s="150">
        <f>IF(E14="有",1.1,1)</f>
        <v>1</v>
      </c>
      <c r="F15" s="150">
        <f>IF(F14="500米范围内",1.2,IF(F14="500-1000米",1.1,1))</f>
        <v>1.2</v>
      </c>
      <c r="G15" s="976">
        <v>1</v>
      </c>
      <c r="H15" s="976">
        <v>1</v>
      </c>
      <c r="I15" s="976">
        <v>1</v>
      </c>
      <c r="J15" s="977">
        <v>1</v>
      </c>
      <c r="L15" s="2565" t="s">
        <v>2668</v>
      </c>
      <c r="M15" s="945" t="s">
        <v>2669</v>
      </c>
      <c r="N15" s="945" t="s">
        <v>2670</v>
      </c>
      <c r="O15" s="945" t="s">
        <v>2671</v>
      </c>
      <c r="P15" s="2566" t="s">
        <v>2672</v>
      </c>
      <c r="Q15" s="1460"/>
      <c r="R15" s="1707">
        <v>14</v>
      </c>
      <c r="S15" s="1708"/>
      <c r="T15" s="1707">
        <f t="shared" ca="1" si="0"/>
        <v>0</v>
      </c>
      <c r="U15" s="1708"/>
      <c r="V15" s="1707">
        <f t="shared" ca="1" si="1"/>
        <v>0</v>
      </c>
      <c r="W15" s="1711"/>
      <c r="X15" s="1711"/>
      <c r="Y15" s="1711"/>
      <c r="Z15" s="1711"/>
      <c r="AA15" s="1711"/>
      <c r="AB15" s="1711"/>
      <c r="AC15" s="1712"/>
      <c r="AD15" s="1713"/>
      <c r="AE15" s="1713"/>
      <c r="AF15" s="1713"/>
      <c r="AG15" s="1713"/>
      <c r="AH15" s="1713"/>
      <c r="AI15" s="1713"/>
      <c r="AJ15" s="1714"/>
    </row>
    <row r="16" spans="1:36" ht="24">
      <c r="A16" s="3077">
        <f>IF(E2="办公",2,IF(E2="工业",2,IF(E2="住宅",3,IF(E2="商业",IF(C8="不临58条商业街",2,3)))))</f>
        <v>2</v>
      </c>
      <c r="B16" s="2532" t="s">
        <v>2673</v>
      </c>
      <c r="C16" s="1883">
        <f>ROUND(SUM(G17:J17)/C17,0)</f>
        <v>31</v>
      </c>
      <c r="D16" s="2567" t="s">
        <v>2674</v>
      </c>
      <c r="E16" s="2568" t="s">
        <v>2820</v>
      </c>
      <c r="F16" s="2569" t="s">
        <v>2821</v>
      </c>
      <c r="G16" s="2570" t="s">
        <v>2822</v>
      </c>
      <c r="H16" s="2570" t="s">
        <v>2823</v>
      </c>
      <c r="I16" s="2570"/>
      <c r="J16" s="2571"/>
      <c r="L16" s="1458" t="s">
        <v>2675</v>
      </c>
      <c r="M16" s="947">
        <v>0.25</v>
      </c>
      <c r="N16" s="947">
        <v>0.2</v>
      </c>
      <c r="O16" s="947">
        <v>0.15</v>
      </c>
      <c r="P16" s="1459">
        <v>0.1</v>
      </c>
      <c r="Q16" s="1460"/>
      <c r="R16" s="1707">
        <v>15</v>
      </c>
      <c r="S16" s="1708"/>
      <c r="T16" s="1707">
        <f t="shared" ca="1" si="0"/>
        <v>0</v>
      </c>
      <c r="U16" s="1708"/>
      <c r="V16" s="1707">
        <f t="shared" ca="1" si="1"/>
        <v>0</v>
      </c>
      <c r="W16" s="1711"/>
      <c r="X16" s="1711"/>
      <c r="Y16" s="1711"/>
      <c r="Z16" s="1711"/>
      <c r="AA16" s="1711"/>
      <c r="AB16" s="1711"/>
      <c r="AC16" s="1712"/>
      <c r="AD16" s="1713"/>
      <c r="AE16" s="1713"/>
      <c r="AF16" s="1713"/>
      <c r="AG16" s="1713"/>
      <c r="AH16" s="1713"/>
      <c r="AI16" s="1713"/>
      <c r="AJ16" s="1714"/>
    </row>
    <row r="17" spans="1:37" ht="13.5" thickBot="1">
      <c r="A17" s="3078"/>
      <c r="B17" s="2572" t="s">
        <v>2676</v>
      </c>
      <c r="C17" s="949">
        <f>SUMPRODUCT((修正!A2:A5=E2)*(修正!B1:M1=G2)*(修正!B2:M5))</f>
        <v>3.5</v>
      </c>
      <c r="D17" s="2573" t="s">
        <v>2677</v>
      </c>
      <c r="E17" s="948" t="str">
        <f>IF(OR(G2="八级",G2="九级",G2="十级",G2="十一级",G2="十二级"),"五通一平","七通一平")</f>
        <v>七通一平</v>
      </c>
      <c r="F17" s="949" t="s">
        <v>2678</v>
      </c>
      <c r="G17" s="949">
        <f>SUMPRODUCT((七通一平=G16)*(修正!B1:M1=G2)*(修正!B6:M14))</f>
        <v>60</v>
      </c>
      <c r="H17" s="949">
        <f>SUMPRODUCT((七通一平=H16)*(修正!B1:M1=G2)*(修正!B6:M14))</f>
        <v>50</v>
      </c>
      <c r="I17" s="949">
        <f>SUMPRODUCT((七通一平=I16)*(修正!B1:M1=G2)*(修正!B6:M14))</f>
        <v>0</v>
      </c>
      <c r="J17" s="950">
        <f>SUMPRODUCT((七通一平=J16)*(修正!B1:M1=G2)*(修正!B6:M14))</f>
        <v>0</v>
      </c>
      <c r="L17" s="1462" t="s">
        <v>2679</v>
      </c>
      <c r="M17" s="128">
        <f ca="1">ROUND($E$20*(1+M16),3)</f>
        <v>5.3999999999999999E-2</v>
      </c>
      <c r="N17" s="128">
        <f ca="1">ROUND($E$20*(1+N16),3)</f>
        <v>5.1999999999999998E-2</v>
      </c>
      <c r="O17" s="128">
        <f ca="1">ROUND($E$20*(1+O16),3)</f>
        <v>0.05</v>
      </c>
      <c r="P17" s="1463">
        <f ca="1">ROUND($E$20*(1+P16),3)</f>
        <v>4.8000000000000001E-2</v>
      </c>
      <c r="Q17" s="1460"/>
      <c r="R17" s="1460"/>
      <c r="S17" s="1460"/>
      <c r="T17" s="1460"/>
      <c r="U17" s="1460"/>
      <c r="V17" s="1460"/>
      <c r="W17" s="1460"/>
      <c r="X17" s="1460"/>
      <c r="Y17" s="1460"/>
      <c r="Z17" s="1461"/>
      <c r="AA17" s="1461"/>
      <c r="AB17" s="1461"/>
      <c r="AC17" s="1461"/>
      <c r="AD17" s="1461"/>
      <c r="AE17" s="1460"/>
      <c r="AF17" s="1460"/>
      <c r="AG17" s="2505"/>
      <c r="AH17" s="2505"/>
      <c r="AI17" s="2505"/>
      <c r="AJ17" s="2505"/>
    </row>
    <row r="18" spans="1:37" s="2524" customFormat="1" ht="15.75" thickBot="1">
      <c r="A18" s="2574" t="s">
        <v>2680</v>
      </c>
      <c r="B18" s="2575" t="s">
        <v>2681</v>
      </c>
      <c r="C18" s="951">
        <f>SUMIF(修正!C18:C39,E3,修正!E18:E39)</f>
        <v>1</v>
      </c>
      <c r="D18" s="2576"/>
      <c r="E18" s="2577"/>
      <c r="F18" s="2578"/>
      <c r="G18" s="2579"/>
      <c r="H18" s="2579"/>
      <c r="I18" s="2579"/>
      <c r="J18" s="2580"/>
      <c r="K18" s="2581"/>
      <c r="O18" s="1460"/>
      <c r="P18" s="1460"/>
      <c r="Q18" s="1460"/>
      <c r="R18" s="1460"/>
      <c r="S18" s="1460"/>
      <c r="T18" s="1460"/>
      <c r="U18" s="1460"/>
      <c r="V18" s="1460"/>
      <c r="W18" s="1460"/>
      <c r="X18" s="1460"/>
      <c r="Y18" s="1460"/>
      <c r="Z18" s="1460"/>
      <c r="AA18" s="1460"/>
      <c r="AB18" s="1460"/>
      <c r="AC18" s="1460"/>
      <c r="AD18" s="1460"/>
      <c r="AE18" s="1461"/>
      <c r="AF18" s="1461"/>
      <c r="AG18" s="2582"/>
      <c r="AH18" s="2582"/>
      <c r="AI18" s="2582"/>
    </row>
    <row r="19" spans="1:37" s="2524" customFormat="1" ht="29.25" thickBot="1">
      <c r="A19" s="2574" t="s">
        <v>2682</v>
      </c>
      <c r="B19" s="2575" t="s">
        <v>2683</v>
      </c>
      <c r="C19" s="952">
        <f>ROUND(IF(H19="按公示增长率计算",SUMPRODUCT((地价!A3:A22=YEAR(G19)&amp;"-"&amp;ROUNDUP(MONTH(G19)/3,0))*(地价!X2:AB2=E2)*(地价!X3:AB22)),IF(H19="地价指数",M20/M19,(1+I19)^O19)),4)</f>
        <v>1.2928999999999999</v>
      </c>
      <c r="D19" s="2583" t="s">
        <v>2684</v>
      </c>
      <c r="E19" s="953">
        <v>41640</v>
      </c>
      <c r="F19" s="2583" t="s">
        <v>2685</v>
      </c>
      <c r="G19" s="954">
        <f>'数据-取费表'!B2</f>
        <v>43257</v>
      </c>
      <c r="H19" s="2584" t="s">
        <v>2824</v>
      </c>
      <c r="I19" s="955" t="str">
        <f>IF(H19="季度增幅（自定义）",SUMIF(N21:N24,E2,O21:O24),"")</f>
        <v/>
      </c>
      <c r="J19" s="2580"/>
      <c r="K19" s="2581"/>
      <c r="L19" s="2585" t="s">
        <v>2686</v>
      </c>
      <c r="M19" s="1824">
        <f>ROUND(SUMIF(地价!B2:F2,E2,地价!B22:F22),0)</f>
        <v>258</v>
      </c>
      <c r="N19" s="1464" t="s">
        <v>2687</v>
      </c>
      <c r="O19" s="956">
        <f>ROUNDDOWN(DATEDIF(E19,G19,"M")/3,0)</f>
        <v>17</v>
      </c>
      <c r="P19" s="1461"/>
      <c r="R19" s="1460"/>
      <c r="S19" s="1460"/>
      <c r="T19" s="1460"/>
      <c r="U19" s="1460"/>
      <c r="V19" s="1460"/>
      <c r="W19" s="1460"/>
      <c r="X19" s="1460"/>
      <c r="Y19" s="1460"/>
      <c r="Z19" s="1460"/>
      <c r="AA19" s="1460"/>
      <c r="AB19" s="1460"/>
      <c r="AC19" s="1460"/>
      <c r="AD19" s="1460"/>
      <c r="AE19" s="2581"/>
      <c r="AF19" s="2586"/>
      <c r="AG19" s="2587"/>
      <c r="AH19" s="2582"/>
      <c r="AI19" s="2588"/>
      <c r="AJ19" s="2588"/>
      <c r="AK19" s="2588"/>
    </row>
    <row r="20" spans="1:37" s="2524" customFormat="1" ht="27.75" thickBot="1">
      <c r="A20" s="2589" t="s">
        <v>2688</v>
      </c>
      <c r="B20" s="2590" t="s">
        <v>2689</v>
      </c>
      <c r="C20" s="957">
        <f ca="1">ROUND(POWER(1+G20,J20-I20)*(POWER(1+G20,I20)-1)/(POWER(1+G20,J20)-1),4)</f>
        <v>1</v>
      </c>
      <c r="D20" s="2591" t="s">
        <v>2690</v>
      </c>
      <c r="E20" s="1854">
        <f ca="1">存贷款利率!D4/100</f>
        <v>4.3499999999999997E-2</v>
      </c>
      <c r="F20" s="2591" t="s">
        <v>2679</v>
      </c>
      <c r="G20" s="963">
        <f ca="1">SUMIF(M15:P15,E2,M17:P17)</f>
        <v>5.1999999999999998E-2</v>
      </c>
      <c r="H20" s="2591" t="s">
        <v>2691</v>
      </c>
      <c r="I20" s="964">
        <f>'数据-取费表'!B13</f>
        <v>50</v>
      </c>
      <c r="J20" s="965">
        <f>IF(E2="住宅",70,IF(E2="商业",40,50))</f>
        <v>50</v>
      </c>
      <c r="K20" s="2581"/>
      <c r="L20" s="2592" t="s">
        <v>2692</v>
      </c>
      <c r="M20" s="1825">
        <f>ROUND(SUMPRODUCT((地价!A4:A22=YEAR(G19)&amp;"-"&amp;ROUNDUP(MONTH(G19)/3,0))*(地价!B2:F2=E2)*(地价!B4:F22)),0)</f>
        <v>333</v>
      </c>
      <c r="N20" s="2593" t="s">
        <v>2693</v>
      </c>
      <c r="O20" s="2594" t="s">
        <v>2694</v>
      </c>
      <c r="P20" s="2595" t="s">
        <v>2695</v>
      </c>
      <c r="R20" s="1460"/>
      <c r="S20" s="1460"/>
      <c r="T20" s="1460"/>
      <c r="U20" s="1460"/>
      <c r="V20" s="1460"/>
      <c r="W20" s="1460"/>
      <c r="X20" s="1460"/>
      <c r="Y20" s="1460"/>
      <c r="Z20" s="1460"/>
      <c r="AA20" s="1460"/>
      <c r="AB20" s="1460"/>
      <c r="AC20" s="1460"/>
      <c r="AD20" s="1460"/>
      <c r="AE20" s="2581"/>
      <c r="AF20" s="2581"/>
    </row>
    <row r="21" spans="1:37" s="2524" customFormat="1" ht="14.25">
      <c r="A21" s="2596" t="s">
        <v>2696</v>
      </c>
      <c r="B21" s="2597" t="s">
        <v>2697</v>
      </c>
      <c r="C21" s="966">
        <f>IF(B21="容积率修正",IF(G3&lt;=10,D22,J22),C23)</f>
        <v>0.99219999999999997</v>
      </c>
      <c r="D21" s="2598"/>
      <c r="E21" s="2598"/>
      <c r="F21" s="2598"/>
      <c r="G21" s="2598"/>
      <c r="H21" s="2598"/>
      <c r="I21" s="2598"/>
      <c r="J21" s="2599"/>
      <c r="K21" s="2581"/>
      <c r="N21" s="2600" t="s">
        <v>2698</v>
      </c>
      <c r="O21" s="1662"/>
      <c r="P21" s="1663">
        <f>SUMPRODUCT((地价!A3:A22=YEAR(G19)&amp;"-"&amp;ROUNDUP(MONTH(G19)/3,0))*(地价!AD2:AH2=N21)*(地价!AD3:AH22))</f>
        <v>1.5699999999999999E-2</v>
      </c>
      <c r="R21" s="1460"/>
      <c r="S21" s="1460"/>
      <c r="T21" s="1460"/>
      <c r="U21" s="1460"/>
      <c r="V21" s="1460"/>
      <c r="W21" s="1460"/>
      <c r="X21" s="1460"/>
      <c r="Y21" s="1460"/>
      <c r="Z21" s="1460"/>
      <c r="AA21" s="1460"/>
      <c r="AB21" s="1460"/>
      <c r="AC21" s="1460"/>
      <c r="AD21" s="1460"/>
      <c r="AE21" s="2581"/>
      <c r="AF21" s="2581"/>
    </row>
    <row r="22" spans="1:37" s="2524" customFormat="1" ht="14.25">
      <c r="A22" s="2601">
        <v>1</v>
      </c>
      <c r="B22" s="2602" t="s">
        <v>2699</v>
      </c>
      <c r="C22" s="1897" t="s">
        <v>2700</v>
      </c>
      <c r="D22" s="1897">
        <f>IF(E22=G22,F22,IF(G3&lt;=10,ROUND(F22+(H22-F22)*(G3-E22)/(G22-E22),4),"——"))</f>
        <v>0.99219999999999997</v>
      </c>
      <c r="E22" s="941">
        <f>ROUNDDOWN(G3,1)</f>
        <v>3.6</v>
      </c>
      <c r="F22" s="189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0.99219999999999997</v>
      </c>
      <c r="G22" s="941">
        <f>ROUNDUP(G3,1)</f>
        <v>3.6</v>
      </c>
      <c r="H22" s="18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0.99219999999999997</v>
      </c>
      <c r="I22" s="1897" t="s">
        <v>104</v>
      </c>
      <c r="J22" s="967" t="str">
        <f>IF(G3&gt;10,D113,"——")</f>
        <v>——</v>
      </c>
      <c r="K22" s="2581"/>
      <c r="N22" s="2600" t="s">
        <v>2701</v>
      </c>
      <c r="O22" s="1662"/>
      <c r="P22" s="1663">
        <f>SUMPRODUCT((地价!A3:A22=YEAR(G19)&amp;"-"&amp;ROUNDUP(MONTH(G19)/3,0))*(地价!AD2:AH2=N22)*(地价!AD3:AH22))</f>
        <v>1.5699999999999999E-2</v>
      </c>
      <c r="R22" s="1460"/>
      <c r="S22" s="1460"/>
      <c r="T22" s="1460"/>
      <c r="U22" s="1460"/>
      <c r="V22" s="1460"/>
      <c r="W22" s="1460"/>
      <c r="X22" s="1460"/>
      <c r="Y22" s="1460"/>
      <c r="Z22" s="1460"/>
      <c r="AA22" s="1460"/>
      <c r="AB22" s="1460"/>
      <c r="AC22" s="1460"/>
      <c r="AD22" s="1460"/>
      <c r="AE22" s="2581"/>
      <c r="AF22" s="2581"/>
    </row>
    <row r="23" spans="1:37" ht="27">
      <c r="A23" s="2601">
        <v>2</v>
      </c>
      <c r="B23" s="2602" t="s">
        <v>2702</v>
      </c>
      <c r="C23" s="958">
        <f>ROUND(IF(G3&gt;1,IF(I3&lt;7,SUMPRODUCT((B93:B98=I3)*(C92:N92=G2)*(C93:N98)),SUMIF(C92:N92,G2,C100:N100)),IF(I3&lt;7,SUMPRODUCT((B102:B107=I3)*(C92:N92=G2)*(C102:N107)),SUMIF(C92:N92,G2,C109:N109))),4)</f>
        <v>0</v>
      </c>
      <c r="D23" s="2561"/>
      <c r="E23" s="2561"/>
      <c r="F23" s="2603"/>
      <c r="G23" s="2604"/>
      <c r="H23" s="2605"/>
      <c r="I23" s="2606"/>
      <c r="J23" s="2607"/>
      <c r="N23" s="2600" t="s">
        <v>2703</v>
      </c>
      <c r="O23" s="1662"/>
      <c r="P23" s="1663">
        <f>SUMPRODUCT((地价!A3:A22=YEAR(G19)&amp;"-"&amp;ROUNDUP(MONTH(G19)/3,0))*(地价!AD2:AH2=N23)*(地价!AD3:AH22))</f>
        <v>2.5000000000000001E-2</v>
      </c>
      <c r="R23" s="1460"/>
      <c r="S23" s="1460"/>
      <c r="T23" s="1460"/>
      <c r="U23" s="1460"/>
      <c r="V23" s="1460"/>
      <c r="W23" s="1460"/>
      <c r="X23" s="1460"/>
      <c r="Y23" s="1460"/>
      <c r="Z23" s="1460"/>
      <c r="AA23" s="1460"/>
      <c r="AB23" s="1460"/>
      <c r="AC23" s="1460"/>
      <c r="AD23" s="1460"/>
      <c r="AE23" s="1461"/>
      <c r="AF23" s="1461"/>
      <c r="AK23" s="2582"/>
    </row>
    <row r="24" spans="1:37" s="2524" customFormat="1" ht="15.75" thickBot="1">
      <c r="A24" s="2608" t="s">
        <v>2704</v>
      </c>
      <c r="B24" s="2609" t="s">
        <v>2705</v>
      </c>
      <c r="C24" s="968">
        <f>SUMIF(A46:A88,E2,B46:B88)</f>
        <v>1.052</v>
      </c>
      <c r="D24" s="2610"/>
      <c r="E24" s="2611"/>
      <c r="F24" s="2611"/>
      <c r="G24" s="2611"/>
      <c r="H24" s="2611"/>
      <c r="I24" s="2611"/>
      <c r="J24" s="2612"/>
      <c r="K24" s="2581"/>
      <c r="N24" s="2613" t="s">
        <v>2706</v>
      </c>
      <c r="O24" s="1664"/>
      <c r="P24" s="1665">
        <f>SUMPRODUCT((地价!A3:A22=YEAR(G19)&amp;"-"&amp;ROUNDUP(MONTH(G19)/3,0))*(地价!AD2:AH2=N24)*(地价!AD3:AH22))</f>
        <v>1.35E-2</v>
      </c>
      <c r="R24" s="1460"/>
      <c r="S24" s="1460"/>
      <c r="T24" s="1460"/>
      <c r="U24" s="1460"/>
      <c r="V24" s="1460"/>
      <c r="W24" s="1460"/>
      <c r="X24" s="1460"/>
      <c r="Y24" s="1460"/>
      <c r="Z24" s="1460"/>
      <c r="AA24" s="1460"/>
      <c r="AB24" s="1460"/>
      <c r="AC24" s="1460"/>
      <c r="AD24" s="1460"/>
      <c r="AE24" s="2581"/>
      <c r="AF24" s="2581"/>
    </row>
    <row r="25" spans="1:37" ht="15" thickBot="1">
      <c r="A25" s="2589" t="s">
        <v>2707</v>
      </c>
      <c r="B25" s="2614" t="s">
        <v>2708</v>
      </c>
      <c r="C25" s="959"/>
      <c r="D25" s="2535"/>
      <c r="E25" s="2535"/>
      <c r="F25" s="2615"/>
      <c r="G25" s="2535"/>
      <c r="H25" s="2535"/>
      <c r="I25" s="2535"/>
      <c r="J25" s="2536"/>
      <c r="L25" s="1460"/>
      <c r="M25" s="1460"/>
      <c r="N25" s="2616" t="s">
        <v>2709</v>
      </c>
      <c r="O25" s="1666"/>
      <c r="P25" s="1665">
        <f>SUMPRODUCT((地价!A3:A22=YEAR(G19)&amp;"-"&amp;ROUNDUP(MONTH(G19)/3,0))*(地价!AD2:AH2=N25)*(地价!AD3:AH22))</f>
        <v>2.2700000000000001E-2</v>
      </c>
      <c r="R25" s="1460"/>
      <c r="S25" s="1460"/>
      <c r="T25" s="1460"/>
      <c r="U25" s="1460"/>
      <c r="V25" s="1460"/>
      <c r="W25" s="1460"/>
      <c r="X25" s="1460"/>
      <c r="Y25" s="1460"/>
      <c r="Z25" s="1460"/>
      <c r="AA25" s="1460"/>
      <c r="AB25" s="1460"/>
      <c r="AC25" s="1460"/>
      <c r="AD25" s="1460"/>
      <c r="AE25" s="1461"/>
      <c r="AF25" s="1461"/>
    </row>
    <row r="26" spans="1:37" ht="15">
      <c r="A26" s="2617"/>
      <c r="B26" s="2602" t="s">
        <v>2710</v>
      </c>
      <c r="C26" s="123">
        <f ca="1">E29+SUM(E33:E39)</f>
        <v>0</v>
      </c>
      <c r="D26" s="2618"/>
      <c r="E26" s="2561"/>
      <c r="F26" s="2619"/>
      <c r="G26" s="2561"/>
      <c r="H26" s="2561"/>
      <c r="I26" s="2561"/>
      <c r="J26" s="2620"/>
      <c r="L26" s="1460"/>
      <c r="M26" s="1460"/>
      <c r="N26" s="1460"/>
      <c r="O26" s="1460"/>
      <c r="P26" s="1460"/>
      <c r="Q26" s="1460"/>
      <c r="R26" s="1460"/>
      <c r="S26" s="1460"/>
      <c r="T26" s="1460"/>
      <c r="U26" s="1460"/>
      <c r="V26" s="1460"/>
      <c r="W26" s="1460"/>
      <c r="X26" s="1460"/>
      <c r="Y26" s="1460"/>
      <c r="Z26" s="1460"/>
      <c r="AA26" s="1460"/>
      <c r="AB26" s="1460"/>
      <c r="AC26" s="1460"/>
      <c r="AD26" s="1460"/>
      <c r="AE26" s="1461"/>
      <c r="AF26" s="1461"/>
    </row>
    <row r="27" spans="1:37" ht="15.75" thickBot="1">
      <c r="A27" s="2617"/>
      <c r="B27" s="2621" t="s">
        <v>2711</v>
      </c>
      <c r="C27" s="960" t="e">
        <f ca="1">E30+SUM(I33:I39)</f>
        <v>#DIV/0!</v>
      </c>
      <c r="D27" s="2622"/>
      <c r="E27" s="2623"/>
      <c r="F27" s="2624"/>
      <c r="G27" s="2623"/>
      <c r="H27" s="2623"/>
      <c r="I27" s="2623"/>
      <c r="J27" s="2625"/>
      <c r="L27" s="1460"/>
      <c r="M27" s="1460"/>
      <c r="N27" s="1460"/>
      <c r="O27" s="1460"/>
      <c r="P27" s="1460"/>
      <c r="Q27" s="1460"/>
      <c r="R27" s="1460"/>
      <c r="S27" s="1460"/>
      <c r="T27" s="1460"/>
      <c r="U27" s="1460"/>
      <c r="V27" s="1460"/>
      <c r="W27" s="1460"/>
      <c r="X27" s="1460"/>
      <c r="Y27" s="1460"/>
      <c r="Z27" s="1460"/>
      <c r="AA27" s="1460"/>
      <c r="AB27" s="1460"/>
      <c r="AC27" s="1460"/>
      <c r="AD27" s="1460"/>
      <c r="AE27" s="1461"/>
      <c r="AF27" s="1461"/>
    </row>
    <row r="28" spans="1:37" ht="15">
      <c r="A28" s="2589"/>
      <c r="B28" s="2626" t="s">
        <v>2712</v>
      </c>
      <c r="C28" s="2627" t="s">
        <v>2713</v>
      </c>
      <c r="D28" s="2627" t="s">
        <v>2714</v>
      </c>
      <c r="E28" s="2628" t="s">
        <v>2715</v>
      </c>
      <c r="F28" s="2629"/>
      <c r="G28" s="2548"/>
      <c r="H28" s="2548"/>
      <c r="I28" s="2548"/>
      <c r="J28" s="2549"/>
      <c r="L28" s="1460"/>
      <c r="M28" s="1460"/>
      <c r="N28" s="1460"/>
      <c r="O28" s="1460"/>
      <c r="P28" s="1460"/>
      <c r="Q28" s="1460"/>
      <c r="R28" s="1460"/>
      <c r="S28" s="1460"/>
      <c r="T28" s="1460"/>
      <c r="U28" s="1460"/>
      <c r="V28" s="1460"/>
      <c r="W28" s="1460"/>
      <c r="X28" s="1460"/>
      <c r="Y28" s="1460"/>
      <c r="Z28" s="1460"/>
      <c r="AA28" s="1460"/>
      <c r="AB28" s="1460"/>
      <c r="AC28" s="1460"/>
      <c r="AD28" s="1460"/>
      <c r="AE28" s="1461"/>
      <c r="AF28" s="1461"/>
    </row>
    <row r="29" spans="1:37">
      <c r="A29" s="2630"/>
      <c r="B29" s="2631" t="s">
        <v>2716</v>
      </c>
      <c r="C29" s="123">
        <f ca="1">ROUND(C5*C18*C19*C20*C21*C24,0)</f>
        <v>31240</v>
      </c>
      <c r="D29" s="2632"/>
      <c r="E29" s="972">
        <f ca="1">ROUND(C29*D29,0)</f>
        <v>0</v>
      </c>
      <c r="F29" s="2633" t="s">
        <v>2717</v>
      </c>
      <c r="G29" s="2634"/>
      <c r="H29" s="2634"/>
      <c r="I29" s="2634"/>
      <c r="J29" s="2635"/>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2505"/>
      <c r="AH29" s="2505"/>
      <c r="AI29" s="2505"/>
      <c r="AJ29" s="2505"/>
    </row>
    <row r="30" spans="1:37" ht="25.5" thickBot="1">
      <c r="A30" s="2636"/>
      <c r="B30" s="2637" t="s">
        <v>2718</v>
      </c>
      <c r="C30" s="150">
        <f ca="1">ROUND(IF(E2="工业",C29*M39,C29*M38),0)</f>
        <v>7810</v>
      </c>
      <c r="D30" s="2638">
        <f>项目基本情况!C12</f>
        <v>218.48</v>
      </c>
      <c r="E30" s="972">
        <f ca="1">ROUND(C30*D30,0)</f>
        <v>1706329</v>
      </c>
      <c r="F30" s="2639" t="s">
        <v>2719</v>
      </c>
      <c r="G30" s="2640"/>
      <c r="H30" s="2640"/>
      <c r="I30" s="2640"/>
      <c r="J30" s="2641"/>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2505"/>
      <c r="AH30" s="2505"/>
      <c r="AI30" s="2505"/>
      <c r="AJ30" s="2505"/>
    </row>
    <row r="31" spans="1:37">
      <c r="A31" s="2642"/>
      <c r="B31" s="2643" t="s">
        <v>2720</v>
      </c>
      <c r="C31" s="2644" t="s">
        <v>2721</v>
      </c>
      <c r="D31" s="2548"/>
      <c r="E31" s="2644"/>
      <c r="F31" s="2644"/>
      <c r="G31" s="2546" t="s">
        <v>2722</v>
      </c>
      <c r="H31" s="2548"/>
      <c r="I31" s="2645"/>
      <c r="J31" s="2549"/>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2505"/>
      <c r="AH31" s="2505"/>
      <c r="AI31" s="2505"/>
      <c r="AJ31" s="2505"/>
    </row>
    <row r="32" spans="1:37" ht="24">
      <c r="A32" s="2630"/>
      <c r="B32" s="2646"/>
      <c r="C32" s="482" t="s">
        <v>2713</v>
      </c>
      <c r="D32" s="479" t="s">
        <v>2714</v>
      </c>
      <c r="E32" s="479" t="s">
        <v>2715</v>
      </c>
      <c r="F32" s="367" t="s">
        <v>2723</v>
      </c>
      <c r="G32" s="958" t="s">
        <v>2713</v>
      </c>
      <c r="H32" s="958" t="s">
        <v>2714</v>
      </c>
      <c r="I32" s="958" t="s">
        <v>2715</v>
      </c>
      <c r="J32" s="193"/>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2505"/>
      <c r="AH32" s="2505"/>
      <c r="AI32" s="2505"/>
      <c r="AJ32" s="2505"/>
    </row>
    <row r="33" spans="1:37">
      <c r="A33" s="3089" t="s">
        <v>2724</v>
      </c>
      <c r="B33" s="2647" t="s">
        <v>2725</v>
      </c>
      <c r="C33" s="123">
        <f ca="1">ROUND(D5*C19*C20*C24*F33,0)</f>
        <v>0</v>
      </c>
      <c r="D33" s="2632"/>
      <c r="E33" s="117">
        <f t="shared" ref="E33:E39" ca="1" si="6">ROUND(C33*D33,0)</f>
        <v>0</v>
      </c>
      <c r="F33" s="117">
        <f>SUMIF(修正!A45:A56,G2,修正!B45:B56)</f>
        <v>0.8</v>
      </c>
      <c r="G33" s="117">
        <f t="shared" ref="G33:G39" ca="1" si="7">ROUND(IF(E2="工业",C33*$M$39,C33*$M$38),0)</f>
        <v>0</v>
      </c>
      <c r="H33" s="117">
        <f>D33</f>
        <v>0</v>
      </c>
      <c r="I33" s="117">
        <f t="shared" ref="I33:I39" ca="1" si="8">ROUND(G33*H33,0)</f>
        <v>0</v>
      </c>
      <c r="J33" s="2648"/>
      <c r="L33" s="1460"/>
      <c r="M33" s="1460"/>
      <c r="N33" s="1460"/>
      <c r="O33" s="1460"/>
      <c r="P33" s="1460"/>
      <c r="Q33" s="1460"/>
      <c r="R33" s="1460"/>
      <c r="S33" s="1460"/>
      <c r="T33" s="1460"/>
      <c r="U33" s="1460"/>
      <c r="V33" s="1460"/>
      <c r="W33" s="1460"/>
      <c r="X33" s="1460"/>
      <c r="Y33" s="1460"/>
      <c r="Z33" s="1461"/>
      <c r="AA33" s="1461"/>
      <c r="AB33" s="1461"/>
      <c r="AC33" s="1461"/>
      <c r="AD33" s="1461"/>
      <c r="AE33" s="1461"/>
      <c r="AF33" s="1461"/>
    </row>
    <row r="34" spans="1:37">
      <c r="A34" s="3090"/>
      <c r="B34" s="2552" t="s">
        <v>2726</v>
      </c>
      <c r="C34" s="123">
        <f ca="1">ROUND(D5*C19*C20*C24*F34,0)</f>
        <v>0</v>
      </c>
      <c r="D34" s="2632"/>
      <c r="E34" s="117">
        <f t="shared" ca="1" si="6"/>
        <v>0</v>
      </c>
      <c r="F34" s="117">
        <f>SUMIF(修正!A45:A56,G2,修正!C45:C56)</f>
        <v>0.5</v>
      </c>
      <c r="G34" s="117">
        <f t="shared" ca="1" si="7"/>
        <v>0</v>
      </c>
      <c r="H34" s="117">
        <f t="shared" ref="H34:H39" si="9">D34</f>
        <v>0</v>
      </c>
      <c r="I34" s="117">
        <f t="shared" ca="1" si="8"/>
        <v>0</v>
      </c>
      <c r="J34" s="2648"/>
      <c r="L34" s="1460"/>
      <c r="M34" s="1460"/>
      <c r="N34" s="1460"/>
      <c r="O34" s="1460"/>
      <c r="P34" s="1460"/>
      <c r="Q34" s="1460"/>
      <c r="R34" s="1460"/>
      <c r="S34" s="1460"/>
      <c r="T34" s="1460"/>
      <c r="U34" s="1460"/>
      <c r="V34" s="1460"/>
      <c r="W34" s="1460"/>
      <c r="X34" s="1460"/>
      <c r="Y34" s="1460"/>
      <c r="Z34" s="1461"/>
      <c r="AA34" s="1461"/>
      <c r="AB34" s="1461"/>
      <c r="AC34" s="1461"/>
      <c r="AD34" s="1461"/>
      <c r="AE34" s="1461"/>
      <c r="AF34" s="1461"/>
    </row>
    <row r="35" spans="1:37">
      <c r="A35" s="3090"/>
      <c r="B35" s="2552" t="s">
        <v>2727</v>
      </c>
      <c r="C35" s="123">
        <f ca="1">ROUND(D5*C19*C20*C24*F35,0)</f>
        <v>0</v>
      </c>
      <c r="D35" s="2632"/>
      <c r="E35" s="117">
        <f t="shared" ca="1" si="6"/>
        <v>0</v>
      </c>
      <c r="F35" s="117">
        <f>SUMIF(修正!A45:A56,G2,修正!D45:D56)</f>
        <v>0.36</v>
      </c>
      <c r="G35" s="117">
        <f t="shared" ca="1" si="7"/>
        <v>0</v>
      </c>
      <c r="H35" s="117">
        <f t="shared" si="9"/>
        <v>0</v>
      </c>
      <c r="I35" s="117">
        <f t="shared" ca="1" si="8"/>
        <v>0</v>
      </c>
      <c r="J35" s="2648"/>
      <c r="L35" s="1460"/>
      <c r="M35" s="1460"/>
      <c r="N35" s="1460"/>
      <c r="O35" s="1460"/>
      <c r="P35" s="1460"/>
      <c r="Q35" s="1460"/>
      <c r="R35" s="1460"/>
      <c r="S35" s="1460"/>
      <c r="T35" s="1460"/>
      <c r="U35" s="1460"/>
      <c r="V35" s="1460"/>
      <c r="W35" s="1460"/>
      <c r="X35" s="1460"/>
      <c r="Y35" s="1460"/>
      <c r="Z35" s="1461"/>
      <c r="AA35" s="1461"/>
      <c r="AB35" s="1461"/>
      <c r="AC35" s="1461"/>
      <c r="AD35" s="1461"/>
      <c r="AE35" s="1461"/>
      <c r="AF35" s="1461"/>
    </row>
    <row r="36" spans="1:37" ht="13.5" thickBot="1">
      <c r="A36" s="3091"/>
      <c r="B36" s="2552" t="s">
        <v>2728</v>
      </c>
      <c r="C36" s="123">
        <f ca="1">ROUND(D5*C19*C20*C24*F36,0)</f>
        <v>0</v>
      </c>
      <c r="D36" s="2632"/>
      <c r="E36" s="117">
        <f t="shared" ca="1" si="6"/>
        <v>0</v>
      </c>
      <c r="F36" s="117">
        <f>SUMIF(修正!A45:A56,G2,修正!E45:E56)</f>
        <v>0.3</v>
      </c>
      <c r="G36" s="117">
        <f t="shared" ca="1" si="7"/>
        <v>0</v>
      </c>
      <c r="H36" s="117">
        <f t="shared" si="9"/>
        <v>0</v>
      </c>
      <c r="I36" s="117">
        <f t="shared" ca="1" si="8"/>
        <v>0</v>
      </c>
      <c r="J36" s="2648"/>
      <c r="L36" s="2649"/>
      <c r="M36" s="2649"/>
      <c r="N36" s="1460"/>
      <c r="O36" s="1460"/>
      <c r="P36" s="1460"/>
      <c r="Q36" s="1460"/>
      <c r="R36" s="1460"/>
      <c r="S36" s="1460"/>
      <c r="T36" s="1460"/>
      <c r="U36" s="1460"/>
      <c r="V36" s="1460"/>
      <c r="W36" s="1460"/>
      <c r="X36" s="1460"/>
      <c r="Y36" s="1460"/>
      <c r="Z36" s="1461"/>
      <c r="AA36" s="1461"/>
      <c r="AB36" s="1461"/>
      <c r="AC36" s="1461"/>
      <c r="AD36" s="1461"/>
      <c r="AE36" s="1461"/>
      <c r="AF36" s="1461"/>
    </row>
    <row r="37" spans="1:37">
      <c r="A37" s="2650"/>
      <c r="B37" s="2552" t="s">
        <v>2729</v>
      </c>
      <c r="C37" s="117">
        <f ca="1">ROUND(C5*C19*C20*C24*F37,0)</f>
        <v>9446</v>
      </c>
      <c r="D37" s="2632"/>
      <c r="E37" s="117">
        <f t="shared" ca="1" si="6"/>
        <v>0</v>
      </c>
      <c r="F37" s="123">
        <f>SUMIF(修正!A45:A56,G2,修正!F45:F56)</f>
        <v>0.3</v>
      </c>
      <c r="G37" s="117">
        <f t="shared" ca="1" si="7"/>
        <v>2362</v>
      </c>
      <c r="H37" s="117">
        <f t="shared" si="9"/>
        <v>0</v>
      </c>
      <c r="I37" s="117">
        <f t="shared" ca="1" si="8"/>
        <v>0</v>
      </c>
      <c r="J37" s="2648"/>
      <c r="L37" s="2651" t="s">
        <v>2730</v>
      </c>
      <c r="M37" s="2536"/>
      <c r="N37" s="1460"/>
      <c r="O37" s="1460"/>
      <c r="P37" s="1460"/>
      <c r="Q37" s="1460"/>
      <c r="R37" s="1460"/>
      <c r="S37" s="1460"/>
      <c r="T37" s="1460"/>
      <c r="U37" s="1460"/>
      <c r="V37" s="1460"/>
      <c r="W37" s="1460"/>
      <c r="X37" s="1460"/>
      <c r="Y37" s="1460"/>
      <c r="Z37" s="1461"/>
      <c r="AA37" s="1461"/>
      <c r="AB37" s="1461"/>
      <c r="AC37" s="1461"/>
      <c r="AD37" s="1461"/>
      <c r="AE37" s="1461"/>
      <c r="AF37" s="1461"/>
    </row>
    <row r="38" spans="1:37">
      <c r="A38" s="2650"/>
      <c r="B38" s="2552" t="s">
        <v>2731</v>
      </c>
      <c r="C38" s="117">
        <f ca="1">ROUND(C5*C19*C20*C24*F38,0)</f>
        <v>9446</v>
      </c>
      <c r="D38" s="2632"/>
      <c r="E38" s="117">
        <f t="shared" ca="1" si="6"/>
        <v>0</v>
      </c>
      <c r="F38" s="123">
        <f>SUMIF(修正!A45:A56,G2,修正!G45:G56)</f>
        <v>0.3</v>
      </c>
      <c r="G38" s="117">
        <f t="shared" ca="1" si="7"/>
        <v>2362</v>
      </c>
      <c r="H38" s="117">
        <f t="shared" si="9"/>
        <v>0</v>
      </c>
      <c r="I38" s="117">
        <f t="shared" ca="1" si="8"/>
        <v>0</v>
      </c>
      <c r="J38" s="2648"/>
      <c r="L38" s="2652" t="s">
        <v>2732</v>
      </c>
      <c r="M38" s="2653">
        <v>0.25</v>
      </c>
      <c r="N38" s="1460"/>
      <c r="O38" s="1460"/>
      <c r="P38" s="1460"/>
      <c r="Q38" s="1460"/>
      <c r="R38" s="1460"/>
      <c r="S38" s="1460"/>
      <c r="T38" s="1460"/>
      <c r="U38" s="1460"/>
      <c r="V38" s="1460"/>
      <c r="W38" s="1460"/>
      <c r="X38" s="1460"/>
      <c r="Y38" s="1460"/>
      <c r="Z38" s="1461"/>
      <c r="AA38" s="1461"/>
      <c r="AB38" s="1461"/>
      <c r="AC38" s="1461"/>
      <c r="AD38" s="1461"/>
      <c r="AE38" s="1461"/>
      <c r="AF38" s="1461"/>
    </row>
    <row r="39" spans="1:37" ht="13.5" thickBot="1">
      <c r="A39" s="2636"/>
      <c r="B39" s="2654" t="s">
        <v>2733</v>
      </c>
      <c r="C39" s="150">
        <f ca="1">ROUND(C5*C19*C20*C24*F39,0)</f>
        <v>7871</v>
      </c>
      <c r="D39" s="2638"/>
      <c r="E39" s="150">
        <f t="shared" ca="1" si="6"/>
        <v>0</v>
      </c>
      <c r="F39" s="961">
        <f>SUMIF(修正!A45:A56,G2,修正!H45:H56)</f>
        <v>0.25</v>
      </c>
      <c r="G39" s="150" t="e">
        <f t="shared" si="7"/>
        <v>#DIV/0!</v>
      </c>
      <c r="H39" s="150">
        <f t="shared" si="9"/>
        <v>0</v>
      </c>
      <c r="I39" s="150" t="e">
        <f t="shared" si="8"/>
        <v>#DIV/0!</v>
      </c>
      <c r="J39" s="2655"/>
      <c r="L39" s="2656" t="s">
        <v>2672</v>
      </c>
      <c r="M39" s="2657">
        <v>0.15</v>
      </c>
      <c r="N39" s="1460"/>
      <c r="O39" s="1460"/>
      <c r="P39" s="1460"/>
      <c r="Q39" s="1460"/>
      <c r="R39" s="1460"/>
      <c r="S39" s="1460"/>
      <c r="T39" s="1460"/>
      <c r="U39" s="1460"/>
      <c r="V39" s="1460"/>
      <c r="W39" s="1460"/>
      <c r="X39" s="1460"/>
      <c r="Y39" s="1460"/>
      <c r="Z39" s="1461"/>
      <c r="AA39" s="1461"/>
      <c r="AB39" s="1461"/>
      <c r="AC39" s="1461"/>
      <c r="AD39" s="1461"/>
      <c r="AE39" s="1461"/>
      <c r="AF39" s="1461"/>
    </row>
    <row r="40" spans="1:37" s="2659" customFormat="1">
      <c r="A40" s="1460"/>
      <c r="B40" s="1460"/>
      <c r="C40" s="1460"/>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1"/>
      <c r="AA40" s="1461"/>
      <c r="AB40" s="1461"/>
      <c r="AC40" s="1461"/>
      <c r="AD40" s="1461"/>
      <c r="AE40" s="1461"/>
      <c r="AF40" s="1461"/>
      <c r="AG40" s="2658"/>
      <c r="AH40" s="2658"/>
      <c r="AI40" s="2658"/>
      <c r="AJ40" s="2658"/>
    </row>
    <row r="41" spans="1:37" s="2659" customFormat="1">
      <c r="A41" s="1461"/>
      <c r="B41" s="2660"/>
      <c r="C41" s="1460"/>
      <c r="D41" s="1460"/>
      <c r="E41" s="1460"/>
      <c r="F41" s="1460"/>
      <c r="G41" s="1460"/>
      <c r="H41" s="1460"/>
      <c r="I41" s="1460"/>
      <c r="J41" s="1460"/>
      <c r="K41" s="1460"/>
      <c r="L41" s="1460"/>
      <c r="M41" s="1460"/>
      <c r="N41" s="1460"/>
      <c r="O41" s="1460"/>
      <c r="P41" s="1460"/>
      <c r="Q41" s="1460"/>
      <c r="R41" s="1460"/>
      <c r="S41" s="1460"/>
      <c r="T41" s="1460"/>
      <c r="U41" s="1460"/>
      <c r="V41" s="1460"/>
      <c r="W41" s="1460"/>
      <c r="X41" s="1460"/>
      <c r="Y41" s="1460"/>
      <c r="Z41" s="1461"/>
      <c r="AA41" s="1461"/>
      <c r="AB41" s="1461"/>
      <c r="AC41" s="1461"/>
      <c r="AD41" s="1461"/>
      <c r="AE41" s="1461"/>
      <c r="AF41" s="1461"/>
      <c r="AG41" s="2658"/>
      <c r="AH41" s="2658"/>
      <c r="AI41" s="2658"/>
      <c r="AJ41" s="2658"/>
    </row>
    <row r="42" spans="1:37" s="2659" customFormat="1">
      <c r="A42" s="1461"/>
      <c r="B42" s="2660"/>
      <c r="C42" s="1460"/>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1"/>
      <c r="AA42" s="1461"/>
      <c r="AB42" s="1461"/>
      <c r="AC42" s="1461"/>
      <c r="AD42" s="1461"/>
      <c r="AE42" s="1461"/>
      <c r="AF42" s="1461"/>
      <c r="AG42" s="2658"/>
      <c r="AH42" s="2658"/>
      <c r="AI42" s="2658"/>
      <c r="AJ42" s="2658"/>
    </row>
    <row r="43" spans="1:37" s="2659" customFormat="1">
      <c r="A43" s="1461"/>
      <c r="B43" s="2660"/>
      <c r="C43" s="1460"/>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1461"/>
      <c r="AB43" s="1461"/>
      <c r="AC43" s="1461"/>
      <c r="AD43" s="1461"/>
      <c r="AE43" s="1461"/>
      <c r="AF43" s="1461"/>
      <c r="AG43" s="2658"/>
      <c r="AH43" s="2658"/>
      <c r="AI43" s="2658"/>
      <c r="AJ43" s="2658"/>
    </row>
    <row r="44" spans="1:37" s="2659" customFormat="1">
      <c r="A44" s="1461"/>
      <c r="B44" s="2660"/>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1"/>
      <c r="AA44" s="1461"/>
      <c r="AB44" s="1461"/>
      <c r="AC44" s="1461"/>
      <c r="AD44" s="1461"/>
      <c r="AE44" s="1461"/>
      <c r="AF44" s="1461"/>
      <c r="AG44" s="2658"/>
      <c r="AH44" s="2658"/>
      <c r="AI44" s="2658"/>
      <c r="AJ44" s="2658"/>
    </row>
    <row r="45" spans="1:37" s="2659" customFormat="1" ht="15.75" thickBot="1">
      <c r="A45" s="2661" t="s">
        <v>2734</v>
      </c>
      <c r="B45" s="2662"/>
      <c r="C45" s="9"/>
      <c r="D45" s="9"/>
      <c r="E45" s="9"/>
      <c r="F45" s="7"/>
      <c r="G45" s="9"/>
      <c r="H45" s="7"/>
      <c r="I45" s="9"/>
      <c r="J45" s="9"/>
      <c r="K45" s="9"/>
      <c r="L45" s="9"/>
      <c r="M45" s="9"/>
      <c r="N45" s="2503"/>
      <c r="O45" s="1460"/>
      <c r="P45" s="1460"/>
      <c r="Q45" s="1460"/>
      <c r="R45" s="1460"/>
      <c r="S45" s="1460"/>
      <c r="T45" s="1460"/>
      <c r="U45" s="1460"/>
      <c r="V45" s="1460"/>
      <c r="W45" s="1460"/>
      <c r="X45" s="1460"/>
      <c r="Y45" s="1460"/>
      <c r="Z45" s="1461"/>
      <c r="AA45" s="1461"/>
      <c r="AB45" s="1461"/>
      <c r="AC45" s="1461"/>
      <c r="AD45" s="1461"/>
      <c r="AE45" s="1461"/>
      <c r="AF45" s="1461"/>
      <c r="AG45" s="2658"/>
      <c r="AH45" s="2658"/>
      <c r="AI45" s="2658"/>
      <c r="AJ45" s="2658"/>
    </row>
    <row r="46" spans="1:37" s="2659" customFormat="1" ht="15" hidden="1">
      <c r="A46" s="2663" t="s">
        <v>2735</v>
      </c>
      <c r="B46" s="2664">
        <f>1+E48</f>
        <v>1</v>
      </c>
      <c r="C46" s="2665"/>
      <c r="D46" s="817"/>
      <c r="E46" s="818"/>
      <c r="F46" s="2666"/>
      <c r="G46" s="7"/>
      <c r="H46" s="9"/>
      <c r="I46" s="9"/>
      <c r="J46" s="9"/>
      <c r="K46" s="9"/>
      <c r="L46" s="9"/>
      <c r="M46" s="2503"/>
      <c r="N46" s="2667"/>
      <c r="O46" s="1460"/>
      <c r="P46" s="1460"/>
      <c r="Q46" s="1460"/>
      <c r="R46" s="1460"/>
      <c r="S46" s="1460"/>
      <c r="T46" s="1460"/>
      <c r="U46" s="1460"/>
      <c r="V46" s="1460"/>
      <c r="W46" s="1460"/>
      <c r="X46" s="1460"/>
      <c r="Y46" s="1461"/>
      <c r="Z46" s="1461"/>
      <c r="AA46" s="1461"/>
      <c r="AB46" s="1461"/>
      <c r="AC46" s="1461"/>
      <c r="AD46" s="1461"/>
      <c r="AE46" s="1461"/>
      <c r="AF46" s="2658"/>
      <c r="AG46" s="2658"/>
      <c r="AH46" s="2658"/>
      <c r="AI46" s="2658"/>
    </row>
    <row r="47" spans="1:37" s="2659" customFormat="1" ht="24.75" hidden="1">
      <c r="A47" s="2668" t="s">
        <v>2736</v>
      </c>
      <c r="B47" s="823" t="s">
        <v>2737</v>
      </c>
      <c r="C47" s="823" t="s">
        <v>2738</v>
      </c>
      <c r="D47" s="823" t="s">
        <v>2739</v>
      </c>
      <c r="E47" s="824" t="s">
        <v>2740</v>
      </c>
      <c r="F47" s="2669" t="s">
        <v>2741</v>
      </c>
      <c r="G47" s="823" t="s">
        <v>2742</v>
      </c>
      <c r="H47" s="2670" t="s">
        <v>2743</v>
      </c>
      <c r="I47" s="823" t="s">
        <v>2744</v>
      </c>
      <c r="J47" s="587" t="s">
        <v>2745</v>
      </c>
      <c r="K47" s="587" t="s">
        <v>2746</v>
      </c>
      <c r="L47" s="587" t="s">
        <v>2747</v>
      </c>
      <c r="M47" s="587" t="s">
        <v>2748</v>
      </c>
      <c r="N47" s="587" t="s">
        <v>2749</v>
      </c>
      <c r="O47" s="1460"/>
      <c r="P47" s="1460"/>
      <c r="Q47" s="1460"/>
      <c r="R47" s="1460"/>
      <c r="S47" s="1460"/>
      <c r="T47" s="1460"/>
      <c r="U47" s="1460"/>
      <c r="V47" s="1460"/>
      <c r="W47" s="1460"/>
      <c r="X47" s="1460"/>
      <c r="Y47" s="1460"/>
      <c r="Z47" s="1460"/>
      <c r="AA47" s="1461"/>
      <c r="AB47" s="1461"/>
      <c r="AC47" s="1461"/>
      <c r="AD47" s="1461"/>
      <c r="AE47" s="1461"/>
      <c r="AF47" s="1461"/>
      <c r="AG47" s="1461"/>
      <c r="AH47" s="2658"/>
      <c r="AI47" s="2658"/>
      <c r="AJ47" s="2658"/>
      <c r="AK47" s="2658"/>
    </row>
    <row r="48" spans="1:37" s="2659" customFormat="1" ht="24.75" hidden="1">
      <c r="A48" s="2668" t="s">
        <v>2750</v>
      </c>
      <c r="B48" s="2671">
        <f>估价对象房地状况!C16</f>
        <v>0</v>
      </c>
      <c r="C48" s="2558"/>
      <c r="D48" s="1374">
        <f t="shared" ref="D48:D56" si="10">SUMIF($J$47:$N$47,C48,J48:N48)</f>
        <v>0</v>
      </c>
      <c r="E48" s="829">
        <f>ROUND(SUM(D48:D56),4)</f>
        <v>0</v>
      </c>
      <c r="F48" s="2274" t="str">
        <f>IF(E2="商业",SUMIF(L1:L12,G2,N1:N12),"——")</f>
        <v>——</v>
      </c>
      <c r="G48" s="1375"/>
      <c r="H48" s="1379" t="str">
        <f t="shared" ref="H48:H56" si="11">IFERROR(ROUNDDOWN($F$48*I48/2,4),"——")</f>
        <v>——</v>
      </c>
      <c r="I48" s="828">
        <v>0.33</v>
      </c>
      <c r="J48" s="1376">
        <f t="shared" ref="J48:J56" si="12">K48+$G48</f>
        <v>0</v>
      </c>
      <c r="K48" s="1376">
        <f t="shared" ref="K48:K56" si="13">$L48+$G48</f>
        <v>0</v>
      </c>
      <c r="L48" s="1376">
        <v>0</v>
      </c>
      <c r="M48" s="1376">
        <f t="shared" ref="M48:N56" si="14">L48-$G48</f>
        <v>0</v>
      </c>
      <c r="N48" s="1376">
        <f t="shared" si="14"/>
        <v>0</v>
      </c>
      <c r="O48" s="1460"/>
      <c r="P48" s="1460"/>
      <c r="Q48" s="1460"/>
      <c r="R48" s="1460"/>
      <c r="S48" s="1460"/>
      <c r="T48" s="1460"/>
      <c r="U48" s="1460"/>
      <c r="V48" s="1460"/>
      <c r="W48" s="1460"/>
      <c r="X48" s="1460"/>
      <c r="Y48" s="1460"/>
      <c r="Z48" s="1460"/>
      <c r="AA48" s="1461"/>
      <c r="AB48" s="1461"/>
      <c r="AC48" s="1461"/>
      <c r="AD48" s="1461"/>
      <c r="AE48" s="1461"/>
      <c r="AF48" s="1461"/>
      <c r="AG48" s="1461"/>
      <c r="AH48" s="2658"/>
      <c r="AI48" s="2658"/>
      <c r="AJ48" s="2658"/>
      <c r="AK48" s="2658"/>
    </row>
    <row r="49" spans="1:37" s="2659" customFormat="1" ht="14.25" hidden="1">
      <c r="A49" s="2668" t="s">
        <v>2751</v>
      </c>
      <c r="B49" s="2672" t="str">
        <f>估价对象房地状况!C18</f>
        <v>较好</v>
      </c>
      <c r="C49" s="2558"/>
      <c r="D49" s="1374">
        <f t="shared" si="10"/>
        <v>0</v>
      </c>
      <c r="E49" s="832"/>
      <c r="F49" s="2274"/>
      <c r="G49" s="1375"/>
      <c r="H49" s="1379" t="str">
        <f t="shared" si="11"/>
        <v>——</v>
      </c>
      <c r="I49" s="828">
        <v>0.25</v>
      </c>
      <c r="J49" s="1376">
        <f t="shared" si="12"/>
        <v>0</v>
      </c>
      <c r="K49" s="1376">
        <f t="shared" si="13"/>
        <v>0</v>
      </c>
      <c r="L49" s="1376">
        <v>0</v>
      </c>
      <c r="M49" s="1376">
        <f t="shared" si="14"/>
        <v>0</v>
      </c>
      <c r="N49" s="1376">
        <f t="shared" si="14"/>
        <v>0</v>
      </c>
      <c r="O49" s="1460"/>
      <c r="P49" s="1460"/>
      <c r="Q49" s="1460"/>
      <c r="R49" s="1460"/>
      <c r="S49" s="1460"/>
      <c r="T49" s="1460"/>
      <c r="U49" s="1460"/>
      <c r="V49" s="1460"/>
      <c r="W49" s="1460"/>
      <c r="X49" s="1460"/>
      <c r="Y49" s="1460"/>
      <c r="Z49" s="1460"/>
      <c r="AA49" s="1461"/>
      <c r="AB49" s="1461"/>
      <c r="AC49" s="1461"/>
      <c r="AD49" s="1461"/>
      <c r="AE49" s="1461"/>
      <c r="AF49" s="1461"/>
      <c r="AG49" s="1461"/>
      <c r="AH49" s="2658"/>
      <c r="AI49" s="2658"/>
      <c r="AJ49" s="2658"/>
      <c r="AK49" s="2658"/>
    </row>
    <row r="50" spans="1:37" s="2659" customFormat="1" ht="24" hidden="1">
      <c r="A50" s="2668" t="s">
        <v>2752</v>
      </c>
      <c r="B50" s="2672">
        <f>估价对象房地状况!C19</f>
        <v>0</v>
      </c>
      <c r="C50" s="2558"/>
      <c r="D50" s="1374">
        <f t="shared" si="10"/>
        <v>0</v>
      </c>
      <c r="E50" s="832"/>
      <c r="F50" s="2274"/>
      <c r="G50" s="1375"/>
      <c r="H50" s="1379" t="str">
        <f t="shared" si="11"/>
        <v>——</v>
      </c>
      <c r="I50" s="828">
        <v>0.05</v>
      </c>
      <c r="J50" s="1376">
        <f t="shared" si="12"/>
        <v>0</v>
      </c>
      <c r="K50" s="1376">
        <f t="shared" si="13"/>
        <v>0</v>
      </c>
      <c r="L50" s="1376">
        <v>0</v>
      </c>
      <c r="M50" s="1376">
        <f t="shared" si="14"/>
        <v>0</v>
      </c>
      <c r="N50" s="1376">
        <f t="shared" si="14"/>
        <v>0</v>
      </c>
      <c r="O50" s="1460"/>
      <c r="P50" s="1460"/>
      <c r="Q50" s="1460"/>
      <c r="R50" s="1460"/>
      <c r="S50" s="1460"/>
      <c r="T50" s="1460"/>
      <c r="U50" s="1460"/>
      <c r="V50" s="1460"/>
      <c r="W50" s="1460"/>
      <c r="X50" s="1460"/>
      <c r="Y50" s="1460"/>
      <c r="Z50" s="1460"/>
      <c r="AA50" s="1461"/>
      <c r="AB50" s="1461"/>
      <c r="AC50" s="1461"/>
      <c r="AD50" s="1461"/>
      <c r="AE50" s="1461"/>
      <c r="AF50" s="1461"/>
      <c r="AG50" s="1461"/>
      <c r="AH50" s="2658"/>
      <c r="AI50" s="2658"/>
      <c r="AJ50" s="2658"/>
      <c r="AK50" s="2658"/>
    </row>
    <row r="51" spans="1:37" s="2659" customFormat="1" ht="36.75" hidden="1">
      <c r="A51" s="2668" t="s">
        <v>2753</v>
      </c>
      <c r="B51" s="2673" t="s">
        <v>2754</v>
      </c>
      <c r="C51" s="2558"/>
      <c r="D51" s="1374">
        <f t="shared" si="10"/>
        <v>0</v>
      </c>
      <c r="E51" s="832"/>
      <c r="F51" s="2274"/>
      <c r="G51" s="1375"/>
      <c r="H51" s="1379" t="str">
        <f t="shared" si="11"/>
        <v>——</v>
      </c>
      <c r="I51" s="828">
        <v>0.05</v>
      </c>
      <c r="J51" s="1376">
        <f t="shared" si="12"/>
        <v>0</v>
      </c>
      <c r="K51" s="1376">
        <f t="shared" si="13"/>
        <v>0</v>
      </c>
      <c r="L51" s="1376">
        <v>0</v>
      </c>
      <c r="M51" s="1376">
        <f t="shared" si="14"/>
        <v>0</v>
      </c>
      <c r="N51" s="1376">
        <f t="shared" si="14"/>
        <v>0</v>
      </c>
      <c r="O51" s="1460"/>
      <c r="P51" s="1460"/>
      <c r="Q51" s="1460"/>
      <c r="R51" s="1460"/>
      <c r="S51" s="1460"/>
      <c r="T51" s="1460"/>
      <c r="U51" s="1460"/>
      <c r="V51" s="1460"/>
      <c r="W51" s="1460"/>
      <c r="X51" s="1460"/>
      <c r="Y51" s="1460"/>
      <c r="Z51" s="1460"/>
      <c r="AA51" s="1461"/>
      <c r="AB51" s="1461"/>
      <c r="AC51" s="1461"/>
      <c r="AD51" s="1461"/>
      <c r="AE51" s="1461"/>
      <c r="AF51" s="1461"/>
      <c r="AG51" s="1461"/>
      <c r="AH51" s="2658"/>
      <c r="AI51" s="2658"/>
      <c r="AJ51" s="2658"/>
      <c r="AK51" s="2658"/>
    </row>
    <row r="52" spans="1:37" s="2659" customFormat="1" ht="24" hidden="1">
      <c r="A52" s="2668" t="s">
        <v>2755</v>
      </c>
      <c r="B52" s="2672">
        <f>估价对象房地状况!C24</f>
        <v>0</v>
      </c>
      <c r="C52" s="2558"/>
      <c r="D52" s="1374">
        <f t="shared" si="10"/>
        <v>0</v>
      </c>
      <c r="E52" s="832"/>
      <c r="F52" s="2274"/>
      <c r="G52" s="1375"/>
      <c r="H52" s="1379" t="str">
        <f t="shared" si="11"/>
        <v>——</v>
      </c>
      <c r="I52" s="828">
        <v>0.08</v>
      </c>
      <c r="J52" s="1376">
        <f t="shared" si="12"/>
        <v>0</v>
      </c>
      <c r="K52" s="1376">
        <f t="shared" si="13"/>
        <v>0</v>
      </c>
      <c r="L52" s="1376">
        <v>0</v>
      </c>
      <c r="M52" s="1376">
        <f t="shared" si="14"/>
        <v>0</v>
      </c>
      <c r="N52" s="1376">
        <f t="shared" si="14"/>
        <v>0</v>
      </c>
      <c r="O52" s="1460"/>
      <c r="P52" s="1460"/>
      <c r="Q52" s="1460"/>
      <c r="R52" s="1460"/>
      <c r="S52" s="1460"/>
      <c r="T52" s="1460"/>
      <c r="U52" s="1460"/>
      <c r="V52" s="1460"/>
      <c r="W52" s="1460"/>
      <c r="X52" s="1460"/>
      <c r="Y52" s="1460"/>
      <c r="Z52" s="1460"/>
      <c r="AA52" s="1461"/>
      <c r="AB52" s="1461"/>
      <c r="AC52" s="1461"/>
      <c r="AD52" s="1461"/>
      <c r="AE52" s="1461"/>
      <c r="AF52" s="1461"/>
      <c r="AG52" s="1461"/>
      <c r="AH52" s="2658"/>
      <c r="AI52" s="2658"/>
      <c r="AJ52" s="2658"/>
      <c r="AK52" s="2658"/>
    </row>
    <row r="53" spans="1:37" s="2659" customFormat="1" ht="24" hidden="1">
      <c r="A53" s="2668" t="s">
        <v>2756</v>
      </c>
      <c r="B53" s="2674" t="s">
        <v>2757</v>
      </c>
      <c r="C53" s="2558"/>
      <c r="D53" s="1374">
        <f t="shared" si="10"/>
        <v>0</v>
      </c>
      <c r="E53" s="832"/>
      <c r="F53" s="2274"/>
      <c r="G53" s="1375"/>
      <c r="H53" s="1379" t="str">
        <f t="shared" si="11"/>
        <v>——</v>
      </c>
      <c r="I53" s="828">
        <v>0.03</v>
      </c>
      <c r="J53" s="1376">
        <f t="shared" si="12"/>
        <v>0</v>
      </c>
      <c r="K53" s="1376">
        <f t="shared" si="13"/>
        <v>0</v>
      </c>
      <c r="L53" s="1376">
        <v>0</v>
      </c>
      <c r="M53" s="1376">
        <f t="shared" si="14"/>
        <v>0</v>
      </c>
      <c r="N53" s="1376">
        <f t="shared" si="14"/>
        <v>0</v>
      </c>
      <c r="O53" s="1460"/>
      <c r="P53" s="1460"/>
      <c r="Q53" s="1460"/>
      <c r="R53" s="1460"/>
      <c r="S53" s="1460"/>
      <c r="T53" s="1460"/>
      <c r="U53" s="1460"/>
      <c r="V53" s="1460"/>
      <c r="W53" s="1460"/>
      <c r="X53" s="1460"/>
      <c r="Y53" s="1460"/>
      <c r="Z53" s="1460"/>
      <c r="AA53" s="1461"/>
      <c r="AB53" s="1461"/>
      <c r="AC53" s="1461"/>
      <c r="AD53" s="1461"/>
      <c r="AE53" s="1461"/>
      <c r="AF53" s="1461"/>
      <c r="AG53" s="1461"/>
      <c r="AH53" s="2658"/>
      <c r="AI53" s="2658"/>
      <c r="AJ53" s="2658"/>
      <c r="AK53" s="2658"/>
    </row>
    <row r="54" spans="1:37" s="2659" customFormat="1" ht="24" hidden="1">
      <c r="A54" s="2675" t="s">
        <v>2758</v>
      </c>
      <c r="B54" s="2676" t="str">
        <f>估价对象房地状况!C21</f>
        <v>较好</v>
      </c>
      <c r="C54" s="2558"/>
      <c r="D54" s="1374">
        <f t="shared" si="10"/>
        <v>0</v>
      </c>
      <c r="E54" s="832"/>
      <c r="F54" s="2274"/>
      <c r="G54" s="1375"/>
      <c r="H54" s="1379" t="str">
        <f t="shared" si="11"/>
        <v>——</v>
      </c>
      <c r="I54" s="828">
        <v>0.05</v>
      </c>
      <c r="J54" s="1376">
        <f t="shared" si="12"/>
        <v>0</v>
      </c>
      <c r="K54" s="1376">
        <f t="shared" si="13"/>
        <v>0</v>
      </c>
      <c r="L54" s="1376">
        <v>0</v>
      </c>
      <c r="M54" s="1376">
        <f t="shared" si="14"/>
        <v>0</v>
      </c>
      <c r="N54" s="1376">
        <f t="shared" si="14"/>
        <v>0</v>
      </c>
      <c r="O54" s="1460"/>
      <c r="P54" s="1460"/>
      <c r="Q54" s="1460"/>
      <c r="R54" s="1460"/>
      <c r="S54" s="1460"/>
      <c r="T54" s="1460"/>
      <c r="U54" s="1460"/>
      <c r="V54" s="1460"/>
      <c r="W54" s="1460"/>
      <c r="X54" s="1460"/>
      <c r="Y54" s="1460"/>
      <c r="Z54" s="1460"/>
      <c r="AA54" s="1461"/>
      <c r="AB54" s="1461"/>
      <c r="AC54" s="1461"/>
      <c r="AD54" s="1461"/>
      <c r="AE54" s="1461"/>
      <c r="AF54" s="1461"/>
      <c r="AG54" s="1461"/>
      <c r="AH54" s="2658"/>
      <c r="AI54" s="2658"/>
      <c r="AJ54" s="2658"/>
      <c r="AK54" s="2658"/>
    </row>
    <row r="55" spans="1:37" s="2659" customFormat="1" ht="24" hidden="1">
      <c r="A55" s="2675" t="s">
        <v>2759</v>
      </c>
      <c r="B55" s="2672" t="str">
        <f>估价对象房地状况!C22</f>
        <v>七通</v>
      </c>
      <c r="C55" s="2558"/>
      <c r="D55" s="1374">
        <f t="shared" si="10"/>
        <v>0</v>
      </c>
      <c r="E55" s="832"/>
      <c r="F55" s="2274"/>
      <c r="G55" s="1375"/>
      <c r="H55" s="1379" t="str">
        <f t="shared" si="11"/>
        <v>——</v>
      </c>
      <c r="I55" s="828">
        <v>0.1</v>
      </c>
      <c r="J55" s="1376">
        <f t="shared" si="12"/>
        <v>0</v>
      </c>
      <c r="K55" s="1376">
        <f t="shared" si="13"/>
        <v>0</v>
      </c>
      <c r="L55" s="1376">
        <v>0</v>
      </c>
      <c r="M55" s="1376">
        <f t="shared" si="14"/>
        <v>0</v>
      </c>
      <c r="N55" s="1376">
        <f t="shared" si="14"/>
        <v>0</v>
      </c>
      <c r="O55" s="1460"/>
      <c r="P55" s="1460"/>
      <c r="Q55" s="1460"/>
      <c r="R55" s="1460"/>
      <c r="S55" s="1460"/>
      <c r="T55" s="1460"/>
      <c r="U55" s="1460"/>
      <c r="V55" s="1460"/>
      <c r="W55" s="1460"/>
      <c r="X55" s="1460"/>
      <c r="Y55" s="1460"/>
      <c r="Z55" s="1460"/>
      <c r="AA55" s="1461"/>
      <c r="AB55" s="1461"/>
      <c r="AC55" s="1461"/>
      <c r="AD55" s="1461"/>
      <c r="AE55" s="1461"/>
      <c r="AF55" s="1461"/>
      <c r="AG55" s="1461"/>
      <c r="AH55" s="2658"/>
      <c r="AI55" s="2658"/>
      <c r="AJ55" s="2658"/>
      <c r="AK55" s="2658"/>
    </row>
    <row r="56" spans="1:37" s="2659" customFormat="1" ht="24.75" hidden="1" thickBot="1">
      <c r="A56" s="2677" t="s">
        <v>2760</v>
      </c>
      <c r="B56" s="2678" t="str">
        <f>估价对象房地状况!C20</f>
        <v>较好</v>
      </c>
      <c r="C56" s="2558"/>
      <c r="D56" s="1374">
        <f t="shared" si="10"/>
        <v>0</v>
      </c>
      <c r="E56" s="838"/>
      <c r="F56" s="2274"/>
      <c r="G56" s="1375"/>
      <c r="H56" s="1379" t="str">
        <f t="shared" si="11"/>
        <v>——</v>
      </c>
      <c r="I56" s="837">
        <v>0.06</v>
      </c>
      <c r="J56" s="1376">
        <f t="shared" si="12"/>
        <v>0</v>
      </c>
      <c r="K56" s="1376">
        <f t="shared" si="13"/>
        <v>0</v>
      </c>
      <c r="L56" s="1376">
        <v>0</v>
      </c>
      <c r="M56" s="1376">
        <f t="shared" si="14"/>
        <v>0</v>
      </c>
      <c r="N56" s="1376">
        <f t="shared" si="14"/>
        <v>0</v>
      </c>
      <c r="O56" s="1460"/>
      <c r="P56" s="1460"/>
      <c r="Q56" s="1460"/>
      <c r="R56" s="1460"/>
      <c r="S56" s="1460"/>
      <c r="T56" s="1460"/>
      <c r="U56" s="1460"/>
      <c r="V56" s="1460"/>
      <c r="W56" s="1460"/>
      <c r="X56" s="1460"/>
      <c r="Y56" s="1460"/>
      <c r="Z56" s="1460"/>
      <c r="AA56" s="1461"/>
      <c r="AB56" s="1461"/>
      <c r="AC56" s="1461"/>
      <c r="AD56" s="1461"/>
      <c r="AE56" s="1461"/>
      <c r="AF56" s="1461"/>
      <c r="AG56" s="1461"/>
      <c r="AH56" s="2658"/>
      <c r="AI56" s="2658"/>
      <c r="AJ56" s="2658"/>
      <c r="AK56" s="2658"/>
    </row>
    <row r="57" spans="1:37" s="2659" customFormat="1" ht="15">
      <c r="A57" s="2663" t="s">
        <v>2761</v>
      </c>
      <c r="B57" s="2679">
        <f>1+E59</f>
        <v>1.052</v>
      </c>
      <c r="C57" s="817"/>
      <c r="D57" s="817"/>
      <c r="E57" s="818"/>
      <c r="F57" s="2666"/>
      <c r="G57" s="7"/>
      <c r="H57" s="7"/>
      <c r="I57" s="7"/>
      <c r="J57" s="9"/>
      <c r="K57" s="9"/>
      <c r="L57" s="9"/>
      <c r="M57" s="9"/>
      <c r="N57" s="9"/>
      <c r="O57" s="1460"/>
      <c r="P57" s="1460"/>
      <c r="Q57" s="1460"/>
      <c r="R57" s="1460"/>
      <c r="S57" s="1460"/>
      <c r="T57" s="1460"/>
      <c r="U57" s="1460"/>
      <c r="V57" s="1460"/>
      <c r="W57" s="1460"/>
      <c r="X57" s="1460"/>
      <c r="Y57" s="1460"/>
      <c r="Z57" s="1460"/>
      <c r="AA57" s="1461"/>
      <c r="AB57" s="1461"/>
      <c r="AC57" s="1461"/>
      <c r="AD57" s="1461"/>
      <c r="AE57" s="1461"/>
      <c r="AF57" s="1461"/>
      <c r="AG57" s="1461"/>
      <c r="AH57" s="2658"/>
      <c r="AI57" s="2658"/>
      <c r="AJ57" s="2658"/>
      <c r="AK57" s="2658"/>
    </row>
    <row r="58" spans="1:37" s="2659" customFormat="1" ht="24.75">
      <c r="A58" s="2668" t="s">
        <v>2736</v>
      </c>
      <c r="B58" s="2672"/>
      <c r="C58" s="823" t="s">
        <v>2738</v>
      </c>
      <c r="D58" s="823" t="s">
        <v>2739</v>
      </c>
      <c r="E58" s="824" t="s">
        <v>2740</v>
      </c>
      <c r="F58" s="2669" t="s">
        <v>2741</v>
      </c>
      <c r="G58" s="823" t="s">
        <v>2762</v>
      </c>
      <c r="H58" s="2670" t="s">
        <v>2763</v>
      </c>
      <c r="I58" s="823" t="s">
        <v>2764</v>
      </c>
      <c r="J58" s="587" t="s">
        <v>2397</v>
      </c>
      <c r="K58" s="587" t="s">
        <v>2398</v>
      </c>
      <c r="L58" s="587" t="s">
        <v>2399</v>
      </c>
      <c r="M58" s="587" t="s">
        <v>2400</v>
      </c>
      <c r="N58" s="587" t="s">
        <v>2401</v>
      </c>
      <c r="O58" s="1460"/>
      <c r="P58" s="1460"/>
      <c r="Q58" s="1460"/>
      <c r="R58" s="1460"/>
      <c r="S58" s="1460"/>
      <c r="T58" s="1460"/>
      <c r="U58" s="1460"/>
      <c r="V58" s="1460"/>
      <c r="W58" s="1460"/>
      <c r="X58" s="1460"/>
      <c r="Y58" s="1460"/>
      <c r="Z58" s="1460"/>
      <c r="AA58" s="1461"/>
      <c r="AB58" s="1461"/>
      <c r="AC58" s="1461"/>
      <c r="AD58" s="1461"/>
      <c r="AE58" s="1461"/>
      <c r="AF58" s="1461"/>
      <c r="AG58" s="1461"/>
      <c r="AH58" s="2658"/>
      <c r="AI58" s="2658"/>
      <c r="AJ58" s="2658"/>
      <c r="AK58" s="2658"/>
    </row>
    <row r="59" spans="1:37" s="2659" customFormat="1" ht="24">
      <c r="A59" s="2668" t="s">
        <v>2765</v>
      </c>
      <c r="B59" s="2671" t="str">
        <f>估价对象房地状况!C17</f>
        <v>较好</v>
      </c>
      <c r="C59" s="2733" t="s">
        <v>29</v>
      </c>
      <c r="D59" s="1374">
        <f t="shared" ref="D59:D67" si="15">SUMIF($J$58:$N$58,C59,J59:N59)</f>
        <v>1.6E-2</v>
      </c>
      <c r="E59" s="829">
        <f>ROUND(SUM(D59:D67),4)</f>
        <v>5.1999999999999998E-2</v>
      </c>
      <c r="F59" s="2274">
        <f>IF(E2="办公",SUMIF(L1:L12,G2,N1:N12),"——")</f>
        <v>7.0999999999999994E-2</v>
      </c>
      <c r="G59" s="2747">
        <v>8.0000000000000002E-3</v>
      </c>
      <c r="H59" s="1379">
        <f t="shared" ref="H59:H67" si="16">IFERROR(ROUNDDOWN($F$59*I59/2,4),"——")</f>
        <v>8.5000000000000006E-3</v>
      </c>
      <c r="I59" s="828">
        <v>0.24</v>
      </c>
      <c r="J59" s="1376">
        <f t="shared" ref="J59:J67" si="17">K59+$G59</f>
        <v>1.6E-2</v>
      </c>
      <c r="K59" s="1376">
        <f t="shared" ref="K59:K67" si="18">$L59+$G59</f>
        <v>8.0000000000000002E-3</v>
      </c>
      <c r="L59" s="1376">
        <v>0</v>
      </c>
      <c r="M59" s="1376">
        <f t="shared" ref="M59:N67" si="19">L59-$G59</f>
        <v>-8.0000000000000002E-3</v>
      </c>
      <c r="N59" s="1376">
        <f t="shared" si="19"/>
        <v>-1.6E-2</v>
      </c>
      <c r="O59" s="1460"/>
      <c r="P59" s="1460"/>
      <c r="Q59" s="1460"/>
      <c r="R59" s="1460"/>
      <c r="S59" s="1460"/>
      <c r="T59" s="1460"/>
      <c r="U59" s="1460"/>
      <c r="V59" s="1460"/>
      <c r="W59" s="1460"/>
      <c r="X59" s="1460"/>
      <c r="Y59" s="1460"/>
      <c r="Z59" s="1460"/>
      <c r="AA59" s="1461"/>
      <c r="AB59" s="1461"/>
      <c r="AC59" s="1461"/>
      <c r="AD59" s="1461"/>
      <c r="AE59" s="1461"/>
      <c r="AF59" s="1461"/>
      <c r="AG59" s="1461"/>
      <c r="AH59" s="2658"/>
      <c r="AI59" s="2658"/>
      <c r="AJ59" s="2658"/>
      <c r="AK59" s="2658"/>
    </row>
    <row r="60" spans="1:37" s="2659" customFormat="1" ht="14.25">
      <c r="A60" s="2668" t="s">
        <v>2751</v>
      </c>
      <c r="B60" s="2672" t="str">
        <f>估价对象房地状况!C18</f>
        <v>较好</v>
      </c>
      <c r="C60" s="2733" t="s">
        <v>29</v>
      </c>
      <c r="D60" s="1374">
        <f t="shared" si="15"/>
        <v>0.02</v>
      </c>
      <c r="E60" s="832"/>
      <c r="F60" s="2274"/>
      <c r="G60" s="2747">
        <v>0.01</v>
      </c>
      <c r="H60" s="1379">
        <f t="shared" si="16"/>
        <v>1.06E-2</v>
      </c>
      <c r="I60" s="828">
        <v>0.3</v>
      </c>
      <c r="J60" s="1376">
        <f t="shared" si="17"/>
        <v>0.02</v>
      </c>
      <c r="K60" s="1376">
        <f t="shared" si="18"/>
        <v>0.01</v>
      </c>
      <c r="L60" s="1376">
        <v>0</v>
      </c>
      <c r="M60" s="1376">
        <f t="shared" si="19"/>
        <v>-0.01</v>
      </c>
      <c r="N60" s="1376">
        <f t="shared" si="19"/>
        <v>-0.02</v>
      </c>
      <c r="O60" s="1460"/>
      <c r="P60" s="1460"/>
      <c r="Q60" s="1460"/>
      <c r="R60" s="1460"/>
      <c r="S60" s="1460"/>
      <c r="T60" s="1460"/>
      <c r="U60" s="1460"/>
      <c r="V60" s="1460"/>
      <c r="W60" s="1460"/>
      <c r="X60" s="1460"/>
      <c r="Y60" s="1460"/>
      <c r="Z60" s="1460"/>
      <c r="AA60" s="1461"/>
      <c r="AB60" s="1461"/>
      <c r="AC60" s="1461"/>
      <c r="AD60" s="1461"/>
      <c r="AE60" s="1461"/>
      <c r="AF60" s="1461"/>
      <c r="AG60" s="1461"/>
      <c r="AH60" s="2658"/>
      <c r="AI60" s="2658"/>
      <c r="AJ60" s="2658"/>
      <c r="AK60" s="2658"/>
    </row>
    <row r="61" spans="1:37" s="2659" customFormat="1" ht="24">
      <c r="A61" s="2668" t="s">
        <v>2752</v>
      </c>
      <c r="B61" s="2672">
        <f>估价对象房地状况!C19</f>
        <v>0</v>
      </c>
      <c r="C61" s="2733" t="s">
        <v>30</v>
      </c>
      <c r="D61" s="1374">
        <f t="shared" si="15"/>
        <v>2E-3</v>
      </c>
      <c r="E61" s="832"/>
      <c r="F61" s="2274"/>
      <c r="G61" s="2747">
        <v>2E-3</v>
      </c>
      <c r="H61" s="1379">
        <f t="shared" si="16"/>
        <v>2.8E-3</v>
      </c>
      <c r="I61" s="828">
        <v>0.08</v>
      </c>
      <c r="J61" s="1376">
        <f t="shared" si="17"/>
        <v>4.0000000000000001E-3</v>
      </c>
      <c r="K61" s="1376">
        <f t="shared" si="18"/>
        <v>2E-3</v>
      </c>
      <c r="L61" s="1376">
        <v>0</v>
      </c>
      <c r="M61" s="1376">
        <f t="shared" si="19"/>
        <v>-2E-3</v>
      </c>
      <c r="N61" s="1376">
        <f t="shared" si="19"/>
        <v>-4.0000000000000001E-3</v>
      </c>
      <c r="O61" s="1460"/>
      <c r="P61" s="1460"/>
      <c r="Q61" s="1460"/>
      <c r="R61" s="1460"/>
      <c r="S61" s="1460"/>
      <c r="T61" s="1460"/>
      <c r="U61" s="1460"/>
      <c r="V61" s="1460"/>
      <c r="W61" s="1460"/>
      <c r="X61" s="1460"/>
      <c r="Y61" s="1460"/>
      <c r="Z61" s="1460"/>
      <c r="AA61" s="1461"/>
      <c r="AB61" s="1461"/>
      <c r="AC61" s="1461"/>
      <c r="AD61" s="1461"/>
      <c r="AE61" s="1461"/>
      <c r="AF61" s="1461"/>
      <c r="AG61" s="1461"/>
      <c r="AH61" s="2658"/>
      <c r="AI61" s="2658"/>
      <c r="AJ61" s="2658"/>
      <c r="AK61" s="2658"/>
    </row>
    <row r="62" spans="1:37" s="2659" customFormat="1" ht="36.75">
      <c r="A62" s="2668" t="s">
        <v>2753</v>
      </c>
      <c r="B62" s="2673" t="s">
        <v>2754</v>
      </c>
      <c r="C62" s="2733" t="s">
        <v>30</v>
      </c>
      <c r="D62" s="1374">
        <f t="shared" si="15"/>
        <v>1E-3</v>
      </c>
      <c r="E62" s="832"/>
      <c r="F62" s="2274"/>
      <c r="G62" s="2747">
        <v>1E-3</v>
      </c>
      <c r="H62" s="1379">
        <f t="shared" si="16"/>
        <v>1.4E-3</v>
      </c>
      <c r="I62" s="828">
        <v>0.04</v>
      </c>
      <c r="J62" s="1376">
        <f t="shared" si="17"/>
        <v>2E-3</v>
      </c>
      <c r="K62" s="1376">
        <f t="shared" si="18"/>
        <v>1E-3</v>
      </c>
      <c r="L62" s="1376">
        <v>0</v>
      </c>
      <c r="M62" s="1376">
        <f t="shared" si="19"/>
        <v>-1E-3</v>
      </c>
      <c r="N62" s="1376">
        <f t="shared" si="19"/>
        <v>-2E-3</v>
      </c>
      <c r="O62" s="1460"/>
      <c r="P62" s="1460"/>
      <c r="Q62" s="1460"/>
      <c r="R62" s="1460"/>
      <c r="S62" s="1460"/>
      <c r="T62" s="1460"/>
      <c r="U62" s="1460"/>
      <c r="V62" s="1460"/>
      <c r="W62" s="1460"/>
      <c r="X62" s="1460"/>
      <c r="Y62" s="1460"/>
      <c r="Z62" s="1460"/>
      <c r="AA62" s="1461"/>
      <c r="AB62" s="1461"/>
      <c r="AC62" s="1461"/>
      <c r="AD62" s="1461"/>
      <c r="AE62" s="1461"/>
      <c r="AF62" s="1461"/>
      <c r="AG62" s="1461"/>
      <c r="AH62" s="2658"/>
      <c r="AI62" s="2658"/>
      <c r="AJ62" s="2658"/>
      <c r="AK62" s="2658"/>
    </row>
    <row r="63" spans="1:37" s="2659" customFormat="1" ht="24">
      <c r="A63" s="2668" t="s">
        <v>2755</v>
      </c>
      <c r="B63" s="2672">
        <f>估价对象房地状况!C24</f>
        <v>0</v>
      </c>
      <c r="C63" s="2733" t="s">
        <v>31</v>
      </c>
      <c r="D63" s="1374">
        <f t="shared" si="15"/>
        <v>0</v>
      </c>
      <c r="E63" s="832"/>
      <c r="F63" s="2274"/>
      <c r="G63" s="2747">
        <v>1E-3</v>
      </c>
      <c r="H63" s="1379">
        <f t="shared" si="16"/>
        <v>1.6999999999999999E-3</v>
      </c>
      <c r="I63" s="828">
        <v>0.05</v>
      </c>
      <c r="J63" s="1376">
        <f t="shared" si="17"/>
        <v>2E-3</v>
      </c>
      <c r="K63" s="1376">
        <f t="shared" si="18"/>
        <v>1E-3</v>
      </c>
      <c r="L63" s="1376">
        <v>0</v>
      </c>
      <c r="M63" s="1376">
        <f t="shared" si="19"/>
        <v>-1E-3</v>
      </c>
      <c r="N63" s="1376">
        <f t="shared" si="19"/>
        <v>-2E-3</v>
      </c>
      <c r="O63" s="1460"/>
      <c r="P63" s="1460"/>
      <c r="Q63" s="1460"/>
      <c r="R63" s="1460"/>
      <c r="S63" s="1460"/>
      <c r="T63" s="1460"/>
      <c r="U63" s="1460"/>
      <c r="V63" s="1460"/>
      <c r="W63" s="1460"/>
      <c r="X63" s="1460"/>
      <c r="Y63" s="1460"/>
      <c r="Z63" s="1460"/>
      <c r="AA63" s="1461"/>
      <c r="AB63" s="1461"/>
      <c r="AC63" s="1461"/>
      <c r="AD63" s="1461"/>
      <c r="AE63" s="1461"/>
      <c r="AF63" s="1461"/>
      <c r="AG63" s="1461"/>
      <c r="AH63" s="2658"/>
      <c r="AI63" s="2658"/>
      <c r="AJ63" s="2658"/>
      <c r="AK63" s="2658"/>
    </row>
    <row r="64" spans="1:37" s="2659" customFormat="1" ht="24">
      <c r="A64" s="2668" t="s">
        <v>2756</v>
      </c>
      <c r="B64" s="2674" t="s">
        <v>2757</v>
      </c>
      <c r="C64" s="2733" t="s">
        <v>30</v>
      </c>
      <c r="D64" s="1374">
        <f t="shared" si="15"/>
        <v>1E-3</v>
      </c>
      <c r="E64" s="832"/>
      <c r="F64" s="2274"/>
      <c r="G64" s="2747">
        <v>1E-3</v>
      </c>
      <c r="H64" s="1379">
        <f t="shared" si="16"/>
        <v>1.6999999999999999E-3</v>
      </c>
      <c r="I64" s="828">
        <v>0.05</v>
      </c>
      <c r="J64" s="1376">
        <f t="shared" si="17"/>
        <v>2E-3</v>
      </c>
      <c r="K64" s="1376">
        <f t="shared" si="18"/>
        <v>1E-3</v>
      </c>
      <c r="L64" s="1376">
        <v>0</v>
      </c>
      <c r="M64" s="1376">
        <f t="shared" si="19"/>
        <v>-1E-3</v>
      </c>
      <c r="N64" s="1376">
        <f t="shared" si="19"/>
        <v>-2E-3</v>
      </c>
      <c r="O64" s="1460"/>
      <c r="P64" s="1460"/>
      <c r="Q64" s="1460"/>
      <c r="R64" s="1460"/>
      <c r="S64" s="1460"/>
      <c r="T64" s="1460"/>
      <c r="U64" s="1460"/>
      <c r="V64" s="1460"/>
      <c r="W64" s="1460"/>
      <c r="X64" s="1460"/>
      <c r="Y64" s="1460"/>
      <c r="Z64" s="1460"/>
      <c r="AA64" s="1461"/>
      <c r="AB64" s="1461"/>
      <c r="AC64" s="1461"/>
      <c r="AD64" s="1461"/>
      <c r="AE64" s="1461"/>
      <c r="AF64" s="1461"/>
      <c r="AG64" s="1461"/>
      <c r="AH64" s="2658"/>
      <c r="AI64" s="2658"/>
      <c r="AJ64" s="2658"/>
      <c r="AK64" s="2658"/>
    </row>
    <row r="65" spans="1:37" s="2659" customFormat="1" ht="24">
      <c r="A65" s="2668" t="s">
        <v>2758</v>
      </c>
      <c r="B65" s="2676" t="str">
        <f>估价对象房地状况!C21</f>
        <v>较好</v>
      </c>
      <c r="C65" s="2733" t="s">
        <v>30</v>
      </c>
      <c r="D65" s="1374">
        <f t="shared" si="15"/>
        <v>2E-3</v>
      </c>
      <c r="E65" s="832"/>
      <c r="F65" s="2274"/>
      <c r="G65" s="2747">
        <v>2E-3</v>
      </c>
      <c r="H65" s="1379">
        <f t="shared" si="16"/>
        <v>2.0999999999999999E-3</v>
      </c>
      <c r="I65" s="828">
        <v>0.06</v>
      </c>
      <c r="J65" s="1376">
        <f t="shared" si="17"/>
        <v>4.0000000000000001E-3</v>
      </c>
      <c r="K65" s="1376">
        <f t="shared" si="18"/>
        <v>2E-3</v>
      </c>
      <c r="L65" s="1376">
        <v>0</v>
      </c>
      <c r="M65" s="1376">
        <f t="shared" si="19"/>
        <v>-2E-3</v>
      </c>
      <c r="N65" s="1376">
        <f t="shared" si="19"/>
        <v>-4.0000000000000001E-3</v>
      </c>
      <c r="O65" s="1460"/>
      <c r="P65" s="1460"/>
      <c r="Q65" s="1460"/>
      <c r="R65" s="1460"/>
      <c r="S65" s="1460"/>
      <c r="T65" s="1460"/>
      <c r="U65" s="1460"/>
      <c r="V65" s="1460"/>
      <c r="W65" s="1460"/>
      <c r="X65" s="1460"/>
      <c r="Y65" s="1460"/>
      <c r="Z65" s="1460"/>
      <c r="AA65" s="1461"/>
      <c r="AB65" s="1461"/>
      <c r="AC65" s="1461"/>
      <c r="AD65" s="1461"/>
      <c r="AE65" s="1461"/>
      <c r="AF65" s="1461"/>
      <c r="AG65" s="1461"/>
      <c r="AH65" s="2658"/>
      <c r="AI65" s="2658"/>
      <c r="AJ65" s="2658"/>
      <c r="AK65" s="2658"/>
    </row>
    <row r="66" spans="1:37" s="2659" customFormat="1" ht="24">
      <c r="A66" s="2668" t="s">
        <v>2759</v>
      </c>
      <c r="B66" s="2676" t="str">
        <f>估价对象房地状况!C22</f>
        <v>七通</v>
      </c>
      <c r="C66" s="2733" t="s">
        <v>29</v>
      </c>
      <c r="D66" s="1374">
        <f t="shared" si="15"/>
        <v>8.0000000000000002E-3</v>
      </c>
      <c r="E66" s="832"/>
      <c r="F66" s="2274"/>
      <c r="G66" s="2747">
        <v>4.0000000000000001E-3</v>
      </c>
      <c r="H66" s="1379">
        <f t="shared" si="16"/>
        <v>4.1999999999999997E-3</v>
      </c>
      <c r="I66" s="828">
        <v>0.12</v>
      </c>
      <c r="J66" s="1376">
        <f t="shared" si="17"/>
        <v>8.0000000000000002E-3</v>
      </c>
      <c r="K66" s="1376">
        <f t="shared" si="18"/>
        <v>4.0000000000000001E-3</v>
      </c>
      <c r="L66" s="1376">
        <v>0</v>
      </c>
      <c r="M66" s="1376">
        <f t="shared" si="19"/>
        <v>-4.0000000000000001E-3</v>
      </c>
      <c r="N66" s="1376">
        <f t="shared" si="19"/>
        <v>-8.0000000000000002E-3</v>
      </c>
      <c r="O66" s="1460"/>
      <c r="P66" s="1460"/>
      <c r="Q66" s="1460"/>
      <c r="R66" s="1460"/>
      <c r="S66" s="1460"/>
      <c r="T66" s="1460"/>
      <c r="U66" s="1460"/>
      <c r="V66" s="1460"/>
      <c r="W66" s="1460"/>
      <c r="X66" s="1460"/>
      <c r="Y66" s="1460"/>
      <c r="Z66" s="1460"/>
      <c r="AA66" s="1461"/>
      <c r="AB66" s="1461"/>
      <c r="AC66" s="1461"/>
      <c r="AD66" s="1461"/>
      <c r="AE66" s="1461"/>
      <c r="AF66" s="1461"/>
      <c r="AG66" s="1461"/>
      <c r="AH66" s="2658"/>
      <c r="AI66" s="2658"/>
      <c r="AJ66" s="2658"/>
      <c r="AK66" s="2658"/>
    </row>
    <row r="67" spans="1:37" s="2659" customFormat="1" ht="24.75" thickBot="1">
      <c r="A67" s="2677" t="s">
        <v>2760</v>
      </c>
      <c r="B67" s="2680" t="str">
        <f>估价对象房地状况!C20</f>
        <v>较好</v>
      </c>
      <c r="C67" s="2733" t="s">
        <v>30</v>
      </c>
      <c r="D67" s="1374">
        <f t="shared" si="15"/>
        <v>2E-3</v>
      </c>
      <c r="E67" s="838"/>
      <c r="F67" s="2274"/>
      <c r="G67" s="2747">
        <v>2E-3</v>
      </c>
      <c r="H67" s="1379">
        <f t="shared" si="16"/>
        <v>2.0999999999999999E-3</v>
      </c>
      <c r="I67" s="837">
        <v>0.06</v>
      </c>
      <c r="J67" s="1376">
        <f t="shared" si="17"/>
        <v>4.0000000000000001E-3</v>
      </c>
      <c r="K67" s="1376">
        <f t="shared" si="18"/>
        <v>2E-3</v>
      </c>
      <c r="L67" s="1376">
        <v>0</v>
      </c>
      <c r="M67" s="1376">
        <f t="shared" si="19"/>
        <v>-2E-3</v>
      </c>
      <c r="N67" s="1376">
        <f t="shared" si="19"/>
        <v>-4.0000000000000001E-3</v>
      </c>
      <c r="O67" s="1460"/>
      <c r="P67" s="1460"/>
      <c r="Q67" s="1460"/>
      <c r="R67" s="1460"/>
      <c r="S67" s="1460"/>
      <c r="T67" s="1460"/>
      <c r="U67" s="1460"/>
      <c r="V67" s="1460"/>
      <c r="W67" s="1460"/>
      <c r="X67" s="1460"/>
      <c r="Y67" s="1460"/>
      <c r="Z67" s="1460"/>
      <c r="AA67" s="1461"/>
      <c r="AB67" s="1461"/>
      <c r="AC67" s="1461"/>
      <c r="AD67" s="1461"/>
      <c r="AE67" s="1461"/>
      <c r="AF67" s="1461"/>
      <c r="AG67" s="1461"/>
      <c r="AH67" s="2658"/>
      <c r="AI67" s="2658"/>
      <c r="AJ67" s="2658"/>
      <c r="AK67" s="2658"/>
    </row>
    <row r="68" spans="1:37" s="2659" customFormat="1" ht="15">
      <c r="A68" s="2663" t="s">
        <v>2766</v>
      </c>
      <c r="B68" s="2679">
        <f>1+E70</f>
        <v>1</v>
      </c>
      <c r="C68" s="817"/>
      <c r="D68" s="817"/>
      <c r="E68" s="818"/>
      <c r="F68" s="2666"/>
      <c r="G68" s="7"/>
      <c r="H68" s="7"/>
      <c r="I68" s="7"/>
      <c r="J68" s="9"/>
      <c r="K68" s="9"/>
      <c r="L68" s="9"/>
      <c r="M68" s="9"/>
      <c r="N68" s="9"/>
      <c r="O68" s="1460"/>
      <c r="P68" s="1460"/>
      <c r="Q68" s="1460"/>
      <c r="R68" s="1460"/>
      <c r="S68" s="1460"/>
      <c r="T68" s="1460"/>
      <c r="U68" s="1460"/>
      <c r="V68" s="1460"/>
      <c r="W68" s="1460"/>
      <c r="X68" s="1460"/>
      <c r="Y68" s="1460"/>
      <c r="Z68" s="1460"/>
      <c r="AA68" s="1461"/>
      <c r="AB68" s="1461"/>
      <c r="AC68" s="1461"/>
      <c r="AD68" s="1461"/>
      <c r="AE68" s="1461"/>
      <c r="AF68" s="1461"/>
      <c r="AG68" s="1461"/>
      <c r="AH68" s="2658"/>
      <c r="AI68" s="2658"/>
      <c r="AJ68" s="2658"/>
      <c r="AK68" s="2658"/>
    </row>
    <row r="69" spans="1:37" s="2659" customFormat="1" ht="24.75">
      <c r="A69" s="2668" t="s">
        <v>2736</v>
      </c>
      <c r="B69" s="2672"/>
      <c r="C69" s="823" t="s">
        <v>2738</v>
      </c>
      <c r="D69" s="823" t="s">
        <v>2739</v>
      </c>
      <c r="E69" s="824" t="s">
        <v>2740</v>
      </c>
      <c r="F69" s="2669" t="s">
        <v>2741</v>
      </c>
      <c r="G69" s="823" t="s">
        <v>2762</v>
      </c>
      <c r="H69" s="2670" t="s">
        <v>2763</v>
      </c>
      <c r="I69" s="823" t="s">
        <v>2764</v>
      </c>
      <c r="J69" s="587" t="s">
        <v>2397</v>
      </c>
      <c r="K69" s="587" t="s">
        <v>2398</v>
      </c>
      <c r="L69" s="587" t="s">
        <v>2399</v>
      </c>
      <c r="M69" s="587" t="s">
        <v>2400</v>
      </c>
      <c r="N69" s="587" t="s">
        <v>2401</v>
      </c>
      <c r="O69" s="1460"/>
      <c r="P69" s="1460"/>
      <c r="Q69" s="1460"/>
      <c r="R69" s="1460"/>
      <c r="S69" s="1460"/>
      <c r="T69" s="1460"/>
      <c r="U69" s="1460"/>
      <c r="V69" s="1460"/>
      <c r="W69" s="1460"/>
      <c r="X69" s="1460"/>
      <c r="Y69" s="1460"/>
      <c r="Z69" s="1460"/>
      <c r="AA69" s="1461"/>
      <c r="AB69" s="1461"/>
      <c r="AC69" s="1461"/>
      <c r="AD69" s="1461"/>
      <c r="AE69" s="1461"/>
      <c r="AF69" s="1461"/>
      <c r="AG69" s="1461"/>
      <c r="AH69" s="2658"/>
      <c r="AI69" s="2658"/>
      <c r="AJ69" s="2658"/>
      <c r="AK69" s="2658"/>
    </row>
    <row r="70" spans="1:37" s="2659" customFormat="1" ht="24">
      <c r="A70" s="2668" t="s">
        <v>2767</v>
      </c>
      <c r="B70" s="2671">
        <f>估价对象房地状况!C15</f>
        <v>0</v>
      </c>
      <c r="C70" s="2558"/>
      <c r="D70" s="1374">
        <f t="shared" ref="D70:D78" si="20">SUMIF($J$69:$N$69,C70,J70:N70)</f>
        <v>0</v>
      </c>
      <c r="E70" s="829">
        <f>ROUND(SUM(D70:D78),4)</f>
        <v>0</v>
      </c>
      <c r="F70" s="2274" t="str">
        <f>IF(E2="住宅",SUMIF(L1:L12,G2,N1:N12),"——")</f>
        <v>——</v>
      </c>
      <c r="G70" s="1375"/>
      <c r="H70" s="1379" t="str">
        <f t="shared" ref="H70:H78" si="21">IFERROR(ROUNDDOWN($F$70*I70/2,4),"——")</f>
        <v>——</v>
      </c>
      <c r="I70" s="828">
        <v>0.14000000000000001</v>
      </c>
      <c r="J70" s="1376">
        <f t="shared" ref="J70:J78" si="22">K70+$G70</f>
        <v>0</v>
      </c>
      <c r="K70" s="1376">
        <f t="shared" ref="K70:K78" si="23">$L70+$G70</f>
        <v>0</v>
      </c>
      <c r="L70" s="1376">
        <v>0</v>
      </c>
      <c r="M70" s="1376">
        <f t="shared" ref="M70:N78" si="24">L70-$G70</f>
        <v>0</v>
      </c>
      <c r="N70" s="1376">
        <f t="shared" si="24"/>
        <v>0</v>
      </c>
      <c r="O70" s="1460"/>
      <c r="P70" s="1460"/>
      <c r="Q70" s="1460"/>
      <c r="R70" s="1460"/>
      <c r="S70" s="1460"/>
      <c r="T70" s="1460"/>
      <c r="U70" s="1460"/>
      <c r="V70" s="1460"/>
      <c r="W70" s="1460"/>
      <c r="X70" s="1460"/>
      <c r="Y70" s="1460"/>
      <c r="Z70" s="1460"/>
      <c r="AA70" s="1461"/>
      <c r="AB70" s="1461"/>
      <c r="AC70" s="1461"/>
      <c r="AD70" s="1461"/>
      <c r="AE70" s="1461"/>
      <c r="AF70" s="1461"/>
      <c r="AG70" s="1461"/>
      <c r="AH70" s="2658"/>
      <c r="AI70" s="2658"/>
      <c r="AJ70" s="2658"/>
      <c r="AK70" s="2658"/>
    </row>
    <row r="71" spans="1:37" s="2659" customFormat="1" ht="14.25">
      <c r="A71" s="2668" t="s">
        <v>2751</v>
      </c>
      <c r="B71" s="2672" t="str">
        <f>估价对象房地状况!C18</f>
        <v>较好</v>
      </c>
      <c r="C71" s="2558"/>
      <c r="D71" s="1374">
        <f t="shared" si="20"/>
        <v>0</v>
      </c>
      <c r="E71" s="840"/>
      <c r="F71" s="2681"/>
      <c r="G71" s="1375"/>
      <c r="H71" s="1379" t="str">
        <f t="shared" si="21"/>
        <v>——</v>
      </c>
      <c r="I71" s="828">
        <v>0.3</v>
      </c>
      <c r="J71" s="1376">
        <f t="shared" si="22"/>
        <v>0</v>
      </c>
      <c r="K71" s="1376">
        <f t="shared" si="23"/>
        <v>0</v>
      </c>
      <c r="L71" s="1376">
        <v>0</v>
      </c>
      <c r="M71" s="1376">
        <f t="shared" si="24"/>
        <v>0</v>
      </c>
      <c r="N71" s="1376">
        <f t="shared" si="24"/>
        <v>0</v>
      </c>
      <c r="O71" s="1460"/>
      <c r="P71" s="1460"/>
      <c r="Q71" s="1460"/>
      <c r="R71" s="1460"/>
      <c r="S71" s="1460"/>
      <c r="T71" s="1460"/>
      <c r="U71" s="1460"/>
      <c r="V71" s="1460"/>
      <c r="W71" s="1460"/>
      <c r="X71" s="1460"/>
      <c r="Y71" s="1460"/>
      <c r="Z71" s="1460"/>
      <c r="AA71" s="1461"/>
      <c r="AB71" s="1461"/>
      <c r="AC71" s="1461"/>
      <c r="AD71" s="1461"/>
      <c r="AE71" s="1461"/>
      <c r="AF71" s="1461"/>
      <c r="AG71" s="1461"/>
      <c r="AH71" s="2658"/>
      <c r="AI71" s="2658"/>
      <c r="AJ71" s="2658"/>
      <c r="AK71" s="2658"/>
    </row>
    <row r="72" spans="1:37" s="2659" customFormat="1" ht="24">
      <c r="A72" s="2668" t="s">
        <v>2752</v>
      </c>
      <c r="B72" s="2672">
        <f>估价对象房地状况!C19</f>
        <v>0</v>
      </c>
      <c r="C72" s="2558"/>
      <c r="D72" s="1374">
        <f t="shared" si="20"/>
        <v>0</v>
      </c>
      <c r="E72" s="840"/>
      <c r="F72" s="2681"/>
      <c r="G72" s="1375"/>
      <c r="H72" s="1379" t="str">
        <f t="shared" si="21"/>
        <v>——</v>
      </c>
      <c r="I72" s="828">
        <v>0.08</v>
      </c>
      <c r="J72" s="1376">
        <f t="shared" si="22"/>
        <v>0</v>
      </c>
      <c r="K72" s="1376">
        <f t="shared" si="23"/>
        <v>0</v>
      </c>
      <c r="L72" s="1376">
        <v>0</v>
      </c>
      <c r="M72" s="1376">
        <f t="shared" si="24"/>
        <v>0</v>
      </c>
      <c r="N72" s="1376">
        <f t="shared" si="24"/>
        <v>0</v>
      </c>
      <c r="O72" s="1460"/>
      <c r="P72" s="1460"/>
      <c r="Q72" s="1460"/>
      <c r="R72" s="1460"/>
      <c r="S72" s="1460"/>
      <c r="T72" s="1460"/>
      <c r="U72" s="1460"/>
      <c r="V72" s="1460"/>
      <c r="W72" s="1460"/>
      <c r="X72" s="1460"/>
      <c r="Y72" s="1460"/>
      <c r="Z72" s="1460"/>
      <c r="AA72" s="1461"/>
      <c r="AB72" s="1461"/>
      <c r="AC72" s="1461"/>
      <c r="AD72" s="1461"/>
      <c r="AE72" s="1461"/>
      <c r="AF72" s="1461"/>
      <c r="AG72" s="1461"/>
      <c r="AH72" s="2658"/>
      <c r="AI72" s="2658"/>
      <c r="AJ72" s="2658"/>
      <c r="AK72" s="2658"/>
    </row>
    <row r="73" spans="1:37" s="2659" customFormat="1" ht="14.25">
      <c r="A73" s="2668" t="s">
        <v>2768</v>
      </c>
      <c r="B73" s="2672">
        <f>估价对象房地状况!C24</f>
        <v>0</v>
      </c>
      <c r="C73" s="2558"/>
      <c r="D73" s="1374">
        <f t="shared" si="20"/>
        <v>0</v>
      </c>
      <c r="E73" s="840"/>
      <c r="F73" s="2681"/>
      <c r="G73" s="1375"/>
      <c r="H73" s="1379" t="str">
        <f t="shared" si="21"/>
        <v>——</v>
      </c>
      <c r="I73" s="828">
        <v>0.04</v>
      </c>
      <c r="J73" s="1376">
        <f t="shared" si="22"/>
        <v>0</v>
      </c>
      <c r="K73" s="1376">
        <f t="shared" si="23"/>
        <v>0</v>
      </c>
      <c r="L73" s="1376">
        <v>0</v>
      </c>
      <c r="M73" s="1376">
        <f t="shared" si="24"/>
        <v>0</v>
      </c>
      <c r="N73" s="1376">
        <f t="shared" si="24"/>
        <v>0</v>
      </c>
      <c r="O73" s="1460"/>
      <c r="P73" s="1460"/>
      <c r="Q73" s="1460"/>
      <c r="R73" s="1460"/>
      <c r="S73" s="1460"/>
      <c r="T73" s="1460"/>
      <c r="U73" s="1460"/>
      <c r="V73" s="1460"/>
      <c r="W73" s="1460"/>
      <c r="X73" s="1460"/>
      <c r="Y73" s="1460"/>
      <c r="Z73" s="1460"/>
      <c r="AA73" s="1461"/>
      <c r="AB73" s="1461"/>
      <c r="AC73" s="1461"/>
      <c r="AD73" s="1461"/>
      <c r="AE73" s="1461"/>
      <c r="AF73" s="1461"/>
      <c r="AG73" s="1461"/>
      <c r="AH73" s="2658"/>
      <c r="AI73" s="2658"/>
      <c r="AJ73" s="2658"/>
      <c r="AK73" s="2658"/>
    </row>
    <row r="74" spans="1:37" s="2659" customFormat="1" ht="24">
      <c r="A74" s="2668" t="s">
        <v>2758</v>
      </c>
      <c r="B74" s="2676" t="str">
        <f>估价对象房地状况!C21</f>
        <v>较好</v>
      </c>
      <c r="C74" s="2558"/>
      <c r="D74" s="1374">
        <f t="shared" si="20"/>
        <v>0</v>
      </c>
      <c r="E74" s="840"/>
      <c r="F74" s="2681"/>
      <c r="G74" s="1375"/>
      <c r="H74" s="1379" t="str">
        <f t="shared" si="21"/>
        <v>——</v>
      </c>
      <c r="I74" s="828">
        <v>0.08</v>
      </c>
      <c r="J74" s="1376">
        <f t="shared" si="22"/>
        <v>0</v>
      </c>
      <c r="K74" s="1376">
        <f t="shared" si="23"/>
        <v>0</v>
      </c>
      <c r="L74" s="1376">
        <v>0</v>
      </c>
      <c r="M74" s="1376">
        <f t="shared" si="24"/>
        <v>0</v>
      </c>
      <c r="N74" s="1376">
        <f t="shared" si="24"/>
        <v>0</v>
      </c>
      <c r="O74" s="1460"/>
      <c r="P74" s="1460"/>
      <c r="Q74" s="1460"/>
      <c r="R74" s="1460"/>
      <c r="S74" s="1460"/>
      <c r="T74" s="1460"/>
      <c r="U74" s="1460"/>
      <c r="V74" s="1460"/>
      <c r="W74" s="1460"/>
      <c r="X74" s="1460"/>
      <c r="Y74" s="1460"/>
      <c r="Z74" s="1460"/>
      <c r="AA74" s="1461"/>
      <c r="AB74" s="1461"/>
      <c r="AC74" s="1461"/>
      <c r="AD74" s="1461"/>
      <c r="AE74" s="1461"/>
      <c r="AF74" s="1461"/>
      <c r="AG74" s="1461"/>
      <c r="AH74" s="2658"/>
      <c r="AI74" s="2658"/>
      <c r="AJ74" s="2658"/>
      <c r="AK74" s="2658"/>
    </row>
    <row r="75" spans="1:37" s="2659" customFormat="1" ht="24">
      <c r="A75" s="2668" t="s">
        <v>2759</v>
      </c>
      <c r="B75" s="2676" t="str">
        <f>估价对象房地状况!C22</f>
        <v>七通</v>
      </c>
      <c r="C75" s="2558"/>
      <c r="D75" s="1374">
        <f t="shared" si="20"/>
        <v>0</v>
      </c>
      <c r="E75" s="840"/>
      <c r="F75" s="2681"/>
      <c r="G75" s="1375"/>
      <c r="H75" s="1379" t="str">
        <f t="shared" si="21"/>
        <v>——</v>
      </c>
      <c r="I75" s="828">
        <v>0.12</v>
      </c>
      <c r="J75" s="1376">
        <f t="shared" si="22"/>
        <v>0</v>
      </c>
      <c r="K75" s="1376">
        <f t="shared" si="23"/>
        <v>0</v>
      </c>
      <c r="L75" s="1376">
        <v>0</v>
      </c>
      <c r="M75" s="1376">
        <f t="shared" si="24"/>
        <v>0</v>
      </c>
      <c r="N75" s="1376">
        <f t="shared" si="24"/>
        <v>0</v>
      </c>
      <c r="O75" s="1460"/>
      <c r="P75" s="1460"/>
      <c r="Q75" s="1460"/>
      <c r="R75" s="1460"/>
      <c r="S75" s="1460"/>
      <c r="T75" s="1460"/>
      <c r="U75" s="1460"/>
      <c r="V75" s="1460"/>
      <c r="W75" s="1460"/>
      <c r="X75" s="1460"/>
      <c r="Y75" s="1460"/>
      <c r="Z75" s="1460"/>
      <c r="AA75" s="1461"/>
      <c r="AB75" s="1461"/>
      <c r="AC75" s="1461"/>
      <c r="AD75" s="1461"/>
      <c r="AE75" s="1461"/>
      <c r="AF75" s="1461"/>
      <c r="AG75" s="1461"/>
      <c r="AH75" s="2658"/>
      <c r="AI75" s="2658"/>
      <c r="AJ75" s="2658"/>
      <c r="AK75" s="2658"/>
    </row>
    <row r="76" spans="1:37" ht="24">
      <c r="A76" s="2668" t="s">
        <v>2756</v>
      </c>
      <c r="B76" s="2674" t="s">
        <v>2757</v>
      </c>
      <c r="C76" s="2558"/>
      <c r="D76" s="1374">
        <f t="shared" si="20"/>
        <v>0</v>
      </c>
      <c r="E76" s="840"/>
      <c r="F76" s="2681"/>
      <c r="G76" s="1375"/>
      <c r="H76" s="1379" t="str">
        <f t="shared" si="21"/>
        <v>——</v>
      </c>
      <c r="I76" s="828">
        <v>0.05</v>
      </c>
      <c r="J76" s="1376">
        <f t="shared" si="22"/>
        <v>0</v>
      </c>
      <c r="K76" s="1376">
        <f t="shared" si="23"/>
        <v>0</v>
      </c>
      <c r="L76" s="1376">
        <v>0</v>
      </c>
      <c r="M76" s="1376">
        <f t="shared" si="24"/>
        <v>0</v>
      </c>
      <c r="N76" s="1376">
        <f t="shared" si="24"/>
        <v>0</v>
      </c>
      <c r="Z76" s="2505"/>
      <c r="AA76" s="2582"/>
      <c r="AG76" s="2658"/>
      <c r="AK76" s="2582"/>
    </row>
    <row r="77" spans="1:37" ht="24">
      <c r="A77" s="2668" t="s">
        <v>2760</v>
      </c>
      <c r="B77" s="2671" t="str">
        <f>估价对象房地状况!C20</f>
        <v>较好</v>
      </c>
      <c r="C77" s="2558"/>
      <c r="D77" s="1374">
        <f t="shared" si="20"/>
        <v>0</v>
      </c>
      <c r="E77" s="840"/>
      <c r="F77" s="2681"/>
      <c r="G77" s="1375"/>
      <c r="H77" s="1379" t="str">
        <f t="shared" si="21"/>
        <v>——</v>
      </c>
      <c r="I77" s="828">
        <v>0.15</v>
      </c>
      <c r="J77" s="1376">
        <f t="shared" si="22"/>
        <v>0</v>
      </c>
      <c r="K77" s="1376">
        <f t="shared" si="23"/>
        <v>0</v>
      </c>
      <c r="L77" s="1376">
        <v>0</v>
      </c>
      <c r="M77" s="1376">
        <f t="shared" si="24"/>
        <v>0</v>
      </c>
      <c r="N77" s="1376">
        <f t="shared" si="24"/>
        <v>0</v>
      </c>
      <c r="Z77" s="2505"/>
      <c r="AA77" s="2582"/>
      <c r="AG77" s="2658"/>
      <c r="AK77" s="2582"/>
    </row>
    <row r="78" spans="1:37" ht="24.75" thickBot="1">
      <c r="A78" s="2677" t="s">
        <v>2769</v>
      </c>
      <c r="B78" s="2682"/>
      <c r="C78" s="2558"/>
      <c r="D78" s="1374">
        <f t="shared" si="20"/>
        <v>0</v>
      </c>
      <c r="E78" s="841"/>
      <c r="F78" s="2681"/>
      <c r="G78" s="1375"/>
      <c r="H78" s="1379" t="str">
        <f t="shared" si="21"/>
        <v>——</v>
      </c>
      <c r="I78" s="837">
        <v>0.04</v>
      </c>
      <c r="J78" s="1376">
        <f t="shared" si="22"/>
        <v>0</v>
      </c>
      <c r="K78" s="1376">
        <f t="shared" si="23"/>
        <v>0</v>
      </c>
      <c r="L78" s="1376">
        <v>0</v>
      </c>
      <c r="M78" s="1376">
        <f t="shared" si="24"/>
        <v>0</v>
      </c>
      <c r="N78" s="1376">
        <f t="shared" si="24"/>
        <v>0</v>
      </c>
      <c r="Z78" s="2505"/>
      <c r="AA78" s="2582"/>
      <c r="AG78" s="2658"/>
      <c r="AK78" s="2582"/>
    </row>
    <row r="79" spans="1:37" ht="15">
      <c r="A79" s="2663" t="s">
        <v>2770</v>
      </c>
      <c r="B79" s="2679">
        <f>1+E81</f>
        <v>1</v>
      </c>
      <c r="C79" s="817"/>
      <c r="D79" s="817"/>
      <c r="E79" s="818"/>
      <c r="F79" s="2666"/>
      <c r="G79" s="7"/>
      <c r="H79" s="7"/>
      <c r="I79" s="7"/>
      <c r="J79" s="9"/>
      <c r="K79" s="9"/>
      <c r="L79" s="9"/>
      <c r="M79" s="9"/>
      <c r="N79" s="9"/>
      <c r="Z79" s="2505"/>
      <c r="AA79" s="2582"/>
      <c r="AG79" s="2658"/>
      <c r="AK79" s="2582"/>
    </row>
    <row r="80" spans="1:37" ht="24.75">
      <c r="A80" s="2668" t="s">
        <v>2736</v>
      </c>
      <c r="B80" s="2672"/>
      <c r="C80" s="823" t="s">
        <v>2738</v>
      </c>
      <c r="D80" s="823" t="s">
        <v>2739</v>
      </c>
      <c r="E80" s="824" t="s">
        <v>2740</v>
      </c>
      <c r="F80" s="2669" t="s">
        <v>2741</v>
      </c>
      <c r="G80" s="823" t="s">
        <v>2762</v>
      </c>
      <c r="H80" s="2670" t="s">
        <v>2763</v>
      </c>
      <c r="I80" s="823" t="s">
        <v>2764</v>
      </c>
      <c r="J80" s="587" t="s">
        <v>2397</v>
      </c>
      <c r="K80" s="587" t="s">
        <v>2398</v>
      </c>
      <c r="L80" s="587" t="s">
        <v>2399</v>
      </c>
      <c r="M80" s="587" t="s">
        <v>2400</v>
      </c>
      <c r="N80" s="587" t="s">
        <v>2401</v>
      </c>
      <c r="Z80" s="2505"/>
      <c r="AA80" s="2582"/>
      <c r="AG80" s="2658"/>
      <c r="AK80" s="2582"/>
    </row>
    <row r="81" spans="1:37" ht="38.25">
      <c r="A81" s="2668" t="s">
        <v>2771</v>
      </c>
      <c r="B81" s="2672" t="str">
        <f>估价对象房地状况!G15</f>
        <v>估价对象位于XX开发区，园区建设成熟度XX，产业集聚程度XX</v>
      </c>
      <c r="C81" s="2558"/>
      <c r="D81" s="1374">
        <f t="shared" ref="D81:D88" si="25">SUMIF($J$80:$N$80,C81,J81:N81)</f>
        <v>0</v>
      </c>
      <c r="E81" s="829">
        <f>ROUND(SUM(D81:D88),4)</f>
        <v>0</v>
      </c>
      <c r="F81" s="2274" t="str">
        <f>IF(E2="工业",SUMIF(L1:L12,G2,N1:N12),"——")</f>
        <v>——</v>
      </c>
      <c r="G81" s="1375"/>
      <c r="H81" s="1379" t="str">
        <f t="shared" ref="H81:H88" si="26">IFERROR(ROUNDDOWN($F$81*I81/2,4),"——")</f>
        <v>——</v>
      </c>
      <c r="I81" s="828">
        <v>0.26</v>
      </c>
      <c r="J81" s="1376">
        <f t="shared" ref="J81:J88" si="27">K81+$G81</f>
        <v>0</v>
      </c>
      <c r="K81" s="1376">
        <f t="shared" ref="K81:K88" si="28">$L81+$G81</f>
        <v>0</v>
      </c>
      <c r="L81" s="1376">
        <v>0</v>
      </c>
      <c r="M81" s="1376">
        <f t="shared" ref="M81:N88" si="29">L81-$G81</f>
        <v>0</v>
      </c>
      <c r="N81" s="1376">
        <f t="shared" si="29"/>
        <v>0</v>
      </c>
      <c r="Z81" s="2505"/>
      <c r="AA81" s="2582"/>
      <c r="AG81" s="2658"/>
      <c r="AK81" s="2582"/>
    </row>
    <row r="82" spans="1:37" ht="51">
      <c r="A82" s="2668" t="s">
        <v>2751</v>
      </c>
      <c r="B82" s="2672" t="str">
        <f>估价对象房地状况!G16</f>
        <v>估价对象周边道路状况、公共交通通达情况、停车便捷程度，综合评价交通便捷度较好</v>
      </c>
      <c r="C82" s="2558"/>
      <c r="D82" s="1374">
        <f t="shared" si="25"/>
        <v>0</v>
      </c>
      <c r="E82" s="840"/>
      <c r="F82" s="2681"/>
      <c r="G82" s="1375"/>
      <c r="H82" s="1379" t="str">
        <f t="shared" si="26"/>
        <v>——</v>
      </c>
      <c r="I82" s="828">
        <v>0.33</v>
      </c>
      <c r="J82" s="1376">
        <f t="shared" si="27"/>
        <v>0</v>
      </c>
      <c r="K82" s="1376">
        <f t="shared" si="28"/>
        <v>0</v>
      </c>
      <c r="L82" s="1376">
        <v>0</v>
      </c>
      <c r="M82" s="1376">
        <f t="shared" si="29"/>
        <v>0</v>
      </c>
      <c r="N82" s="1376">
        <f t="shared" si="29"/>
        <v>0</v>
      </c>
      <c r="Z82" s="2505"/>
      <c r="AA82" s="2582"/>
      <c r="AG82" s="2658"/>
      <c r="AK82" s="2582"/>
    </row>
    <row r="83" spans="1:37" ht="24">
      <c r="A83" s="2668" t="s">
        <v>2752</v>
      </c>
      <c r="B83" s="2672">
        <f>估价对象房地状况!G17</f>
        <v>0</v>
      </c>
      <c r="C83" s="2558"/>
      <c r="D83" s="1374">
        <f t="shared" si="25"/>
        <v>0</v>
      </c>
      <c r="E83" s="840"/>
      <c r="F83" s="2681"/>
      <c r="G83" s="1375"/>
      <c r="H83" s="1379" t="str">
        <f t="shared" si="26"/>
        <v>——</v>
      </c>
      <c r="I83" s="828">
        <v>0.05</v>
      </c>
      <c r="J83" s="1376">
        <f t="shared" si="27"/>
        <v>0</v>
      </c>
      <c r="K83" s="1376">
        <f t="shared" si="28"/>
        <v>0</v>
      </c>
      <c r="L83" s="1376">
        <v>0</v>
      </c>
      <c r="M83" s="1376">
        <f t="shared" si="29"/>
        <v>0</v>
      </c>
      <c r="N83" s="1376">
        <f t="shared" si="29"/>
        <v>0</v>
      </c>
      <c r="Z83" s="2505"/>
      <c r="AA83" s="2582"/>
      <c r="AG83" s="2658"/>
      <c r="AK83" s="2582"/>
    </row>
    <row r="84" spans="1:37" ht="14.25">
      <c r="A84" s="2668" t="s">
        <v>2768</v>
      </c>
      <c r="B84" s="2672">
        <f>估价对象房地状况!G22</f>
        <v>0</v>
      </c>
      <c r="C84" s="2558"/>
      <c r="D84" s="1374">
        <f t="shared" si="25"/>
        <v>0</v>
      </c>
      <c r="E84" s="840"/>
      <c r="F84" s="2681"/>
      <c r="G84" s="1375"/>
      <c r="H84" s="1379" t="str">
        <f t="shared" si="26"/>
        <v>——</v>
      </c>
      <c r="I84" s="828">
        <v>0.04</v>
      </c>
      <c r="J84" s="1376">
        <f t="shared" si="27"/>
        <v>0</v>
      </c>
      <c r="K84" s="1376">
        <f t="shared" si="28"/>
        <v>0</v>
      </c>
      <c r="L84" s="1376">
        <v>0</v>
      </c>
      <c r="M84" s="1376">
        <f t="shared" si="29"/>
        <v>0</v>
      </c>
      <c r="N84" s="1376">
        <f t="shared" si="29"/>
        <v>0</v>
      </c>
      <c r="Z84" s="2505"/>
      <c r="AA84" s="2582"/>
      <c r="AG84" s="2658"/>
      <c r="AK84" s="2582"/>
    </row>
    <row r="85" spans="1:37" ht="25.5">
      <c r="A85" s="2668" t="s">
        <v>2758</v>
      </c>
      <c r="B85" s="2676" t="str">
        <f>估价对象房地状况!G19</f>
        <v>估价对象所在区域公共配套设施齐备情况</v>
      </c>
      <c r="C85" s="2558"/>
      <c r="D85" s="1374">
        <f t="shared" si="25"/>
        <v>0</v>
      </c>
      <c r="E85" s="840"/>
      <c r="F85" s="2681"/>
      <c r="G85" s="1375"/>
      <c r="H85" s="1379" t="str">
        <f t="shared" si="26"/>
        <v>——</v>
      </c>
      <c r="I85" s="828">
        <v>0.06</v>
      </c>
      <c r="J85" s="1376">
        <f t="shared" si="27"/>
        <v>0</v>
      </c>
      <c r="K85" s="1376">
        <f t="shared" si="28"/>
        <v>0</v>
      </c>
      <c r="L85" s="1376">
        <v>0</v>
      </c>
      <c r="M85" s="1376">
        <f t="shared" si="29"/>
        <v>0</v>
      </c>
      <c r="N85" s="1376">
        <f t="shared" si="29"/>
        <v>0</v>
      </c>
      <c r="Z85" s="2505"/>
      <c r="AA85" s="2582"/>
      <c r="AG85" s="2658"/>
      <c r="AK85" s="2582"/>
    </row>
    <row r="86" spans="1:37" ht="25.5">
      <c r="A86" s="2668" t="s">
        <v>2759</v>
      </c>
      <c r="B86" s="2676" t="str">
        <f>估价对象房地状况!G20</f>
        <v>估价对象所在区域基础设施水平</v>
      </c>
      <c r="C86" s="2558"/>
      <c r="D86" s="1374">
        <f t="shared" si="25"/>
        <v>0</v>
      </c>
      <c r="E86" s="840"/>
      <c r="F86" s="2681"/>
      <c r="G86" s="1375"/>
      <c r="H86" s="1379" t="str">
        <f t="shared" si="26"/>
        <v>——</v>
      </c>
      <c r="I86" s="828">
        <v>0.15</v>
      </c>
      <c r="J86" s="1376">
        <f t="shared" si="27"/>
        <v>0</v>
      </c>
      <c r="K86" s="1376">
        <f t="shared" si="28"/>
        <v>0</v>
      </c>
      <c r="L86" s="1376">
        <v>0</v>
      </c>
      <c r="M86" s="1376">
        <f t="shared" si="29"/>
        <v>0</v>
      </c>
      <c r="N86" s="1376">
        <f t="shared" si="29"/>
        <v>0</v>
      </c>
      <c r="Z86" s="2505"/>
      <c r="AA86" s="2582"/>
      <c r="AG86" s="2658"/>
      <c r="AK86" s="2582"/>
    </row>
    <row r="87" spans="1:37" ht="24">
      <c r="A87" s="2668" t="s">
        <v>2756</v>
      </c>
      <c r="B87" s="2674" t="s">
        <v>2757</v>
      </c>
      <c r="C87" s="2558"/>
      <c r="D87" s="1374">
        <f t="shared" si="25"/>
        <v>0</v>
      </c>
      <c r="E87" s="840"/>
      <c r="F87" s="2681"/>
      <c r="G87" s="1375"/>
      <c r="H87" s="1379" t="str">
        <f t="shared" si="26"/>
        <v>——</v>
      </c>
      <c r="I87" s="828">
        <v>0.05</v>
      </c>
      <c r="J87" s="1376">
        <f t="shared" si="27"/>
        <v>0</v>
      </c>
      <c r="K87" s="1376">
        <f t="shared" si="28"/>
        <v>0</v>
      </c>
      <c r="L87" s="1376">
        <v>0</v>
      </c>
      <c r="M87" s="1376">
        <f t="shared" si="29"/>
        <v>0</v>
      </c>
      <c r="N87" s="1376">
        <f t="shared" si="29"/>
        <v>0</v>
      </c>
      <c r="Z87" s="2505"/>
      <c r="AA87" s="2582"/>
      <c r="AG87" s="2658"/>
      <c r="AK87" s="2582"/>
    </row>
    <row r="88" spans="1:37" ht="39" thickBot="1">
      <c r="A88" s="2677" t="s">
        <v>2772</v>
      </c>
      <c r="B88" s="2683" t="str">
        <f>估价对象房地状况!G18</f>
        <v>该园区内是否有污染型企业，绿化情况，卫生条件，整体环境状况判断</v>
      </c>
      <c r="C88" s="2684"/>
      <c r="D88" s="1380">
        <f t="shared" si="25"/>
        <v>0</v>
      </c>
      <c r="E88" s="841"/>
      <c r="F88" s="2681"/>
      <c r="G88" s="1375"/>
      <c r="H88" s="1379" t="str">
        <f t="shared" si="26"/>
        <v>——</v>
      </c>
      <c r="I88" s="837">
        <v>0.06</v>
      </c>
      <c r="J88" s="1376">
        <f t="shared" si="27"/>
        <v>0</v>
      </c>
      <c r="K88" s="1376">
        <f t="shared" si="28"/>
        <v>0</v>
      </c>
      <c r="L88" s="1376">
        <v>0</v>
      </c>
      <c r="M88" s="1376">
        <f t="shared" si="29"/>
        <v>0</v>
      </c>
      <c r="N88" s="1376">
        <f t="shared" si="29"/>
        <v>0</v>
      </c>
      <c r="Z88" s="2505"/>
      <c r="AA88" s="2582"/>
      <c r="AG88" s="2658"/>
      <c r="AK88" s="2582"/>
    </row>
    <row r="90" spans="1:37">
      <c r="A90" s="3081" t="s">
        <v>2773</v>
      </c>
      <c r="B90" s="3081"/>
      <c r="C90" s="3081"/>
      <c r="D90" s="3081"/>
      <c r="E90" s="3081"/>
      <c r="F90" s="3081"/>
      <c r="G90" s="3081"/>
      <c r="H90" s="3081"/>
      <c r="I90" s="3081"/>
      <c r="J90" s="3081"/>
      <c r="K90" s="2685"/>
      <c r="L90" s="2685"/>
      <c r="M90" s="2685"/>
      <c r="N90" s="2685"/>
    </row>
    <row r="91" spans="1:37">
      <c r="A91" s="3083" t="s">
        <v>2774</v>
      </c>
      <c r="B91" s="3083" t="s">
        <v>2775</v>
      </c>
      <c r="C91" s="2633" t="s">
        <v>2776</v>
      </c>
      <c r="D91" s="2634"/>
      <c r="E91" s="2634"/>
      <c r="F91" s="2634"/>
      <c r="G91" s="2634"/>
      <c r="H91" s="2634"/>
      <c r="I91" s="2634"/>
      <c r="J91" s="2686"/>
      <c r="K91" s="2687"/>
      <c r="L91" s="2687"/>
      <c r="M91" s="2687"/>
      <c r="N91" s="2687"/>
    </row>
    <row r="92" spans="1:37">
      <c r="A92" s="3083"/>
      <c r="B92" s="3083"/>
      <c r="C92" s="972" t="s">
        <v>2628</v>
      </c>
      <c r="D92" s="972" t="s">
        <v>2629</v>
      </c>
      <c r="E92" s="972" t="s">
        <v>2630</v>
      </c>
      <c r="F92" s="972" t="s">
        <v>2631</v>
      </c>
      <c r="G92" s="972" t="s">
        <v>2632</v>
      </c>
      <c r="H92" s="972" t="s">
        <v>2633</v>
      </c>
      <c r="I92" s="972" t="s">
        <v>2634</v>
      </c>
      <c r="J92" s="972" t="s">
        <v>2635</v>
      </c>
      <c r="K92" s="972" t="s">
        <v>2636</v>
      </c>
      <c r="L92" s="972" t="s">
        <v>2637</v>
      </c>
      <c r="M92" s="972" t="s">
        <v>2638</v>
      </c>
      <c r="N92" s="972" t="s">
        <v>2639</v>
      </c>
    </row>
    <row r="93" spans="1:37">
      <c r="A93" s="3084" t="s">
        <v>2777</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85"/>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85"/>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85"/>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85"/>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85"/>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85"/>
      <c r="B99" s="2688" t="s">
        <v>2644</v>
      </c>
      <c r="C99" s="2690">
        <f>$I$3</f>
        <v>0</v>
      </c>
      <c r="D99" s="2690">
        <f t="shared" ref="D99:M99" si="30">$I$3</f>
        <v>0</v>
      </c>
      <c r="E99" s="2690">
        <f t="shared" si="30"/>
        <v>0</v>
      </c>
      <c r="F99" s="2690">
        <f t="shared" si="30"/>
        <v>0</v>
      </c>
      <c r="G99" s="2690">
        <f t="shared" si="30"/>
        <v>0</v>
      </c>
      <c r="H99" s="2690">
        <f t="shared" si="30"/>
        <v>0</v>
      </c>
      <c r="I99" s="2690">
        <f t="shared" si="30"/>
        <v>0</v>
      </c>
      <c r="J99" s="2690">
        <f t="shared" si="30"/>
        <v>0</v>
      </c>
      <c r="K99" s="2690">
        <f t="shared" si="30"/>
        <v>0</v>
      </c>
      <c r="L99" s="2690">
        <f t="shared" si="30"/>
        <v>0</v>
      </c>
      <c r="M99" s="2690">
        <f t="shared" si="30"/>
        <v>0</v>
      </c>
      <c r="N99" s="2690">
        <f>$I$3</f>
        <v>0</v>
      </c>
    </row>
    <row r="100" spans="1:14">
      <c r="A100" s="3086"/>
      <c r="B100" s="2688">
        <v>7</v>
      </c>
      <c r="C100" s="2691">
        <f>(-0.163*(C99^2)-0.59*C99+7617)*(10^(-4))</f>
        <v>0.76170000000000004</v>
      </c>
      <c r="D100" s="2691">
        <f>(-0.163*(D99^2)-0.59*D99+7617)*(10^(-4))</f>
        <v>0.76170000000000004</v>
      </c>
      <c r="E100" s="2691">
        <f>(-0.161*(E99^2)-7.509*E99+6533)*(10^(-4))</f>
        <v>0.65329999999999999</v>
      </c>
      <c r="F100" s="2691">
        <f>(-0.161*(F99^2)-7.509*F99+6533)*(10^(-4))</f>
        <v>0.65329999999999999</v>
      </c>
      <c r="G100" s="2691">
        <f>(-0.161*(G99^2)-7.509*G99+6533)*(10^(-4))</f>
        <v>0.65329999999999999</v>
      </c>
      <c r="H100" s="2691">
        <f>(-0.161*(H99^2)-7.509*H99+6533)*(10^(-4))</f>
        <v>0.65329999999999999</v>
      </c>
      <c r="I100" s="2691">
        <f>(-0.161*(I99^2)-7.509*I99+6533)*(10^(-4))</f>
        <v>0.65329999999999999</v>
      </c>
      <c r="J100" s="2691">
        <f>(-0.214*(J99^2)-21.991*J99+4665)*(10^(-4))</f>
        <v>0.46650000000000003</v>
      </c>
      <c r="K100" s="2691">
        <f>(-0.214*(K99^2)-21.991*K99+4665)*(10^(-4))</f>
        <v>0.46650000000000003</v>
      </c>
      <c r="L100" s="2691">
        <f>(-0.214*(L99^2)-21.991*L99+4665)*(10^(-4))</f>
        <v>0.46650000000000003</v>
      </c>
      <c r="M100" s="2691">
        <f>(-0.214*(M99^2)-21.991*M99+4665)*(10^(-4))</f>
        <v>0.46650000000000003</v>
      </c>
      <c r="N100" s="2691">
        <f>(-0.214*(N99^2)-21.991*N99+4665)*(10^(-4))</f>
        <v>0.46650000000000003</v>
      </c>
    </row>
    <row r="101" spans="1:14">
      <c r="A101" s="3084" t="s">
        <v>2778</v>
      </c>
      <c r="B101" s="2692" t="s">
        <v>2779</v>
      </c>
      <c r="C101" s="2693">
        <f>$G$3</f>
        <v>3.6</v>
      </c>
      <c r="D101" s="2693">
        <f t="shared" ref="D101:N101" si="31">$G$3</f>
        <v>3.6</v>
      </c>
      <c r="E101" s="2693">
        <f t="shared" si="31"/>
        <v>3.6</v>
      </c>
      <c r="F101" s="2693">
        <f t="shared" si="31"/>
        <v>3.6</v>
      </c>
      <c r="G101" s="2693">
        <f t="shared" si="31"/>
        <v>3.6</v>
      </c>
      <c r="H101" s="2693">
        <f t="shared" si="31"/>
        <v>3.6</v>
      </c>
      <c r="I101" s="2693">
        <f t="shared" si="31"/>
        <v>3.6</v>
      </c>
      <c r="J101" s="2693">
        <f t="shared" si="31"/>
        <v>3.6</v>
      </c>
      <c r="K101" s="2693">
        <f t="shared" si="31"/>
        <v>3.6</v>
      </c>
      <c r="L101" s="2693">
        <f t="shared" si="31"/>
        <v>3.6</v>
      </c>
      <c r="M101" s="2693">
        <f t="shared" si="31"/>
        <v>3.6</v>
      </c>
      <c r="N101" s="2693">
        <f t="shared" si="31"/>
        <v>3.6</v>
      </c>
    </row>
    <row r="102" spans="1:14">
      <c r="A102" s="3085"/>
      <c r="B102" s="2688">
        <v>1</v>
      </c>
      <c r="C102" s="2689">
        <f>1.9362/C101</f>
        <v>0.53783333333333327</v>
      </c>
      <c r="D102" s="2689">
        <f>1.9362/D101</f>
        <v>0.53783333333333327</v>
      </c>
      <c r="E102" s="2689">
        <f>1.8629/E101</f>
        <v>0.51747222222222222</v>
      </c>
      <c r="F102" s="2689">
        <f>1.8629/F101</f>
        <v>0.51747222222222222</v>
      </c>
      <c r="G102" s="2689">
        <f>1.8629/G101</f>
        <v>0.51747222222222222</v>
      </c>
      <c r="H102" s="2689">
        <f>1.8629/H101</f>
        <v>0.51747222222222222</v>
      </c>
      <c r="I102" s="2689">
        <f>1.8629/I101</f>
        <v>0.51747222222222222</v>
      </c>
      <c r="J102" s="2689">
        <f>1.942/J101</f>
        <v>0.53944444444444439</v>
      </c>
      <c r="K102" s="2689">
        <f>1.942/K101</f>
        <v>0.53944444444444439</v>
      </c>
      <c r="L102" s="2689">
        <f>1.942/L101</f>
        <v>0.53944444444444439</v>
      </c>
      <c r="M102" s="2689">
        <f>1.942/M101</f>
        <v>0.53944444444444439</v>
      </c>
      <c r="N102" s="2689">
        <f>1.942/N101</f>
        <v>0.53944444444444439</v>
      </c>
    </row>
    <row r="103" spans="1:14">
      <c r="A103" s="3085"/>
      <c r="B103" s="2688">
        <v>2</v>
      </c>
      <c r="C103" s="2689">
        <f>1.4198/C101</f>
        <v>0.39438888888888884</v>
      </c>
      <c r="D103" s="2689">
        <f>1.4198/D101</f>
        <v>0.39438888888888884</v>
      </c>
      <c r="E103" s="2689">
        <f>1.3372/E101</f>
        <v>0.37144444444444441</v>
      </c>
      <c r="F103" s="2689">
        <f>1.3372/F101</f>
        <v>0.37144444444444441</v>
      </c>
      <c r="G103" s="2689">
        <f>1.3372/G101</f>
        <v>0.37144444444444441</v>
      </c>
      <c r="H103" s="2689">
        <f>1.3372/H101</f>
        <v>0.37144444444444441</v>
      </c>
      <c r="I103" s="2689">
        <f>1.3372/I101</f>
        <v>0.37144444444444441</v>
      </c>
      <c r="J103" s="2689">
        <f>1.2799/J101</f>
        <v>0.35552777777777778</v>
      </c>
      <c r="K103" s="2689">
        <f>1.2799/K101</f>
        <v>0.35552777777777778</v>
      </c>
      <c r="L103" s="2689">
        <f>1.2799/L101</f>
        <v>0.35552777777777778</v>
      </c>
      <c r="M103" s="2689">
        <f>1.2799/M101</f>
        <v>0.35552777777777778</v>
      </c>
      <c r="N103" s="2689">
        <f>1.2799/N101</f>
        <v>0.35552777777777778</v>
      </c>
    </row>
    <row r="104" spans="1:14">
      <c r="A104" s="3085"/>
      <c r="B104" s="2688">
        <v>3</v>
      </c>
      <c r="C104" s="2689">
        <f>1.1594/C101</f>
        <v>0.32205555555555554</v>
      </c>
      <c r="D104" s="2689">
        <f>1.1594/D101</f>
        <v>0.32205555555555554</v>
      </c>
      <c r="E104" s="2689">
        <f>1.0788/E101</f>
        <v>0.29966666666666664</v>
      </c>
      <c r="F104" s="2689">
        <f>1.0788/F101</f>
        <v>0.29966666666666664</v>
      </c>
      <c r="G104" s="2689">
        <f>1.0788/G101</f>
        <v>0.29966666666666664</v>
      </c>
      <c r="H104" s="2689">
        <f>1.0788/H101</f>
        <v>0.29966666666666664</v>
      </c>
      <c r="I104" s="2689">
        <f>1.0788/I101</f>
        <v>0.29966666666666664</v>
      </c>
      <c r="J104" s="2689">
        <f>1.0072/J101</f>
        <v>0.27977777777777779</v>
      </c>
      <c r="K104" s="2689">
        <f>1.0072/K101</f>
        <v>0.27977777777777779</v>
      </c>
      <c r="L104" s="2689">
        <f>1.0072/L101</f>
        <v>0.27977777777777779</v>
      </c>
      <c r="M104" s="2689">
        <f>1.0072/M101</f>
        <v>0.27977777777777779</v>
      </c>
      <c r="N104" s="2689">
        <f>1.0072/N101</f>
        <v>0.27977777777777779</v>
      </c>
    </row>
    <row r="105" spans="1:14">
      <c r="A105" s="3085"/>
      <c r="B105" s="2688">
        <v>4</v>
      </c>
      <c r="C105" s="2689">
        <f>0.9622/C101</f>
        <v>0.26727777777777778</v>
      </c>
      <c r="D105" s="2689">
        <f>0.9622/D101</f>
        <v>0.26727777777777778</v>
      </c>
      <c r="E105" s="2689">
        <f>0.8656/E101</f>
        <v>0.24044444444444446</v>
      </c>
      <c r="F105" s="2689">
        <f>0.8656/F101</f>
        <v>0.24044444444444446</v>
      </c>
      <c r="G105" s="2689">
        <f>0.8656/G101</f>
        <v>0.24044444444444446</v>
      </c>
      <c r="H105" s="2689">
        <f>0.8656/H101</f>
        <v>0.24044444444444446</v>
      </c>
      <c r="I105" s="2689">
        <f>0.8656/I101</f>
        <v>0.24044444444444446</v>
      </c>
      <c r="J105" s="2689">
        <f>0.7525/J101</f>
        <v>0.20902777777777776</v>
      </c>
      <c r="K105" s="2689">
        <f>0.7525/K101</f>
        <v>0.20902777777777776</v>
      </c>
      <c r="L105" s="2689">
        <f>0.7525/L101</f>
        <v>0.20902777777777776</v>
      </c>
      <c r="M105" s="2689">
        <f>0.7525/M101</f>
        <v>0.20902777777777776</v>
      </c>
      <c r="N105" s="2689">
        <f>0.7525/N101</f>
        <v>0.20902777777777776</v>
      </c>
    </row>
    <row r="106" spans="1:14">
      <c r="A106" s="3085"/>
      <c r="B106" s="2688">
        <v>5</v>
      </c>
      <c r="C106" s="2689">
        <f>0.8417/C101</f>
        <v>0.23380555555555554</v>
      </c>
      <c r="D106" s="2689">
        <f>0.8417/D101</f>
        <v>0.23380555555555554</v>
      </c>
      <c r="E106" s="2689">
        <f>0.7371/E101</f>
        <v>0.20474999999999999</v>
      </c>
      <c r="F106" s="2689">
        <f>0.7371/F101</f>
        <v>0.20474999999999999</v>
      </c>
      <c r="G106" s="2689">
        <f>0.7371/G101</f>
        <v>0.20474999999999999</v>
      </c>
      <c r="H106" s="2689">
        <f>0.7371/H101</f>
        <v>0.20474999999999999</v>
      </c>
      <c r="I106" s="2689">
        <f>0.7371/I101</f>
        <v>0.20474999999999999</v>
      </c>
      <c r="J106" s="2689">
        <f>0.5659/J101</f>
        <v>0.15719444444444444</v>
      </c>
      <c r="K106" s="2689">
        <f>0.5659/K101</f>
        <v>0.15719444444444444</v>
      </c>
      <c r="L106" s="2689">
        <f>0.5659/L101</f>
        <v>0.15719444444444444</v>
      </c>
      <c r="M106" s="2689">
        <f>0.5659/M101</f>
        <v>0.15719444444444444</v>
      </c>
      <c r="N106" s="2689">
        <f>0.5659/N101</f>
        <v>0.15719444444444444</v>
      </c>
    </row>
    <row r="107" spans="1:14">
      <c r="A107" s="3085"/>
      <c r="B107" s="2688">
        <v>6</v>
      </c>
      <c r="C107" s="2689">
        <f>0.7608/C101</f>
        <v>0.21133333333333335</v>
      </c>
      <c r="D107" s="2689">
        <f>0.7608/D101</f>
        <v>0.21133333333333335</v>
      </c>
      <c r="E107" s="2689">
        <f>0.6482/E101</f>
        <v>0.18005555555555555</v>
      </c>
      <c r="F107" s="2689">
        <f>0.6482/F101</f>
        <v>0.18005555555555555</v>
      </c>
      <c r="G107" s="2689">
        <f>0.6482/G101</f>
        <v>0.18005555555555555</v>
      </c>
      <c r="H107" s="2689">
        <f>0.6482/H101</f>
        <v>0.18005555555555555</v>
      </c>
      <c r="I107" s="2689">
        <f>0.6482/I101</f>
        <v>0.18005555555555555</v>
      </c>
      <c r="J107" s="2689">
        <f>0.4525/J101</f>
        <v>0.12569444444444444</v>
      </c>
      <c r="K107" s="2689">
        <f>0.4525/K101</f>
        <v>0.12569444444444444</v>
      </c>
      <c r="L107" s="2689">
        <f>0.4525/L101</f>
        <v>0.12569444444444444</v>
      </c>
      <c r="M107" s="2689">
        <f>0.4525/M101</f>
        <v>0.12569444444444444</v>
      </c>
      <c r="N107" s="2689">
        <f>0.4525/N101</f>
        <v>0.12569444444444444</v>
      </c>
    </row>
    <row r="108" spans="1:14">
      <c r="A108" s="3085"/>
      <c r="B108" s="3087" t="s">
        <v>2780</v>
      </c>
      <c r="C108" s="2690">
        <f>C99</f>
        <v>0</v>
      </c>
      <c r="D108" s="2690">
        <f t="shared" ref="D108:N108" si="32">D99</f>
        <v>0</v>
      </c>
      <c r="E108" s="2690">
        <f t="shared" si="32"/>
        <v>0</v>
      </c>
      <c r="F108" s="2690">
        <f t="shared" si="32"/>
        <v>0</v>
      </c>
      <c r="G108" s="2690">
        <f t="shared" si="32"/>
        <v>0</v>
      </c>
      <c r="H108" s="2690">
        <f t="shared" si="32"/>
        <v>0</v>
      </c>
      <c r="I108" s="2690">
        <f t="shared" si="32"/>
        <v>0</v>
      </c>
      <c r="J108" s="2690">
        <f t="shared" si="32"/>
        <v>0</v>
      </c>
      <c r="K108" s="2690">
        <f t="shared" si="32"/>
        <v>0</v>
      </c>
      <c r="L108" s="2690">
        <f t="shared" si="32"/>
        <v>0</v>
      </c>
      <c r="M108" s="2690">
        <f t="shared" si="32"/>
        <v>0</v>
      </c>
      <c r="N108" s="2690">
        <f t="shared" si="32"/>
        <v>0</v>
      </c>
    </row>
    <row r="109" spans="1:14">
      <c r="A109" s="3086"/>
      <c r="B109" s="3088"/>
      <c r="C109" s="2691">
        <f>(-0.163*(C108^2)-0.59*C108+7617)*(10^(-4))/C101</f>
        <v>0.21158333333333335</v>
      </c>
      <c r="D109" s="2691">
        <f>(-0.163*(D108^2)-0.59*D108+7617)*(10^(-4))/D101</f>
        <v>0.21158333333333335</v>
      </c>
      <c r="E109" s="2691">
        <f>(-0.161*(E108^2)-7.509*E108+6533)*(10^(-4))/E101</f>
        <v>0.18147222222222223</v>
      </c>
      <c r="F109" s="2691">
        <f>(-0.161*(F108^2)-7.509*F108+6533)*(10^(-4))/F101</f>
        <v>0.18147222222222223</v>
      </c>
      <c r="G109" s="2691">
        <f>(-0.161*(G108^2)-7.509*G108+6533)*(10^(-4))/G101</f>
        <v>0.18147222222222223</v>
      </c>
      <c r="H109" s="2691">
        <f>(-0.161*(H108^2)-7.509*H108+6533)*(10^(-4))/H101</f>
        <v>0.18147222222222223</v>
      </c>
      <c r="I109" s="2691">
        <f>(-0.161*(I108^2)-7.509*I108+6533)*(10^(-4))/I101</f>
        <v>0.18147222222222223</v>
      </c>
      <c r="J109" s="2691">
        <f>(-0.214*(J108^2)-21.991*J108+4665)*(10^(-4))/J101</f>
        <v>0.12958333333333333</v>
      </c>
      <c r="K109" s="2691">
        <f>(-0.214*(K108^2)-21.991*K108+4665)*(10^(-4))/K101</f>
        <v>0.12958333333333333</v>
      </c>
      <c r="L109" s="2691">
        <f>(-0.214*(L108^2)-21.991*L108+4665)*(10^(-4))/L101</f>
        <v>0.12958333333333333</v>
      </c>
      <c r="M109" s="2691">
        <f>(-0.214*(M108^2)-21.991*M108+4665)*(10^(-4))/M101</f>
        <v>0.12958333333333333</v>
      </c>
      <c r="N109" s="2691">
        <f>(-0.214*(N108^2)-21.991*N108+4665)*(10^(-4))/N101</f>
        <v>0.12958333333333333</v>
      </c>
    </row>
    <row r="110" spans="1:14">
      <c r="A110" s="3082" t="s">
        <v>2781</v>
      </c>
      <c r="B110" s="3082"/>
      <c r="C110" s="3082"/>
      <c r="D110" s="3082"/>
      <c r="E110" s="3082"/>
      <c r="F110" s="3082"/>
      <c r="G110" s="3082"/>
      <c r="H110" s="3082"/>
      <c r="I110" s="3082"/>
      <c r="J110" s="3082"/>
      <c r="K110" s="2694"/>
      <c r="L110" s="2694"/>
      <c r="M110" s="2694"/>
      <c r="N110" s="2694"/>
    </row>
    <row r="112" spans="1:14" ht="13.5" thickBot="1"/>
    <row r="113" spans="1:13" ht="25.5" thickBot="1">
      <c r="A113" s="928" t="s">
        <v>2782</v>
      </c>
      <c r="B113" s="1377">
        <f>G3</f>
        <v>3.6</v>
      </c>
      <c r="C113" s="929" t="s">
        <v>2783</v>
      </c>
      <c r="D113" s="930">
        <f>SUMPRODUCT((A115:A118=F113)*(B114:M114=H113)*B115:M118)</f>
        <v>0.90580000000000005</v>
      </c>
      <c r="E113" s="2696" t="s">
        <v>2668</v>
      </c>
      <c r="F113" s="2697" t="str">
        <f>E2</f>
        <v>办公</v>
      </c>
      <c r="G113" s="2696" t="s">
        <v>2602</v>
      </c>
      <c r="H113" s="2697" t="str">
        <f>G2</f>
        <v>二级</v>
      </c>
      <c r="I113" s="2696"/>
      <c r="J113" s="2698"/>
      <c r="K113" s="2698"/>
      <c r="L113" s="2698"/>
      <c r="M113" s="2698"/>
    </row>
    <row r="114" spans="1:13">
      <c r="A114" s="933"/>
      <c r="B114" s="2699" t="s">
        <v>2784</v>
      </c>
      <c r="C114" s="2699" t="s">
        <v>2785</v>
      </c>
      <c r="D114" s="2699" t="s">
        <v>2786</v>
      </c>
      <c r="E114" s="2700" t="s">
        <v>2787</v>
      </c>
      <c r="F114" s="2700" t="s">
        <v>2788</v>
      </c>
      <c r="G114" s="2700" t="s">
        <v>2789</v>
      </c>
      <c r="H114" s="2701" t="s">
        <v>2790</v>
      </c>
      <c r="I114" s="2701" t="s">
        <v>2791</v>
      </c>
      <c r="J114" s="2702" t="s">
        <v>2792</v>
      </c>
      <c r="K114" s="2702" t="s">
        <v>2793</v>
      </c>
      <c r="L114" s="2702" t="s">
        <v>2794</v>
      </c>
      <c r="M114" s="2703" t="s">
        <v>2795</v>
      </c>
    </row>
    <row r="115" spans="1:13">
      <c r="A115" s="934" t="s">
        <v>2669</v>
      </c>
      <c r="B115" s="935">
        <f>ROUND(0.9335-0.0094*B113,4)</f>
        <v>0.89970000000000006</v>
      </c>
      <c r="C115" s="935">
        <f>B115</f>
        <v>0.89970000000000006</v>
      </c>
      <c r="D115" s="935">
        <f>ROUND(0.8331-0.0109*B113,4)</f>
        <v>0.79390000000000005</v>
      </c>
      <c r="E115" s="935">
        <f>D115</f>
        <v>0.79390000000000005</v>
      </c>
      <c r="F115" s="935">
        <f>E115</f>
        <v>0.79390000000000005</v>
      </c>
      <c r="G115" s="935">
        <f>F115</f>
        <v>0.79390000000000005</v>
      </c>
      <c r="H115" s="935">
        <f>G115</f>
        <v>0.79390000000000005</v>
      </c>
      <c r="I115" s="935">
        <f>ROUND(0.689-0.0155*B113,4)</f>
        <v>0.63319999999999999</v>
      </c>
      <c r="J115" s="935">
        <f t="shared" ref="J115:M118" si="33">I115</f>
        <v>0.63319999999999999</v>
      </c>
      <c r="K115" s="935">
        <f t="shared" si="33"/>
        <v>0.63319999999999999</v>
      </c>
      <c r="L115" s="935">
        <f t="shared" si="33"/>
        <v>0.63319999999999999</v>
      </c>
      <c r="M115" s="936">
        <f t="shared" si="33"/>
        <v>0.63319999999999999</v>
      </c>
    </row>
    <row r="116" spans="1:13">
      <c r="A116" s="934" t="s">
        <v>2670</v>
      </c>
      <c r="B116" s="935">
        <f>ROUND(0.949-0.012*B113,4)</f>
        <v>0.90580000000000005</v>
      </c>
      <c r="C116" s="935">
        <f>B116</f>
        <v>0.90580000000000005</v>
      </c>
      <c r="D116" s="935">
        <f>ROUND(0.8567-0.013*B113,4)</f>
        <v>0.80989999999999995</v>
      </c>
      <c r="E116" s="935">
        <f t="shared" ref="E116:H117" si="34">D116</f>
        <v>0.80989999999999995</v>
      </c>
      <c r="F116" s="935">
        <f t="shared" si="34"/>
        <v>0.80989999999999995</v>
      </c>
      <c r="G116" s="935">
        <f t="shared" si="34"/>
        <v>0.80989999999999995</v>
      </c>
      <c r="H116" s="935">
        <f t="shared" si="34"/>
        <v>0.80989999999999995</v>
      </c>
      <c r="I116" s="935">
        <f>ROUND(0.7694-0.014*B113,4)</f>
        <v>0.71899999999999997</v>
      </c>
      <c r="J116" s="935">
        <f t="shared" si="33"/>
        <v>0.71899999999999997</v>
      </c>
      <c r="K116" s="935">
        <f t="shared" si="33"/>
        <v>0.71899999999999997</v>
      </c>
      <c r="L116" s="935">
        <f t="shared" si="33"/>
        <v>0.71899999999999997</v>
      </c>
      <c r="M116" s="936">
        <f t="shared" si="33"/>
        <v>0.71899999999999997</v>
      </c>
    </row>
    <row r="117" spans="1:13">
      <c r="A117" s="934" t="s">
        <v>2671</v>
      </c>
      <c r="B117" s="935">
        <f>ROUND(0.8808-0.006*B113,4)</f>
        <v>0.85919999999999996</v>
      </c>
      <c r="C117" s="935">
        <f>B117</f>
        <v>0.85919999999999996</v>
      </c>
      <c r="D117" s="935">
        <f>ROUND(0.8748-0.008*B113,4)</f>
        <v>0.84599999999999997</v>
      </c>
      <c r="E117" s="935">
        <f t="shared" si="34"/>
        <v>0.84599999999999997</v>
      </c>
      <c r="F117" s="935">
        <f t="shared" si="34"/>
        <v>0.84599999999999997</v>
      </c>
      <c r="G117" s="935">
        <f t="shared" si="34"/>
        <v>0.84599999999999997</v>
      </c>
      <c r="H117" s="935">
        <f t="shared" si="34"/>
        <v>0.84599999999999997</v>
      </c>
      <c r="I117" s="935">
        <f>ROUND(0.7412-0.0095*B113,4)</f>
        <v>0.70699999999999996</v>
      </c>
      <c r="J117" s="935">
        <f t="shared" si="33"/>
        <v>0.70699999999999996</v>
      </c>
      <c r="K117" s="935">
        <f t="shared" si="33"/>
        <v>0.70699999999999996</v>
      </c>
      <c r="L117" s="935">
        <f t="shared" si="33"/>
        <v>0.70699999999999996</v>
      </c>
      <c r="M117" s="936">
        <f t="shared" si="33"/>
        <v>0.70699999999999996</v>
      </c>
    </row>
    <row r="118" spans="1:13" ht="13.5" thickBot="1">
      <c r="A118" s="702" t="s">
        <v>2672</v>
      </c>
      <c r="B118" s="937">
        <f>ROUND(0.7275-0.01*B113,4)</f>
        <v>0.6915</v>
      </c>
      <c r="C118" s="937">
        <f>B118</f>
        <v>0.6915</v>
      </c>
      <c r="D118" s="937">
        <f>ROUND(0.7043-0.012*B113,4)</f>
        <v>0.66110000000000002</v>
      </c>
      <c r="E118" s="937">
        <f>D118</f>
        <v>0.66110000000000002</v>
      </c>
      <c r="F118" s="937">
        <f>E118</f>
        <v>0.66110000000000002</v>
      </c>
      <c r="G118" s="937">
        <f>ROUND(0.6299-0.0122*B113,4)</f>
        <v>0.58599999999999997</v>
      </c>
      <c r="H118" s="937">
        <f>G118</f>
        <v>0.58599999999999997</v>
      </c>
      <c r="I118" s="937">
        <f>ROUND(0.5667-0.0136*B113,4)</f>
        <v>0.51770000000000005</v>
      </c>
      <c r="J118" s="937">
        <f t="shared" si="33"/>
        <v>0.51770000000000005</v>
      </c>
      <c r="K118" s="937">
        <f t="shared" si="33"/>
        <v>0.51770000000000005</v>
      </c>
      <c r="L118" s="937">
        <f t="shared" si="33"/>
        <v>0.51770000000000005</v>
      </c>
      <c r="M118" s="938">
        <f t="shared" si="33"/>
        <v>0.51770000000000005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2" t="s">
        <v>787</v>
      </c>
      <c r="B1" s="3092"/>
    </row>
    <row r="2" spans="1:6" ht="14.25" thickBot="1">
      <c r="A2" s="1094"/>
      <c r="B2" s="1094"/>
    </row>
    <row r="3" spans="1:6" ht="14.25" thickBot="1">
      <c r="A3" s="1094"/>
      <c r="B3" s="1094"/>
      <c r="C3" s="1097" t="s">
        <v>788</v>
      </c>
      <c r="D3" s="1097" t="s">
        <v>789</v>
      </c>
      <c r="E3" s="1097" t="s">
        <v>790</v>
      </c>
      <c r="F3" s="1097" t="s">
        <v>791</v>
      </c>
    </row>
    <row r="4" spans="1:6" ht="14.25" thickBot="1">
      <c r="A4" s="1098" t="s">
        <v>792</v>
      </c>
      <c r="B4" s="1099" t="s">
        <v>793</v>
      </c>
      <c r="C4" s="1097"/>
      <c r="D4" s="1097"/>
      <c r="E4" s="1097"/>
      <c r="F4" s="1097"/>
    </row>
    <row r="5" spans="1:6" ht="14.25" thickBot="1">
      <c r="A5" s="856" t="s">
        <v>794</v>
      </c>
      <c r="B5" s="857" t="s">
        <v>795</v>
      </c>
      <c r="C5" s="1100">
        <v>8.8999999999999996E-2</v>
      </c>
      <c r="D5" s="1100">
        <v>7.3999999999999996E-2</v>
      </c>
      <c r="E5" s="1100">
        <v>7.4999999999999997E-2</v>
      </c>
      <c r="F5" s="1101">
        <v>0.1</v>
      </c>
    </row>
    <row r="6" spans="1:6" ht="14.25" thickBot="1">
      <c r="A6" s="856" t="s">
        <v>161</v>
      </c>
      <c r="B6" s="850" t="s">
        <v>796</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797</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798</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799</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800</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801</v>
      </c>
      <c r="C72" s="1108"/>
      <c r="D72" s="1108"/>
      <c r="E72" s="1108"/>
      <c r="F72" s="1103">
        <v>0.05</v>
      </c>
    </row>
    <row r="73" spans="1:6" ht="14.25" thickBot="1">
      <c r="A73" s="856" t="s">
        <v>87</v>
      </c>
      <c r="B73" s="850" t="s">
        <v>802</v>
      </c>
      <c r="C73" s="1108"/>
      <c r="D73" s="1108"/>
      <c r="E73" s="1108"/>
      <c r="F73" s="1103">
        <v>0.05</v>
      </c>
    </row>
    <row r="74" spans="1:6" ht="14.25" thickBot="1">
      <c r="A74" s="856" t="s">
        <v>87</v>
      </c>
      <c r="B74" s="850" t="s">
        <v>803</v>
      </c>
      <c r="C74" s="1108"/>
      <c r="D74" s="1108"/>
      <c r="E74" s="1108"/>
      <c r="F74" s="1103">
        <v>0.05</v>
      </c>
    </row>
    <row r="75" spans="1:6" ht="14.25" thickBot="1">
      <c r="A75" s="873" t="s">
        <v>87</v>
      </c>
      <c r="B75" s="866" t="s">
        <v>804</v>
      </c>
      <c r="C75" s="1105"/>
      <c r="D75" s="1105"/>
      <c r="E75" s="1105"/>
      <c r="F75" s="1109">
        <v>0.05</v>
      </c>
    </row>
    <row r="76" spans="1:6" ht="14.25" thickBot="1">
      <c r="A76" s="856" t="s">
        <v>480</v>
      </c>
      <c r="B76" s="857" t="s">
        <v>805</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806</v>
      </c>
      <c r="C102" s="1108"/>
      <c r="D102" s="1108"/>
      <c r="E102" s="1108"/>
      <c r="F102" s="1103">
        <v>0.05</v>
      </c>
    </row>
    <row r="103" spans="1:6" ht="24.75" thickBot="1">
      <c r="A103" s="856" t="s">
        <v>480</v>
      </c>
      <c r="B103" s="850" t="s">
        <v>807</v>
      </c>
      <c r="C103" s="1108"/>
      <c r="D103" s="1108"/>
      <c r="E103" s="1108"/>
      <c r="F103" s="1103">
        <v>0.05</v>
      </c>
    </row>
    <row r="104" spans="1:6" ht="14.25" thickBot="1">
      <c r="A104" s="856" t="s">
        <v>480</v>
      </c>
      <c r="B104" s="850" t="s">
        <v>808</v>
      </c>
      <c r="C104" s="1108"/>
      <c r="D104" s="1108"/>
      <c r="E104" s="1108"/>
      <c r="F104" s="1103">
        <v>0.05</v>
      </c>
    </row>
    <row r="105" spans="1:6" ht="14.25" thickBot="1">
      <c r="A105" s="856" t="s">
        <v>480</v>
      </c>
      <c r="B105" s="850" t="s">
        <v>809</v>
      </c>
      <c r="C105" s="1108"/>
      <c r="D105" s="1108"/>
      <c r="E105" s="1108"/>
      <c r="F105" s="1103">
        <v>0.05</v>
      </c>
    </row>
    <row r="106" spans="1:6" ht="14.25" thickBot="1">
      <c r="A106" s="856" t="s">
        <v>480</v>
      </c>
      <c r="B106" s="850" t="s">
        <v>810</v>
      </c>
      <c r="C106" s="1108"/>
      <c r="D106" s="1108"/>
      <c r="E106" s="1108"/>
      <c r="F106" s="1103">
        <v>0.05</v>
      </c>
    </row>
    <row r="107" spans="1:6" ht="24.75" thickBot="1">
      <c r="A107" s="856" t="s">
        <v>480</v>
      </c>
      <c r="B107" s="850" t="s">
        <v>811</v>
      </c>
      <c r="C107" s="1108"/>
      <c r="D107" s="1108"/>
      <c r="E107" s="1108"/>
      <c r="F107" s="1103">
        <v>0.05</v>
      </c>
    </row>
    <row r="108" spans="1:6" ht="24.75" thickBot="1">
      <c r="A108" s="856" t="s">
        <v>480</v>
      </c>
      <c r="B108" s="850" t="s">
        <v>812</v>
      </c>
      <c r="C108" s="1108"/>
      <c r="D108" s="1108"/>
      <c r="E108" s="1108"/>
      <c r="F108" s="1103">
        <v>0.05</v>
      </c>
    </row>
    <row r="109" spans="1:6" ht="24.75" thickBot="1">
      <c r="A109" s="873" t="s">
        <v>480</v>
      </c>
      <c r="B109" s="866" t="s">
        <v>813</v>
      </c>
      <c r="C109" s="1105"/>
      <c r="D109" s="1105"/>
      <c r="E109" s="1105"/>
      <c r="F109" s="1109">
        <v>0.05</v>
      </c>
    </row>
    <row r="110" spans="1:6" ht="14.25" thickBot="1">
      <c r="A110" s="856" t="s">
        <v>70</v>
      </c>
      <c r="B110" s="857" t="s">
        <v>814</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815</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816</v>
      </c>
      <c r="C138" s="1102">
        <v>0.105</v>
      </c>
      <c r="D138" s="1102">
        <v>0.125</v>
      </c>
      <c r="E138" s="1102">
        <v>0.112</v>
      </c>
      <c r="F138" s="1107"/>
    </row>
    <row r="139" spans="1:6" ht="14.25" thickBot="1">
      <c r="A139" s="856" t="s">
        <v>70</v>
      </c>
      <c r="B139" s="850" t="s">
        <v>817</v>
      </c>
      <c r="C139" s="1102">
        <v>0.127</v>
      </c>
      <c r="D139" s="1102">
        <v>0.127</v>
      </c>
      <c r="E139" s="1102">
        <v>0.122</v>
      </c>
      <c r="F139" s="1103">
        <v>0.13</v>
      </c>
    </row>
    <row r="140" spans="1:6" ht="14.25" thickBot="1">
      <c r="A140" s="856" t="s">
        <v>70</v>
      </c>
      <c r="B140" s="850" t="s">
        <v>818</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819</v>
      </c>
      <c r="C144" s="1111">
        <v>0.126</v>
      </c>
      <c r="D144" s="1111">
        <v>0.126</v>
      </c>
      <c r="E144" s="1111">
        <v>0.121</v>
      </c>
      <c r="F144" s="1107"/>
    </row>
    <row r="145" spans="1:6" ht="14.25" thickBot="1">
      <c r="A145" s="873" t="s">
        <v>70</v>
      </c>
      <c r="B145" s="1112" t="s">
        <v>820</v>
      </c>
      <c r="C145" s="1113"/>
      <c r="D145" s="1113"/>
      <c r="E145" s="1113"/>
      <c r="F145" s="1114">
        <v>0.05</v>
      </c>
    </row>
    <row r="146" spans="1:6" ht="24.75" thickBot="1">
      <c r="A146" s="1115" t="s">
        <v>70</v>
      </c>
      <c r="B146" s="864" t="s">
        <v>821</v>
      </c>
      <c r="C146" s="1108"/>
      <c r="D146" s="1108"/>
      <c r="E146" s="1108"/>
      <c r="F146" s="1116">
        <v>0.05</v>
      </c>
    </row>
    <row r="147" spans="1:6" ht="24.75" thickBot="1">
      <c r="A147" s="856" t="s">
        <v>70</v>
      </c>
      <c r="B147" s="850" t="s">
        <v>822</v>
      </c>
      <c r="C147" s="1108"/>
      <c r="D147" s="1108"/>
      <c r="E147" s="1108"/>
      <c r="F147" s="1103">
        <v>0.05</v>
      </c>
    </row>
    <row r="148" spans="1:6" ht="24.75" thickBot="1">
      <c r="A148" s="856" t="s">
        <v>70</v>
      </c>
      <c r="B148" s="850" t="s">
        <v>823</v>
      </c>
      <c r="C148" s="1108"/>
      <c r="D148" s="1108"/>
      <c r="E148" s="1108"/>
      <c r="F148" s="1103">
        <v>0.05</v>
      </c>
    </row>
    <row r="149" spans="1:6" ht="24.75" thickBot="1">
      <c r="A149" s="856" t="s">
        <v>70</v>
      </c>
      <c r="B149" s="850" t="s">
        <v>824</v>
      </c>
      <c r="C149" s="1108"/>
      <c r="D149" s="1108"/>
      <c r="E149" s="1108"/>
      <c r="F149" s="1103">
        <v>0.05</v>
      </c>
    </row>
    <row r="150" spans="1:6" ht="24.75" thickBot="1">
      <c r="A150" s="856" t="s">
        <v>70</v>
      </c>
      <c r="B150" s="850" t="s">
        <v>825</v>
      </c>
      <c r="C150" s="1108"/>
      <c r="D150" s="1108"/>
      <c r="E150" s="1108"/>
      <c r="F150" s="1103">
        <v>0.05</v>
      </c>
    </row>
    <row r="151" spans="1:6" ht="24.75" thickBot="1">
      <c r="A151" s="856" t="s">
        <v>70</v>
      </c>
      <c r="B151" s="850" t="s">
        <v>826</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827</v>
      </c>
      <c r="C153" s="1108"/>
      <c r="D153" s="1108"/>
      <c r="E153" s="1108"/>
      <c r="F153" s="1103">
        <v>0.05</v>
      </c>
    </row>
    <row r="154" spans="1:6" ht="14.25" thickBot="1">
      <c r="A154" s="856" t="s">
        <v>70</v>
      </c>
      <c r="B154" s="850" t="s">
        <v>828</v>
      </c>
      <c r="C154" s="1108"/>
      <c r="D154" s="1108"/>
      <c r="E154" s="1108"/>
      <c r="F154" s="1103">
        <v>0.05</v>
      </c>
    </row>
    <row r="155" spans="1:6" ht="24.75" thickBot="1">
      <c r="A155" s="856" t="s">
        <v>70</v>
      </c>
      <c r="B155" s="850" t="s">
        <v>829</v>
      </c>
      <c r="C155" s="1108"/>
      <c r="D155" s="1108"/>
      <c r="E155" s="1108"/>
      <c r="F155" s="1103">
        <v>0.05</v>
      </c>
    </row>
    <row r="156" spans="1:6" ht="24.75" thickBot="1">
      <c r="A156" s="856" t="s">
        <v>70</v>
      </c>
      <c r="B156" s="850" t="s">
        <v>830</v>
      </c>
      <c r="C156" s="1108"/>
      <c r="D156" s="1108"/>
      <c r="E156" s="1108"/>
      <c r="F156" s="1103">
        <v>0.05</v>
      </c>
    </row>
    <row r="157" spans="1:6" ht="14.25" thickBot="1">
      <c r="A157" s="873" t="s">
        <v>70</v>
      </c>
      <c r="B157" s="866" t="s">
        <v>831</v>
      </c>
      <c r="C157" s="1105"/>
      <c r="D157" s="1105"/>
      <c r="E157" s="1105"/>
      <c r="F157" s="1109">
        <v>0.05</v>
      </c>
    </row>
    <row r="158" spans="1:6" ht="14.25" thickBot="1">
      <c r="A158" s="856" t="s">
        <v>483</v>
      </c>
      <c r="B158" s="857" t="s">
        <v>832</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833</v>
      </c>
      <c r="C171" s="1102">
        <v>0.127</v>
      </c>
      <c r="D171" s="1102">
        <v>0.126</v>
      </c>
      <c r="E171" s="1102">
        <v>0.126</v>
      </c>
      <c r="F171" s="1103">
        <v>0.11799999999999999</v>
      </c>
    </row>
    <row r="172" spans="1:6" ht="14.25" thickBot="1">
      <c r="A172" s="856" t="s">
        <v>483</v>
      </c>
      <c r="B172" s="850" t="s">
        <v>834</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835</v>
      </c>
      <c r="C174" s="1102">
        <v>0.13</v>
      </c>
      <c r="D174" s="1102">
        <v>0.13</v>
      </c>
      <c r="E174" s="1102">
        <v>0.13</v>
      </c>
      <c r="F174" s="1103">
        <v>0.13</v>
      </c>
    </row>
    <row r="175" spans="1:6" ht="14.25" thickBot="1">
      <c r="A175" s="856" t="s">
        <v>483</v>
      </c>
      <c r="B175" s="850" t="s">
        <v>836</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837</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838</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839</v>
      </c>
      <c r="C185" s="1102">
        <v>0.127</v>
      </c>
      <c r="D185" s="1102">
        <v>0.127</v>
      </c>
      <c r="E185" s="1102">
        <v>0.128</v>
      </c>
      <c r="F185" s="1103">
        <v>0.13</v>
      </c>
    </row>
    <row r="186" spans="1:6" ht="24.75" thickBot="1">
      <c r="A186" s="856" t="s">
        <v>483</v>
      </c>
      <c r="B186" s="850" t="s">
        <v>840</v>
      </c>
      <c r="C186" s="1108"/>
      <c r="D186" s="1108"/>
      <c r="E186" s="1108"/>
      <c r="F186" s="1103">
        <v>0.05</v>
      </c>
    </row>
    <row r="187" spans="1:6" ht="14.25" thickBot="1">
      <c r="A187" s="856" t="s">
        <v>483</v>
      </c>
      <c r="B187" s="850" t="s">
        <v>841</v>
      </c>
      <c r="C187" s="1108"/>
      <c r="D187" s="1108"/>
      <c r="E187" s="1108"/>
      <c r="F187" s="1103">
        <v>0.05</v>
      </c>
    </row>
    <row r="188" spans="1:6" ht="14.25" thickBot="1">
      <c r="A188" s="856" t="s">
        <v>483</v>
      </c>
      <c r="B188" s="850" t="s">
        <v>842</v>
      </c>
      <c r="C188" s="1108"/>
      <c r="D188" s="1108"/>
      <c r="E188" s="1108"/>
      <c r="F188" s="1103">
        <v>0.05</v>
      </c>
    </row>
    <row r="189" spans="1:6" ht="24.75" thickBot="1">
      <c r="A189" s="856" t="s">
        <v>483</v>
      </c>
      <c r="B189" s="850" t="s">
        <v>843</v>
      </c>
      <c r="C189" s="1108"/>
      <c r="D189" s="1108"/>
      <c r="E189" s="1108"/>
      <c r="F189" s="1103">
        <v>0.05</v>
      </c>
    </row>
    <row r="190" spans="1:6" ht="24.75" thickBot="1">
      <c r="A190" s="856" t="s">
        <v>483</v>
      </c>
      <c r="B190" s="850" t="s">
        <v>844</v>
      </c>
      <c r="C190" s="1108"/>
      <c r="D190" s="1108"/>
      <c r="E190" s="1108"/>
      <c r="F190" s="1103">
        <v>0.05</v>
      </c>
    </row>
    <row r="191" spans="1:6" ht="24.75" thickBot="1">
      <c r="A191" s="856" t="s">
        <v>483</v>
      </c>
      <c r="B191" s="850" t="s">
        <v>845</v>
      </c>
      <c r="C191" s="1108"/>
      <c r="D191" s="1108"/>
      <c r="E191" s="1108"/>
      <c r="F191" s="1103">
        <v>0.05</v>
      </c>
    </row>
    <row r="192" spans="1:6" ht="24.75" thickBot="1">
      <c r="A192" s="856" t="s">
        <v>483</v>
      </c>
      <c r="B192" s="850" t="s">
        <v>846</v>
      </c>
      <c r="C192" s="1108"/>
      <c r="D192" s="1108"/>
      <c r="E192" s="1108"/>
      <c r="F192" s="1103">
        <v>0.05</v>
      </c>
    </row>
    <row r="193" spans="1:6" ht="24.75" thickBot="1">
      <c r="A193" s="856" t="s">
        <v>483</v>
      </c>
      <c r="B193" s="850" t="s">
        <v>847</v>
      </c>
      <c r="C193" s="1108"/>
      <c r="D193" s="1108"/>
      <c r="E193" s="1108"/>
      <c r="F193" s="1103">
        <v>0.05</v>
      </c>
    </row>
    <row r="194" spans="1:6" ht="24.75" thickBot="1">
      <c r="A194" s="856" t="s">
        <v>483</v>
      </c>
      <c r="B194" s="850" t="s">
        <v>848</v>
      </c>
      <c r="C194" s="1108"/>
      <c r="D194" s="1108"/>
      <c r="E194" s="1108"/>
      <c r="F194" s="1103">
        <v>0.05</v>
      </c>
    </row>
    <row r="195" spans="1:6" ht="14.25" thickBot="1">
      <c r="A195" s="856" t="s">
        <v>483</v>
      </c>
      <c r="B195" s="850" t="s">
        <v>849</v>
      </c>
      <c r="C195" s="1108"/>
      <c r="D195" s="1108"/>
      <c r="E195" s="1108"/>
      <c r="F195" s="1103">
        <v>0.05</v>
      </c>
    </row>
    <row r="196" spans="1:6" ht="24.75" thickBot="1">
      <c r="A196" s="856" t="s">
        <v>483</v>
      </c>
      <c r="B196" s="850" t="s">
        <v>850</v>
      </c>
      <c r="C196" s="1108"/>
      <c r="D196" s="1108"/>
      <c r="E196" s="1108"/>
      <c r="F196" s="1103">
        <v>0.05</v>
      </c>
    </row>
    <row r="197" spans="1:6" ht="24.75" thickBot="1">
      <c r="A197" s="856" t="s">
        <v>483</v>
      </c>
      <c r="B197" s="850" t="s">
        <v>851</v>
      </c>
      <c r="C197" s="1108"/>
      <c r="D197" s="1108"/>
      <c r="E197" s="1108"/>
      <c r="F197" s="1103">
        <v>0.05</v>
      </c>
    </row>
    <row r="198" spans="1:6" ht="24.75" thickBot="1">
      <c r="A198" s="856" t="s">
        <v>483</v>
      </c>
      <c r="B198" s="850" t="s">
        <v>852</v>
      </c>
      <c r="C198" s="1108"/>
      <c r="D198" s="1108"/>
      <c r="E198" s="1108"/>
      <c r="F198" s="1103">
        <v>0.05</v>
      </c>
    </row>
    <row r="199" spans="1:6" ht="24.75" thickBot="1">
      <c r="A199" s="856" t="s">
        <v>483</v>
      </c>
      <c r="B199" s="850" t="s">
        <v>853</v>
      </c>
      <c r="C199" s="1108"/>
      <c r="D199" s="1108"/>
      <c r="E199" s="1108"/>
      <c r="F199" s="1103">
        <v>0.05</v>
      </c>
    </row>
    <row r="200" spans="1:6" ht="24.75" thickBot="1">
      <c r="A200" s="856" t="s">
        <v>483</v>
      </c>
      <c r="B200" s="850" t="s">
        <v>854</v>
      </c>
      <c r="C200" s="1108"/>
      <c r="D200" s="1108"/>
      <c r="E200" s="1108"/>
      <c r="F200" s="1103">
        <v>0.05</v>
      </c>
    </row>
    <row r="201" spans="1:6" ht="24.75" thickBot="1">
      <c r="A201" s="856" t="s">
        <v>483</v>
      </c>
      <c r="B201" s="850" t="s">
        <v>855</v>
      </c>
      <c r="C201" s="1108"/>
      <c r="D201" s="1108"/>
      <c r="E201" s="1108"/>
      <c r="F201" s="1103">
        <v>0.05</v>
      </c>
    </row>
    <row r="202" spans="1:6" ht="24.75" thickBot="1">
      <c r="A202" s="856" t="s">
        <v>483</v>
      </c>
      <c r="B202" s="850" t="s">
        <v>856</v>
      </c>
      <c r="C202" s="1108"/>
      <c r="D202" s="1108"/>
      <c r="E202" s="1108"/>
      <c r="F202" s="1103">
        <v>0.05</v>
      </c>
    </row>
    <row r="203" spans="1:6" ht="24.75" thickBot="1">
      <c r="A203" s="856" t="s">
        <v>483</v>
      </c>
      <c r="B203" s="850" t="s">
        <v>857</v>
      </c>
      <c r="C203" s="1108"/>
      <c r="D203" s="1108"/>
      <c r="E203" s="1108"/>
      <c r="F203" s="1103">
        <v>0.05</v>
      </c>
    </row>
    <row r="204" spans="1:6" ht="14.25" thickBot="1">
      <c r="A204" s="856" t="s">
        <v>483</v>
      </c>
      <c r="B204" s="850" t="s">
        <v>858</v>
      </c>
      <c r="C204" s="1108"/>
      <c r="D204" s="1108"/>
      <c r="E204" s="1108"/>
      <c r="F204" s="1103">
        <v>0.05</v>
      </c>
    </row>
    <row r="205" spans="1:6" ht="14.25" thickBot="1">
      <c r="A205" s="873" t="s">
        <v>483</v>
      </c>
      <c r="B205" s="866" t="s">
        <v>859</v>
      </c>
      <c r="C205" s="1105"/>
      <c r="D205" s="1105"/>
      <c r="E205" s="1105"/>
      <c r="F205" s="1109">
        <v>0.05</v>
      </c>
    </row>
    <row r="206" spans="1:6" ht="14.25" thickBot="1">
      <c r="A206" s="856" t="s">
        <v>485</v>
      </c>
      <c r="B206" s="857" t="s">
        <v>860</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861</v>
      </c>
      <c r="C210" s="1102">
        <v>0.15</v>
      </c>
      <c r="D210" s="1102">
        <v>0.15</v>
      </c>
      <c r="E210" s="1102">
        <v>0.15</v>
      </c>
      <c r="F210" s="1103">
        <v>0.13800000000000001</v>
      </c>
    </row>
    <row r="211" spans="1:6" ht="14.25" thickBot="1">
      <c r="A211" s="856" t="s">
        <v>485</v>
      </c>
      <c r="B211" s="850" t="s">
        <v>862</v>
      </c>
      <c r="C211" s="1102">
        <v>0.13700000000000001</v>
      </c>
      <c r="D211" s="1102">
        <v>0.13500000000000001</v>
      </c>
      <c r="E211" s="1102">
        <v>0.13600000000000001</v>
      </c>
      <c r="F211" s="1103">
        <v>0.1</v>
      </c>
    </row>
    <row r="212" spans="1:6" ht="14.25" thickBot="1">
      <c r="A212" s="856" t="s">
        <v>485</v>
      </c>
      <c r="B212" s="850" t="s">
        <v>863</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864</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865</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866</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867</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868</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869</v>
      </c>
      <c r="C231" s="1102">
        <v>0.128</v>
      </c>
      <c r="D231" s="1102">
        <v>0.125</v>
      </c>
      <c r="E231" s="1102">
        <v>0.13200000000000001</v>
      </c>
      <c r="F231" s="1107"/>
    </row>
    <row r="232" spans="1:6" ht="14.25" thickBot="1">
      <c r="A232" s="856" t="s">
        <v>485</v>
      </c>
      <c r="B232" s="850" t="s">
        <v>870</v>
      </c>
      <c r="C232" s="1102">
        <v>0.14499999999999999</v>
      </c>
      <c r="D232" s="1102">
        <v>0.14399999999999999</v>
      </c>
      <c r="E232" s="1102">
        <v>0.14599999999999999</v>
      </c>
      <c r="F232" s="1103">
        <v>0.13800000000000001</v>
      </c>
    </row>
    <row r="233" spans="1:6" ht="14.25" thickBot="1">
      <c r="A233" s="856" t="s">
        <v>485</v>
      </c>
      <c r="B233" s="850" t="s">
        <v>871</v>
      </c>
      <c r="C233" s="1102">
        <v>0.14499999999999999</v>
      </c>
      <c r="D233" s="1102">
        <v>0.14299999999999999</v>
      </c>
      <c r="E233" s="1102">
        <v>0.14199999999999999</v>
      </c>
      <c r="F233" s="1107"/>
    </row>
    <row r="234" spans="1:6" ht="14.25" thickBot="1">
      <c r="A234" s="856" t="s">
        <v>485</v>
      </c>
      <c r="B234" s="850" t="s">
        <v>872</v>
      </c>
      <c r="C234" s="1102">
        <v>0.14000000000000001</v>
      </c>
      <c r="D234" s="1102">
        <v>0.14000000000000001</v>
      </c>
      <c r="E234" s="1102">
        <v>0.14399999999999999</v>
      </c>
      <c r="F234" s="1107"/>
    </row>
    <row r="235" spans="1:6" ht="14.25" thickBot="1">
      <c r="A235" s="856" t="s">
        <v>485</v>
      </c>
      <c r="B235" s="850" t="s">
        <v>873</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874</v>
      </c>
      <c r="C237" s="1108"/>
      <c r="D237" s="1108"/>
      <c r="E237" s="1108"/>
      <c r="F237" s="1103">
        <v>0.05</v>
      </c>
    </row>
    <row r="238" spans="1:6" ht="24.75" thickBot="1">
      <c r="A238" s="856" t="s">
        <v>485</v>
      </c>
      <c r="B238" s="850" t="s">
        <v>875</v>
      </c>
      <c r="C238" s="1108"/>
      <c r="D238" s="1108"/>
      <c r="E238" s="1108"/>
      <c r="F238" s="1103">
        <v>0.05</v>
      </c>
    </row>
    <row r="239" spans="1:6" ht="24.75" thickBot="1">
      <c r="A239" s="856" t="s">
        <v>485</v>
      </c>
      <c r="B239" s="850" t="s">
        <v>876</v>
      </c>
      <c r="C239" s="1108"/>
      <c r="D239" s="1108"/>
      <c r="E239" s="1108"/>
      <c r="F239" s="1103">
        <v>0.05</v>
      </c>
    </row>
    <row r="240" spans="1:6" ht="24.75" thickBot="1">
      <c r="A240" s="856" t="s">
        <v>485</v>
      </c>
      <c r="B240" s="850" t="s">
        <v>877</v>
      </c>
      <c r="C240" s="1108"/>
      <c r="D240" s="1108"/>
      <c r="E240" s="1108"/>
      <c r="F240" s="1103">
        <v>0.05</v>
      </c>
    </row>
    <row r="241" spans="1:6" ht="24.75" thickBot="1">
      <c r="A241" s="856" t="s">
        <v>485</v>
      </c>
      <c r="B241" s="850" t="s">
        <v>878</v>
      </c>
      <c r="C241" s="1108"/>
      <c r="D241" s="1108"/>
      <c r="E241" s="1108"/>
      <c r="F241" s="1103">
        <v>0.05</v>
      </c>
    </row>
    <row r="242" spans="1:6" ht="24.75" thickBot="1">
      <c r="A242" s="856" t="s">
        <v>485</v>
      </c>
      <c r="B242" s="850" t="s">
        <v>879</v>
      </c>
      <c r="C242" s="1108"/>
      <c r="D242" s="1108"/>
      <c r="E242" s="1108"/>
      <c r="F242" s="1103">
        <v>0.05</v>
      </c>
    </row>
    <row r="243" spans="1:6" ht="24.75" thickBot="1">
      <c r="A243" s="856" t="s">
        <v>485</v>
      </c>
      <c r="B243" s="850" t="s">
        <v>880</v>
      </c>
      <c r="C243" s="1108"/>
      <c r="D243" s="1108"/>
      <c r="E243" s="1108"/>
      <c r="F243" s="1103">
        <v>0.05</v>
      </c>
    </row>
    <row r="244" spans="1:6" ht="24.75" thickBot="1">
      <c r="A244" s="873" t="s">
        <v>485</v>
      </c>
      <c r="B244" s="866" t="s">
        <v>881</v>
      </c>
      <c r="C244" s="1105"/>
      <c r="D244" s="1105"/>
      <c r="E244" s="1105"/>
      <c r="F244" s="1109">
        <v>0.05</v>
      </c>
    </row>
    <row r="245" spans="1:6" ht="14.25" thickBot="1">
      <c r="A245" s="856" t="s">
        <v>487</v>
      </c>
      <c r="B245" s="857" t="s">
        <v>882</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883</v>
      </c>
      <c r="C247" s="1102">
        <v>0.15</v>
      </c>
      <c r="D247" s="1102">
        <v>0.15</v>
      </c>
      <c r="E247" s="1102">
        <v>0.15</v>
      </c>
      <c r="F247" s="1103">
        <v>0.15</v>
      </c>
    </row>
    <row r="248" spans="1:6" ht="14.25" thickBot="1">
      <c r="A248" s="856" t="s">
        <v>487</v>
      </c>
      <c r="B248" s="850" t="s">
        <v>884</v>
      </c>
      <c r="C248" s="1102">
        <v>0.15</v>
      </c>
      <c r="D248" s="1102">
        <v>0.15</v>
      </c>
      <c r="E248" s="1102">
        <v>0.15</v>
      </c>
      <c r="F248" s="1103">
        <v>0.14000000000000001</v>
      </c>
    </row>
    <row r="249" spans="1:6" ht="14.25" thickBot="1">
      <c r="A249" s="856" t="s">
        <v>487</v>
      </c>
      <c r="B249" s="850" t="s">
        <v>885</v>
      </c>
      <c r="C249" s="1102">
        <v>0.15</v>
      </c>
      <c r="D249" s="1102">
        <v>0.14899999999999999</v>
      </c>
      <c r="E249" s="1102">
        <v>0.15</v>
      </c>
      <c r="F249" s="1103">
        <v>0.1</v>
      </c>
    </row>
    <row r="250" spans="1:6" ht="14.25" thickBot="1">
      <c r="A250" s="856" t="s">
        <v>487</v>
      </c>
      <c r="B250" s="850" t="s">
        <v>886</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887</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888</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889</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890</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891</v>
      </c>
      <c r="C273" s="1102">
        <v>0.14199999999999999</v>
      </c>
      <c r="D273" s="1102">
        <v>0.14299999999999999</v>
      </c>
      <c r="E273" s="1102">
        <v>0.15</v>
      </c>
      <c r="F273" s="1103">
        <v>0.1</v>
      </c>
    </row>
    <row r="274" spans="1:6" ht="14.25" thickBot="1">
      <c r="A274" s="856" t="s">
        <v>487</v>
      </c>
      <c r="B274" s="850" t="s">
        <v>892</v>
      </c>
      <c r="C274" s="1102">
        <v>0.14799999999999999</v>
      </c>
      <c r="D274" s="1102">
        <v>0.14799999999999999</v>
      </c>
      <c r="E274" s="1102">
        <v>0.15</v>
      </c>
      <c r="F274" s="1103">
        <v>6.7000000000000004E-2</v>
      </c>
    </row>
    <row r="275" spans="1:6" ht="14.25" thickBot="1">
      <c r="A275" s="856" t="s">
        <v>487</v>
      </c>
      <c r="B275" s="850" t="s">
        <v>893</v>
      </c>
      <c r="C275" s="1102">
        <v>0.15</v>
      </c>
      <c r="D275" s="1102">
        <v>0.15</v>
      </c>
      <c r="E275" s="1102">
        <v>0.15</v>
      </c>
      <c r="F275" s="1103">
        <v>0.15</v>
      </c>
    </row>
    <row r="276" spans="1:6" ht="14.25" thickBot="1">
      <c r="A276" s="856" t="s">
        <v>487</v>
      </c>
      <c r="B276" s="850" t="s">
        <v>894</v>
      </c>
      <c r="C276" s="1102">
        <v>0.14499999999999999</v>
      </c>
      <c r="D276" s="1102">
        <v>0.14299999999999999</v>
      </c>
      <c r="E276" s="1102">
        <v>0.15</v>
      </c>
      <c r="F276" s="1103">
        <v>5.8999999999999997E-2</v>
      </c>
    </row>
    <row r="277" spans="1:6" ht="14.25" thickBot="1">
      <c r="A277" s="856" t="s">
        <v>487</v>
      </c>
      <c r="B277" s="850" t="s">
        <v>895</v>
      </c>
      <c r="C277" s="1102">
        <v>0.15</v>
      </c>
      <c r="D277" s="1102">
        <v>0.15</v>
      </c>
      <c r="E277" s="1102">
        <v>0.15</v>
      </c>
      <c r="F277" s="1103">
        <v>0.121</v>
      </c>
    </row>
    <row r="278" spans="1:6" ht="14.25" thickBot="1">
      <c r="A278" s="856" t="s">
        <v>487</v>
      </c>
      <c r="B278" s="850" t="s">
        <v>896</v>
      </c>
      <c r="C278" s="1102">
        <v>0.15</v>
      </c>
      <c r="D278" s="1102">
        <v>0.15</v>
      </c>
      <c r="E278" s="1102">
        <v>0.15</v>
      </c>
      <c r="F278" s="1103">
        <v>0.13800000000000001</v>
      </c>
    </row>
    <row r="279" spans="1:6" ht="24.75" thickBot="1">
      <c r="A279" s="856" t="s">
        <v>487</v>
      </c>
      <c r="B279" s="850" t="s">
        <v>897</v>
      </c>
      <c r="C279" s="1108"/>
      <c r="D279" s="1108"/>
      <c r="E279" s="1108"/>
      <c r="F279" s="1103">
        <v>0.05</v>
      </c>
    </row>
    <row r="280" spans="1:6" ht="24.75" thickBot="1">
      <c r="A280" s="856" t="s">
        <v>487</v>
      </c>
      <c r="B280" s="850" t="s">
        <v>898</v>
      </c>
      <c r="C280" s="1108"/>
      <c r="D280" s="1108"/>
      <c r="E280" s="1108"/>
      <c r="F280" s="1103">
        <v>0.05</v>
      </c>
    </row>
    <row r="281" spans="1:6" ht="24.75" thickBot="1">
      <c r="A281" s="856" t="s">
        <v>487</v>
      </c>
      <c r="B281" s="850" t="s">
        <v>899</v>
      </c>
      <c r="C281" s="1108"/>
      <c r="D281" s="1108"/>
      <c r="E281" s="1108"/>
      <c r="F281" s="1103">
        <v>0.05</v>
      </c>
    </row>
    <row r="282" spans="1:6" ht="24.75" thickBot="1">
      <c r="A282" s="856" t="s">
        <v>487</v>
      </c>
      <c r="B282" s="850" t="s">
        <v>900</v>
      </c>
      <c r="C282" s="1108"/>
      <c r="D282" s="1108"/>
      <c r="E282" s="1108"/>
      <c r="F282" s="1103">
        <v>0.05</v>
      </c>
    </row>
    <row r="283" spans="1:6" ht="24.75" thickBot="1">
      <c r="A283" s="856" t="s">
        <v>487</v>
      </c>
      <c r="B283" s="850" t="s">
        <v>901</v>
      </c>
      <c r="C283" s="1108"/>
      <c r="D283" s="1108"/>
      <c r="E283" s="1108"/>
      <c r="F283" s="1103">
        <v>0.05</v>
      </c>
    </row>
    <row r="284" spans="1:6" ht="24.75" thickBot="1">
      <c r="A284" s="856" t="s">
        <v>487</v>
      </c>
      <c r="B284" s="850" t="s">
        <v>902</v>
      </c>
      <c r="C284" s="1108"/>
      <c r="D284" s="1108"/>
      <c r="E284" s="1108"/>
      <c r="F284" s="1103">
        <v>0.05</v>
      </c>
    </row>
    <row r="285" spans="1:6" ht="24.75" thickBot="1">
      <c r="A285" s="856" t="s">
        <v>487</v>
      </c>
      <c r="B285" s="850" t="s">
        <v>903</v>
      </c>
      <c r="C285" s="1108"/>
      <c r="D285" s="1108"/>
      <c r="E285" s="1108"/>
      <c r="F285" s="1103">
        <v>0.05</v>
      </c>
    </row>
    <row r="286" spans="1:6" ht="24.75" thickBot="1">
      <c r="A286" s="856" t="s">
        <v>487</v>
      </c>
      <c r="B286" s="850" t="s">
        <v>904</v>
      </c>
      <c r="C286" s="1108"/>
      <c r="D286" s="1108"/>
      <c r="E286" s="1108"/>
      <c r="F286" s="1103">
        <v>0.05</v>
      </c>
    </row>
    <row r="287" spans="1:6" ht="24.75" thickBot="1">
      <c r="A287" s="856" t="s">
        <v>487</v>
      </c>
      <c r="B287" s="850" t="s">
        <v>905</v>
      </c>
      <c r="C287" s="1108"/>
      <c r="D287" s="1108"/>
      <c r="E287" s="1108"/>
      <c r="F287" s="1103">
        <v>0.05</v>
      </c>
    </row>
    <row r="288" spans="1:6" ht="24.75" thickBot="1">
      <c r="A288" s="856" t="s">
        <v>487</v>
      </c>
      <c r="B288" s="850" t="s">
        <v>906</v>
      </c>
      <c r="C288" s="1108"/>
      <c r="D288" s="1108"/>
      <c r="E288" s="1108"/>
      <c r="F288" s="1103">
        <v>0.05</v>
      </c>
    </row>
    <row r="289" spans="1:6" ht="24.75" thickBot="1">
      <c r="A289" s="873" t="s">
        <v>487</v>
      </c>
      <c r="B289" s="866" t="s">
        <v>907</v>
      </c>
      <c r="C289" s="1105"/>
      <c r="D289" s="1105"/>
      <c r="E289" s="1105"/>
      <c r="F289" s="1109">
        <v>0.05</v>
      </c>
    </row>
    <row r="290" spans="1:6" ht="14.25" thickBot="1">
      <c r="A290" s="856" t="s">
        <v>491</v>
      </c>
      <c r="B290" s="857" t="s">
        <v>908</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909</v>
      </c>
      <c r="C292" s="1102">
        <v>0.15</v>
      </c>
      <c r="D292" s="1102">
        <v>0.15</v>
      </c>
      <c r="E292" s="1102">
        <v>0.15</v>
      </c>
      <c r="F292" s="1103">
        <v>0.14699999999999999</v>
      </c>
    </row>
    <row r="293" spans="1:6" ht="14.25" thickBot="1">
      <c r="A293" s="856" t="s">
        <v>491</v>
      </c>
      <c r="B293" s="850" t="s">
        <v>910</v>
      </c>
      <c r="C293" s="1108"/>
      <c r="D293" s="1108"/>
      <c r="E293" s="1108"/>
      <c r="F293" s="1103">
        <v>0.1</v>
      </c>
    </row>
    <row r="294" spans="1:6" ht="14.25" thickBot="1">
      <c r="A294" s="856" t="s">
        <v>491</v>
      </c>
      <c r="B294" s="850" t="s">
        <v>911</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912</v>
      </c>
      <c r="C296" s="1102">
        <v>0.15</v>
      </c>
      <c r="D296" s="1102">
        <v>0.15</v>
      </c>
      <c r="E296" s="1102">
        <v>0.15</v>
      </c>
      <c r="F296" s="1103">
        <v>0.15</v>
      </c>
    </row>
    <row r="297" spans="1:6" ht="14.25" thickBot="1">
      <c r="A297" s="856" t="s">
        <v>491</v>
      </c>
      <c r="B297" s="850" t="s">
        <v>913</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914</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915</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916</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917</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918</v>
      </c>
      <c r="C310" s="1102">
        <v>0.15</v>
      </c>
      <c r="D310" s="1102">
        <v>0.15</v>
      </c>
      <c r="E310" s="1102">
        <v>0.15</v>
      </c>
      <c r="F310" s="1103">
        <v>0.13700000000000001</v>
      </c>
    </row>
    <row r="311" spans="1:6" ht="14.25" thickBot="1">
      <c r="A311" s="856" t="s">
        <v>491</v>
      </c>
      <c r="B311" s="850" t="s">
        <v>919</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920</v>
      </c>
      <c r="C313" s="1102">
        <v>0.15</v>
      </c>
      <c r="D313" s="1102">
        <v>0.15</v>
      </c>
      <c r="E313" s="1102">
        <v>0.15</v>
      </c>
      <c r="F313" s="1103">
        <v>0.15</v>
      </c>
    </row>
    <row r="314" spans="1:6" ht="24.75" thickBot="1">
      <c r="A314" s="856" t="s">
        <v>491</v>
      </c>
      <c r="B314" s="850" t="s">
        <v>921</v>
      </c>
      <c r="C314" s="1108"/>
      <c r="D314" s="1108"/>
      <c r="E314" s="1108"/>
      <c r="F314" s="1103">
        <v>0.05</v>
      </c>
    </row>
    <row r="315" spans="1:6" ht="24.75" thickBot="1">
      <c r="A315" s="856" t="s">
        <v>491</v>
      </c>
      <c r="B315" s="850" t="s">
        <v>922</v>
      </c>
      <c r="C315" s="1108"/>
      <c r="D315" s="1108"/>
      <c r="E315" s="1108"/>
      <c r="F315" s="1103">
        <v>0.05</v>
      </c>
    </row>
    <row r="316" spans="1:6" ht="24.75" thickBot="1">
      <c r="A316" s="873" t="s">
        <v>491</v>
      </c>
      <c r="B316" s="866" t="s">
        <v>923</v>
      </c>
      <c r="C316" s="1105"/>
      <c r="D316" s="1105"/>
      <c r="E316" s="1105"/>
      <c r="F316" s="1109">
        <v>0.05</v>
      </c>
    </row>
    <row r="317" spans="1:6" ht="14.25" thickBot="1">
      <c r="A317" s="856" t="s">
        <v>924</v>
      </c>
      <c r="B317" s="857" t="s">
        <v>925</v>
      </c>
      <c r="C317" s="1100">
        <v>0.15</v>
      </c>
      <c r="D317" s="1100">
        <v>0.15</v>
      </c>
      <c r="E317" s="1100">
        <v>0.15</v>
      </c>
      <c r="F317" s="1101">
        <v>0.15</v>
      </c>
    </row>
    <row r="318" spans="1:6" ht="14.25" thickBot="1">
      <c r="A318" s="856" t="s">
        <v>924</v>
      </c>
      <c r="B318" s="850" t="s">
        <v>926</v>
      </c>
      <c r="C318" s="1102">
        <v>0.107</v>
      </c>
      <c r="D318" s="1102">
        <v>0.11</v>
      </c>
      <c r="E318" s="1102">
        <v>0.112</v>
      </c>
      <c r="F318" s="1107"/>
    </row>
    <row r="319" spans="1:6" ht="14.25" thickBot="1">
      <c r="A319" s="856" t="s">
        <v>924</v>
      </c>
      <c r="B319" s="850" t="s">
        <v>927</v>
      </c>
      <c r="C319" s="1102">
        <v>0.15</v>
      </c>
      <c r="D319" s="1102">
        <v>0.15</v>
      </c>
      <c r="E319" s="1102">
        <v>0.15</v>
      </c>
      <c r="F319" s="1103">
        <v>0.15</v>
      </c>
    </row>
    <row r="320" spans="1:6" ht="14.25" thickBot="1">
      <c r="A320" s="856" t="s">
        <v>924</v>
      </c>
      <c r="B320" s="850" t="s">
        <v>172</v>
      </c>
      <c r="C320" s="1102">
        <v>0.15</v>
      </c>
      <c r="D320" s="1102">
        <v>0.15</v>
      </c>
      <c r="E320" s="1102">
        <v>0.15</v>
      </c>
      <c r="F320" s="1107"/>
    </row>
    <row r="321" spans="1:6" ht="14.25" thickBot="1">
      <c r="A321" s="856" t="s">
        <v>924</v>
      </c>
      <c r="B321" s="850" t="s">
        <v>928</v>
      </c>
      <c r="C321" s="1102">
        <v>0.15</v>
      </c>
      <c r="D321" s="1102">
        <v>0.15</v>
      </c>
      <c r="E321" s="1102">
        <v>0.15</v>
      </c>
      <c r="F321" s="1107"/>
    </row>
    <row r="322" spans="1:6" ht="14.25" thickBot="1">
      <c r="A322" s="856" t="s">
        <v>924</v>
      </c>
      <c r="B322" s="850" t="s">
        <v>929</v>
      </c>
      <c r="C322" s="1102">
        <v>0.15</v>
      </c>
      <c r="D322" s="1102">
        <v>0.15</v>
      </c>
      <c r="E322" s="1102">
        <v>0.15</v>
      </c>
      <c r="F322" s="1103">
        <v>0.15</v>
      </c>
    </row>
    <row r="323" spans="1:6" ht="14.25" thickBot="1">
      <c r="A323" s="856" t="s">
        <v>924</v>
      </c>
      <c r="B323" s="850" t="s">
        <v>930</v>
      </c>
      <c r="C323" s="1102">
        <v>0.15</v>
      </c>
      <c r="D323" s="1102">
        <v>0.15</v>
      </c>
      <c r="E323" s="1102">
        <v>0.15</v>
      </c>
      <c r="F323" s="1107"/>
    </row>
    <row r="324" spans="1:6" ht="14.25" thickBot="1">
      <c r="A324" s="856" t="s">
        <v>924</v>
      </c>
      <c r="B324" s="850" t="s">
        <v>931</v>
      </c>
      <c r="C324" s="1102">
        <v>0.15</v>
      </c>
      <c r="D324" s="1102">
        <v>0.15</v>
      </c>
      <c r="E324" s="1102">
        <v>0.15</v>
      </c>
      <c r="F324" s="1107"/>
    </row>
    <row r="325" spans="1:6" ht="14.25" thickBot="1">
      <c r="A325" s="856" t="s">
        <v>924</v>
      </c>
      <c r="B325" s="850" t="s">
        <v>932</v>
      </c>
      <c r="C325" s="1102">
        <v>0.15</v>
      </c>
      <c r="D325" s="1102">
        <v>0.15</v>
      </c>
      <c r="E325" s="1102">
        <v>0.15</v>
      </c>
      <c r="F325" s="1103">
        <v>0.14699999999999999</v>
      </c>
    </row>
    <row r="326" spans="1:6" ht="14.25" thickBot="1">
      <c r="A326" s="856" t="s">
        <v>924</v>
      </c>
      <c r="B326" s="850" t="s">
        <v>244</v>
      </c>
      <c r="C326" s="1102">
        <v>0.15</v>
      </c>
      <c r="D326" s="1102">
        <v>0.15</v>
      </c>
      <c r="E326" s="1102">
        <v>0.15</v>
      </c>
      <c r="F326" s="1107"/>
    </row>
    <row r="327" spans="1:6" ht="14.25" thickBot="1">
      <c r="A327" s="856" t="s">
        <v>924</v>
      </c>
      <c r="B327" s="850" t="s">
        <v>933</v>
      </c>
      <c r="C327" s="1102">
        <v>0.15</v>
      </c>
      <c r="D327" s="1102">
        <v>0.15</v>
      </c>
      <c r="E327" s="1102">
        <v>0.15</v>
      </c>
      <c r="F327" s="1103">
        <v>0.15</v>
      </c>
    </row>
    <row r="328" spans="1:6" ht="14.25" thickBot="1">
      <c r="A328" s="856" t="s">
        <v>924</v>
      </c>
      <c r="B328" s="850" t="s">
        <v>266</v>
      </c>
      <c r="C328" s="1102">
        <v>0.15</v>
      </c>
      <c r="D328" s="1102">
        <v>0.15</v>
      </c>
      <c r="E328" s="1102">
        <v>0.15</v>
      </c>
      <c r="F328" s="1103">
        <v>0.14099999999999999</v>
      </c>
    </row>
    <row r="329" spans="1:6" ht="14.25" thickBot="1">
      <c r="A329" s="856" t="s">
        <v>924</v>
      </c>
      <c r="B329" s="850" t="s">
        <v>277</v>
      </c>
      <c r="C329" s="1102">
        <v>0.15</v>
      </c>
      <c r="D329" s="1102">
        <v>0.15</v>
      </c>
      <c r="E329" s="1102">
        <v>0.15</v>
      </c>
      <c r="F329" s="1103">
        <v>0.15</v>
      </c>
    </row>
    <row r="330" spans="1:6" ht="14.25" thickBot="1">
      <c r="A330" s="856" t="s">
        <v>924</v>
      </c>
      <c r="B330" s="850" t="s">
        <v>288</v>
      </c>
      <c r="C330" s="1102">
        <v>0.15</v>
      </c>
      <c r="D330" s="1102">
        <v>0.15</v>
      </c>
      <c r="E330" s="1102">
        <v>0.15</v>
      </c>
      <c r="F330" s="1107"/>
    </row>
    <row r="331" spans="1:6" ht="14.25" thickBot="1">
      <c r="A331" s="856" t="s">
        <v>924</v>
      </c>
      <c r="B331" s="850" t="s">
        <v>934</v>
      </c>
      <c r="C331" s="1102">
        <v>0.15</v>
      </c>
      <c r="D331" s="1102">
        <v>0.15</v>
      </c>
      <c r="E331" s="1102">
        <v>0.15</v>
      </c>
      <c r="F331" s="1103">
        <v>0.15</v>
      </c>
    </row>
    <row r="332" spans="1:6" ht="14.25" thickBot="1">
      <c r="A332" s="856" t="s">
        <v>924</v>
      </c>
      <c r="B332" s="850" t="s">
        <v>309</v>
      </c>
      <c r="C332" s="1102">
        <v>0.15</v>
      </c>
      <c r="D332" s="1102">
        <v>0.15</v>
      </c>
      <c r="E332" s="1102">
        <v>0.15</v>
      </c>
      <c r="F332" s="1103">
        <v>0.15</v>
      </c>
    </row>
    <row r="333" spans="1:6" ht="14.25" thickBot="1">
      <c r="A333" s="856" t="s">
        <v>924</v>
      </c>
      <c r="B333" s="850" t="s">
        <v>935</v>
      </c>
      <c r="C333" s="1102">
        <v>0.15</v>
      </c>
      <c r="D333" s="1102">
        <v>0.15</v>
      </c>
      <c r="E333" s="1102">
        <v>0.15</v>
      </c>
      <c r="F333" s="1103">
        <v>0.14099999999999999</v>
      </c>
    </row>
    <row r="334" spans="1:6" ht="14.25" thickBot="1">
      <c r="A334" s="856" t="s">
        <v>924</v>
      </c>
      <c r="B334" s="850" t="s">
        <v>329</v>
      </c>
      <c r="C334" s="1102">
        <v>0.15</v>
      </c>
      <c r="D334" s="1102">
        <v>0.15</v>
      </c>
      <c r="E334" s="1102">
        <v>0.15</v>
      </c>
      <c r="F334" s="1103">
        <v>0.15</v>
      </c>
    </row>
    <row r="335" spans="1:6" ht="14.25" thickBot="1">
      <c r="A335" s="856" t="s">
        <v>924</v>
      </c>
      <c r="B335" s="850" t="s">
        <v>339</v>
      </c>
      <c r="C335" s="1102">
        <v>0.15</v>
      </c>
      <c r="D335" s="1102">
        <v>0.15</v>
      </c>
      <c r="E335" s="1102">
        <v>0.15</v>
      </c>
      <c r="F335" s="1107"/>
    </row>
    <row r="336" spans="1:6" ht="14.25" thickBot="1">
      <c r="A336" s="856" t="s">
        <v>924</v>
      </c>
      <c r="B336" s="850" t="s">
        <v>936</v>
      </c>
      <c r="C336" s="1102">
        <v>0.15</v>
      </c>
      <c r="D336" s="1102">
        <v>0.15</v>
      </c>
      <c r="E336" s="1102">
        <v>0.15</v>
      </c>
      <c r="F336" s="1103">
        <v>0.11799999999999999</v>
      </c>
    </row>
    <row r="337" spans="1:6" ht="14.25" thickBot="1">
      <c r="A337" s="873" t="s">
        <v>924</v>
      </c>
      <c r="B337" s="866" t="s">
        <v>357</v>
      </c>
      <c r="C337" s="1105"/>
      <c r="D337" s="1105"/>
      <c r="E337" s="1105"/>
      <c r="F337" s="1109">
        <v>0.14299999999999999</v>
      </c>
    </row>
    <row r="338" spans="1:6" ht="14.25" thickBot="1">
      <c r="A338" s="856" t="s">
        <v>937</v>
      </c>
      <c r="B338" s="857" t="s">
        <v>938</v>
      </c>
      <c r="C338" s="1100">
        <v>0.15</v>
      </c>
      <c r="D338" s="1100">
        <v>0.15</v>
      </c>
      <c r="E338" s="1100">
        <v>0.15</v>
      </c>
      <c r="F338" s="1117"/>
    </row>
    <row r="339" spans="1:6" ht="14.25" thickBot="1">
      <c r="A339" s="856" t="s">
        <v>937</v>
      </c>
      <c r="B339" s="850" t="s">
        <v>939</v>
      </c>
      <c r="C339" s="1102">
        <v>0.15</v>
      </c>
      <c r="D339" s="1102">
        <v>0.15</v>
      </c>
      <c r="E339" s="1102">
        <v>0.15</v>
      </c>
      <c r="F339" s="1107"/>
    </row>
    <row r="340" spans="1:6" ht="14.25" thickBot="1">
      <c r="A340" s="856" t="s">
        <v>937</v>
      </c>
      <c r="B340" s="850" t="s">
        <v>940</v>
      </c>
      <c r="C340" s="1102">
        <v>0.15</v>
      </c>
      <c r="D340" s="1102">
        <v>0.15</v>
      </c>
      <c r="E340" s="1102">
        <v>0.15</v>
      </c>
      <c r="F340" s="1107"/>
    </row>
    <row r="341" spans="1:6" ht="14.25" thickBot="1">
      <c r="A341" s="856" t="s">
        <v>937</v>
      </c>
      <c r="B341" s="850" t="s">
        <v>941</v>
      </c>
      <c r="C341" s="1102">
        <v>0.15</v>
      </c>
      <c r="D341" s="1102">
        <v>0.15</v>
      </c>
      <c r="E341" s="1102">
        <v>0.15</v>
      </c>
      <c r="F341" s="1103">
        <v>0.15</v>
      </c>
    </row>
    <row r="342" spans="1:6" ht="14.25" thickBot="1">
      <c r="A342" s="856" t="s">
        <v>937</v>
      </c>
      <c r="B342" s="850" t="s">
        <v>942</v>
      </c>
      <c r="C342" s="1102">
        <v>0.15</v>
      </c>
      <c r="D342" s="1102">
        <v>0.15</v>
      </c>
      <c r="E342" s="1102">
        <v>0.15</v>
      </c>
      <c r="F342" s="1103">
        <v>0.15</v>
      </c>
    </row>
    <row r="343" spans="1:6" ht="14.25" thickBot="1">
      <c r="A343" s="856" t="s">
        <v>937</v>
      </c>
      <c r="B343" s="850" t="s">
        <v>943</v>
      </c>
      <c r="C343" s="1102">
        <v>0.15</v>
      </c>
      <c r="D343" s="1102">
        <v>0.15</v>
      </c>
      <c r="E343" s="1102">
        <v>0.15</v>
      </c>
      <c r="F343" s="1103">
        <v>0.15</v>
      </c>
    </row>
    <row r="344" spans="1:6" ht="14.25" thickBot="1">
      <c r="A344" s="873" t="s">
        <v>937</v>
      </c>
      <c r="B344" s="866" t="s">
        <v>944</v>
      </c>
      <c r="C344" s="1104">
        <v>0.15</v>
      </c>
      <c r="D344" s="1104">
        <v>0.15</v>
      </c>
      <c r="E344" s="1104">
        <v>0.15</v>
      </c>
      <c r="F344" s="1109">
        <v>0.15</v>
      </c>
    </row>
  </sheetData>
  <sheetProtection password="C66D" sheet="1" objects="1" scenarios="1"/>
  <mergeCells count="1">
    <mergeCell ref="A1:B1"/>
  </mergeCells>
  <phoneticPr fontId="8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14.25">
      <c r="A5" s="820" t="s">
        <v>714</v>
      </c>
      <c r="B5" s="831" t="str">
        <f>估价对象房地状况!C6</f>
        <v>较好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较好</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较好</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t="str">
        <f>估价对象房地状况!C5</f>
        <v>较好</v>
      </c>
      <c r="C15" s="807" t="s">
        <v>713</v>
      </c>
      <c r="D15" s="827">
        <f t="shared" ref="D15:D23" si="4">SUMIF($I$3:$M$3,C15,I15:M15)</f>
        <v>0.02</v>
      </c>
      <c r="E15" s="828">
        <v>0.24</v>
      </c>
      <c r="F15" s="829">
        <f>D15*E15+D16*E16+D17*E17+D18*E18+D19*E19+D20*E20+D21*E21+D22*E22+D23*E23</f>
        <v>1.49E-2</v>
      </c>
      <c r="G15" s="830">
        <f>IF(基准地价修正!E2="办公",SUMIF(基准地价修正!L1:L12,基准地价修正!G2,基准地价修正!N1:N12),"——")</f>
        <v>7.0999999999999994E-2</v>
      </c>
      <c r="H15" s="969">
        <v>0.02</v>
      </c>
      <c r="I15" s="806">
        <f>J15+$H15</f>
        <v>0.04</v>
      </c>
      <c r="J15" s="806">
        <f>$K15+$H15</f>
        <v>0.02</v>
      </c>
      <c r="K15" s="805">
        <v>0</v>
      </c>
      <c r="L15" s="806">
        <f t="shared" ref="L15:M23" si="5">K15-$H15</f>
        <v>-0.02</v>
      </c>
      <c r="M15" s="806">
        <f t="shared" si="5"/>
        <v>-0.04</v>
      </c>
    </row>
    <row r="16" spans="1:20" ht="14.25">
      <c r="A16" s="820" t="s">
        <v>714</v>
      </c>
      <c r="B16" s="821" t="str">
        <f>估价对象房地状况!C6</f>
        <v>较好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较好</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较好</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14.25">
      <c r="A26" s="820" t="s">
        <v>723</v>
      </c>
      <c r="B26" s="826">
        <f>估价对象房地状况!C3</f>
        <v>0</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14.25">
      <c r="A27" s="820" t="s">
        <v>714</v>
      </c>
      <c r="B27" s="821" t="str">
        <f>估价对象房地状况!C6</f>
        <v>较好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较好</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14.25">
      <c r="A33" s="820" t="s">
        <v>721</v>
      </c>
      <c r="B33" s="826" t="str">
        <f>估价对象房地状况!C9</f>
        <v>较好</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2" t="s">
        <v>105</v>
      </c>
      <c r="B1" s="3092"/>
      <c r="C1" s="3092"/>
      <c r="D1" s="3092"/>
      <c r="E1" s="3092"/>
      <c r="F1" s="309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3" t="s">
        <v>118</v>
      </c>
      <c r="B2" s="3093"/>
      <c r="C2" s="3093"/>
      <c r="D2" s="3093"/>
      <c r="E2" s="3093"/>
      <c r="F2" s="309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23180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6" t="s">
        <v>132</v>
      </c>
      <c r="B18" s="907" t="s">
        <v>517</v>
      </c>
      <c r="C18" s="908" t="s">
        <v>518</v>
      </c>
      <c r="D18" s="909"/>
      <c r="E18" s="907">
        <v>1</v>
      </c>
      <c r="F18" s="910" t="s">
        <v>519</v>
      </c>
      <c r="G18" s="911"/>
      <c r="H18" s="903"/>
      <c r="I18" s="903"/>
    </row>
    <row r="19" spans="1:9" s="912" customFormat="1" ht="19.5" customHeight="1">
      <c r="A19" s="3096"/>
      <c r="B19" s="3096" t="s">
        <v>520</v>
      </c>
      <c r="C19" s="908" t="s">
        <v>521</v>
      </c>
      <c r="D19" s="909"/>
      <c r="E19" s="907">
        <v>0.9</v>
      </c>
      <c r="F19" s="910" t="s">
        <v>522</v>
      </c>
      <c r="G19" s="911"/>
      <c r="H19" s="903"/>
      <c r="I19" s="903"/>
    </row>
    <row r="20" spans="1:9" s="912" customFormat="1" ht="19.5" customHeight="1">
      <c r="A20" s="3096"/>
      <c r="B20" s="3096"/>
      <c r="C20" s="908" t="s">
        <v>523</v>
      </c>
      <c r="D20" s="909"/>
      <c r="E20" s="907">
        <v>1.1000000000000001</v>
      </c>
      <c r="F20" s="910" t="s">
        <v>524</v>
      </c>
      <c r="G20" s="911"/>
      <c r="H20" s="903"/>
      <c r="I20" s="903"/>
    </row>
    <row r="21" spans="1:9" s="912" customFormat="1" ht="19.5" customHeight="1">
      <c r="A21" s="3096"/>
      <c r="B21" s="3096"/>
      <c r="C21" s="908" t="s">
        <v>525</v>
      </c>
      <c r="D21" s="909"/>
      <c r="E21" s="907">
        <v>0.8</v>
      </c>
      <c r="F21" s="910" t="s">
        <v>526</v>
      </c>
      <c r="G21" s="911"/>
      <c r="H21" s="903"/>
      <c r="I21" s="903"/>
    </row>
    <row r="22" spans="1:9" s="912" customFormat="1" ht="19.5" customHeight="1">
      <c r="A22" s="3096"/>
      <c r="B22" s="3096"/>
      <c r="C22" s="908" t="s">
        <v>527</v>
      </c>
      <c r="D22" s="909"/>
      <c r="E22" s="907">
        <v>0.5</v>
      </c>
      <c r="F22" s="910"/>
      <c r="G22" s="911"/>
      <c r="H22" s="903"/>
      <c r="I22" s="903"/>
    </row>
    <row r="23" spans="1:9" s="912" customFormat="1" ht="19.5" customHeight="1">
      <c r="A23" s="3096" t="s">
        <v>133</v>
      </c>
      <c r="B23" s="907" t="s">
        <v>517</v>
      </c>
      <c r="C23" s="908" t="s">
        <v>528</v>
      </c>
      <c r="D23" s="909"/>
      <c r="E23" s="907">
        <v>1</v>
      </c>
      <c r="F23" s="910" t="s">
        <v>529</v>
      </c>
      <c r="G23" s="911"/>
      <c r="H23" s="903"/>
      <c r="I23" s="903"/>
    </row>
    <row r="24" spans="1:9" s="912" customFormat="1" ht="19.5" customHeight="1">
      <c r="A24" s="3096"/>
      <c r="B24" s="3096" t="s">
        <v>520</v>
      </c>
      <c r="C24" s="908" t="s">
        <v>530</v>
      </c>
      <c r="D24" s="909"/>
      <c r="E24" s="907">
        <v>0.5</v>
      </c>
      <c r="F24" s="910"/>
      <c r="G24" s="911"/>
      <c r="H24" s="903"/>
      <c r="I24" s="903"/>
    </row>
    <row r="25" spans="1:9" s="912" customFormat="1" ht="19.5" customHeight="1">
      <c r="A25" s="3096"/>
      <c r="B25" s="3096"/>
      <c r="C25" s="908" t="s">
        <v>531</v>
      </c>
      <c r="D25" s="909"/>
      <c r="E25" s="907">
        <v>1.1000000000000001</v>
      </c>
      <c r="F25" s="910"/>
      <c r="G25" s="911"/>
      <c r="H25" s="903"/>
      <c r="I25" s="903"/>
    </row>
    <row r="26" spans="1:9" s="912" customFormat="1" ht="19.5" customHeight="1">
      <c r="A26" s="3096"/>
      <c r="B26" s="3096"/>
      <c r="C26" s="908" t="s">
        <v>532</v>
      </c>
      <c r="D26" s="909"/>
      <c r="E26" s="907">
        <v>1.1000000000000001</v>
      </c>
      <c r="F26" s="910"/>
      <c r="G26" s="911"/>
      <c r="H26" s="903"/>
      <c r="I26" s="903"/>
    </row>
    <row r="27" spans="1:9" s="912" customFormat="1" ht="19.5" customHeight="1">
      <c r="A27" s="3096"/>
      <c r="B27" s="3096"/>
      <c r="C27" s="908" t="s">
        <v>533</v>
      </c>
      <c r="D27" s="909"/>
      <c r="E27" s="907">
        <v>0.9</v>
      </c>
      <c r="F27" s="910" t="s">
        <v>534</v>
      </c>
      <c r="G27" s="911"/>
      <c r="H27" s="903"/>
      <c r="I27" s="903"/>
    </row>
    <row r="28" spans="1:9" s="912" customFormat="1" ht="19.5" customHeight="1">
      <c r="A28" s="3096"/>
      <c r="B28" s="3096"/>
      <c r="C28" s="908" t="s">
        <v>535</v>
      </c>
      <c r="D28" s="909"/>
      <c r="E28" s="907">
        <v>0.9</v>
      </c>
      <c r="F28" s="910" t="s">
        <v>536</v>
      </c>
      <c r="G28" s="911"/>
      <c r="H28" s="903"/>
      <c r="I28" s="903"/>
    </row>
    <row r="29" spans="1:9" s="912" customFormat="1" ht="19.5" customHeight="1">
      <c r="A29" s="3096"/>
      <c r="B29" s="3096"/>
      <c r="C29" s="908" t="s">
        <v>537</v>
      </c>
      <c r="D29" s="909"/>
      <c r="E29" s="907">
        <v>0.9</v>
      </c>
      <c r="F29" s="910" t="s">
        <v>538</v>
      </c>
      <c r="G29" s="911"/>
      <c r="H29" s="903"/>
      <c r="I29" s="903"/>
    </row>
    <row r="30" spans="1:9" s="912" customFormat="1" ht="19.5" customHeight="1">
      <c r="A30" s="3096"/>
      <c r="B30" s="3096"/>
      <c r="C30" s="908" t="s">
        <v>539</v>
      </c>
      <c r="D30" s="909"/>
      <c r="E30" s="907">
        <v>0.9</v>
      </c>
      <c r="F30" s="910" t="s">
        <v>540</v>
      </c>
      <c r="G30" s="911"/>
      <c r="H30" s="903"/>
      <c r="I30" s="903"/>
    </row>
    <row r="31" spans="1:9" s="912" customFormat="1" ht="19.5" customHeight="1">
      <c r="A31" s="3096"/>
      <c r="B31" s="3096"/>
      <c r="C31" s="908" t="s">
        <v>541</v>
      </c>
      <c r="D31" s="909"/>
      <c r="E31" s="907">
        <v>0.8</v>
      </c>
      <c r="F31" s="910" t="s">
        <v>542</v>
      </c>
      <c r="G31" s="911"/>
      <c r="H31" s="903"/>
      <c r="I31" s="903"/>
    </row>
    <row r="32" spans="1:9" s="912" customFormat="1" ht="19.5" customHeight="1">
      <c r="A32" s="3096"/>
      <c r="B32" s="3096"/>
      <c r="C32" s="908" t="s">
        <v>543</v>
      </c>
      <c r="D32" s="909"/>
      <c r="E32" s="907">
        <v>0.8</v>
      </c>
      <c r="F32" s="910" t="s">
        <v>544</v>
      </c>
      <c r="G32" s="911"/>
      <c r="H32" s="903"/>
      <c r="I32" s="903"/>
    </row>
    <row r="33" spans="1:9" s="912" customFormat="1" ht="19.5" customHeight="1">
      <c r="A33" s="3096" t="s">
        <v>134</v>
      </c>
      <c r="B33" s="907" t="s">
        <v>517</v>
      </c>
      <c r="C33" s="908" t="s">
        <v>545</v>
      </c>
      <c r="D33" s="909"/>
      <c r="E33" s="907">
        <v>1</v>
      </c>
      <c r="F33" s="910" t="s">
        <v>546</v>
      </c>
      <c r="G33" s="911"/>
      <c r="H33" s="903"/>
      <c r="I33" s="903"/>
    </row>
    <row r="34" spans="1:9" s="912" customFormat="1" ht="19.5" customHeight="1">
      <c r="A34" s="3096"/>
      <c r="B34" s="907" t="s">
        <v>520</v>
      </c>
      <c r="C34" s="908" t="s">
        <v>547</v>
      </c>
      <c r="D34" s="909"/>
      <c r="E34" s="907">
        <v>1.5</v>
      </c>
      <c r="F34" s="910" t="s">
        <v>548</v>
      </c>
      <c r="G34" s="911"/>
      <c r="H34" s="903"/>
      <c r="I34" s="903"/>
    </row>
    <row r="35" spans="1:9" s="912" customFormat="1" ht="19.5" customHeight="1">
      <c r="A35" s="3096" t="s">
        <v>135</v>
      </c>
      <c r="B35" s="907" t="s">
        <v>517</v>
      </c>
      <c r="C35" s="908" t="s">
        <v>549</v>
      </c>
      <c r="D35" s="909"/>
      <c r="E35" s="907">
        <v>1</v>
      </c>
      <c r="F35" s="910" t="s">
        <v>550</v>
      </c>
      <c r="G35" s="911"/>
      <c r="H35" s="903"/>
      <c r="I35" s="903"/>
    </row>
    <row r="36" spans="1:9" s="912" customFormat="1" ht="19.5" customHeight="1">
      <c r="A36" s="3096"/>
      <c r="B36" s="3096" t="s">
        <v>520</v>
      </c>
      <c r="C36" s="908" t="s">
        <v>551</v>
      </c>
      <c r="D36" s="909"/>
      <c r="E36" s="907">
        <v>1</v>
      </c>
      <c r="F36" s="910" t="s">
        <v>552</v>
      </c>
      <c r="G36" s="911"/>
      <c r="H36" s="903"/>
      <c r="I36" s="903"/>
    </row>
    <row r="37" spans="1:9" s="912" customFormat="1" ht="19.5" customHeight="1">
      <c r="A37" s="3096"/>
      <c r="B37" s="3096"/>
      <c r="C37" s="908" t="s">
        <v>553</v>
      </c>
      <c r="D37" s="909"/>
      <c r="E37" s="907">
        <v>1.5</v>
      </c>
      <c r="F37" s="910" t="s">
        <v>554</v>
      </c>
      <c r="G37" s="911"/>
      <c r="H37" s="903"/>
      <c r="I37" s="903"/>
    </row>
    <row r="38" spans="1:9" s="912" customFormat="1" ht="19.5" customHeight="1">
      <c r="A38" s="3096"/>
      <c r="B38" s="3096"/>
      <c r="C38" s="908" t="s">
        <v>555</v>
      </c>
      <c r="D38" s="909"/>
      <c r="E38" s="907">
        <v>1</v>
      </c>
      <c r="F38" s="910" t="s">
        <v>556</v>
      </c>
      <c r="G38" s="911"/>
      <c r="H38" s="903"/>
      <c r="I38" s="903"/>
    </row>
    <row r="39" spans="1:9" s="912" customFormat="1" ht="19.5" customHeight="1">
      <c r="A39" s="3096"/>
      <c r="B39" s="309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6" t="s">
        <v>571</v>
      </c>
      <c r="C61" s="821" t="s">
        <v>572</v>
      </c>
      <c r="D61" s="821" t="s">
        <v>573</v>
      </c>
      <c r="E61" s="920">
        <v>0.5</v>
      </c>
      <c r="F61" s="907">
        <v>80</v>
      </c>
    </row>
    <row r="62" spans="1:8" s="903" customFormat="1" ht="24">
      <c r="A62" s="907">
        <v>2</v>
      </c>
      <c r="B62" s="3096"/>
      <c r="C62" s="821" t="s">
        <v>574</v>
      </c>
      <c r="D62" s="821" t="s">
        <v>575</v>
      </c>
      <c r="E62" s="920">
        <v>0.5</v>
      </c>
      <c r="F62" s="907">
        <v>80</v>
      </c>
    </row>
    <row r="63" spans="1:8" s="903" customFormat="1" ht="36">
      <c r="A63" s="907">
        <v>3</v>
      </c>
      <c r="B63" s="3096"/>
      <c r="C63" s="821" t="s">
        <v>576</v>
      </c>
      <c r="D63" s="821" t="s">
        <v>577</v>
      </c>
      <c r="E63" s="920">
        <v>0.5</v>
      </c>
      <c r="F63" s="907">
        <v>80</v>
      </c>
    </row>
    <row r="64" spans="1:8" s="903" customFormat="1" ht="36">
      <c r="A64" s="907">
        <v>4</v>
      </c>
      <c r="B64" s="3096"/>
      <c r="C64" s="821" t="s">
        <v>578</v>
      </c>
      <c r="D64" s="821" t="s">
        <v>579</v>
      </c>
      <c r="E64" s="920">
        <v>0.4</v>
      </c>
      <c r="F64" s="907">
        <v>60</v>
      </c>
    </row>
    <row r="65" spans="1:6" s="903" customFormat="1" ht="36">
      <c r="A65" s="907">
        <v>5</v>
      </c>
      <c r="B65" s="3096"/>
      <c r="C65" s="821" t="s">
        <v>580</v>
      </c>
      <c r="D65" s="821" t="s">
        <v>581</v>
      </c>
      <c r="E65" s="920">
        <v>0.2</v>
      </c>
      <c r="F65" s="907">
        <v>30</v>
      </c>
    </row>
    <row r="66" spans="1:6" s="903" customFormat="1" ht="36">
      <c r="A66" s="907">
        <v>6</v>
      </c>
      <c r="B66" s="3096"/>
      <c r="C66" s="821" t="s">
        <v>582</v>
      </c>
      <c r="D66" s="821" t="s">
        <v>583</v>
      </c>
      <c r="E66" s="920">
        <v>0.3</v>
      </c>
      <c r="F66" s="907">
        <v>50</v>
      </c>
    </row>
    <row r="67" spans="1:6" s="903" customFormat="1" ht="36">
      <c r="A67" s="907">
        <v>7</v>
      </c>
      <c r="B67" s="3096"/>
      <c r="C67" s="821" t="s">
        <v>584</v>
      </c>
      <c r="D67" s="821" t="s">
        <v>585</v>
      </c>
      <c r="E67" s="920">
        <v>0.2</v>
      </c>
      <c r="F67" s="907">
        <v>30</v>
      </c>
    </row>
    <row r="68" spans="1:6" s="903" customFormat="1" ht="36">
      <c r="A68" s="907">
        <v>8</v>
      </c>
      <c r="B68" s="3096"/>
      <c r="C68" s="821" t="s">
        <v>586</v>
      </c>
      <c r="D68" s="821" t="s">
        <v>587</v>
      </c>
      <c r="E68" s="920">
        <v>0.2</v>
      </c>
      <c r="F68" s="907">
        <v>30</v>
      </c>
    </row>
    <row r="69" spans="1:6" s="903" customFormat="1" ht="36">
      <c r="A69" s="907">
        <v>9</v>
      </c>
      <c r="B69" s="3096"/>
      <c r="C69" s="821" t="s">
        <v>588</v>
      </c>
      <c r="D69" s="821" t="s">
        <v>589</v>
      </c>
      <c r="E69" s="920">
        <v>0.2</v>
      </c>
      <c r="F69" s="907">
        <v>30</v>
      </c>
    </row>
    <row r="70" spans="1:6" s="903" customFormat="1" ht="48">
      <c r="A70" s="907">
        <v>10</v>
      </c>
      <c r="B70" s="3096"/>
      <c r="C70" s="821" t="s">
        <v>590</v>
      </c>
      <c r="D70" s="821" t="s">
        <v>591</v>
      </c>
      <c r="E70" s="920">
        <v>0.2</v>
      </c>
      <c r="F70" s="907">
        <v>30</v>
      </c>
    </row>
    <row r="71" spans="1:6" s="903" customFormat="1" ht="48">
      <c r="A71" s="907">
        <v>11</v>
      </c>
      <c r="B71" s="3096"/>
      <c r="C71" s="821" t="s">
        <v>592</v>
      </c>
      <c r="D71" s="821" t="s">
        <v>593</v>
      </c>
      <c r="E71" s="920">
        <v>0.2</v>
      </c>
      <c r="F71" s="907">
        <v>30</v>
      </c>
    </row>
    <row r="72" spans="1:6" s="903" customFormat="1" ht="36">
      <c r="A72" s="907">
        <v>12</v>
      </c>
      <c r="B72" s="3096"/>
      <c r="C72" s="821" t="s">
        <v>594</v>
      </c>
      <c r="D72" s="821" t="s">
        <v>595</v>
      </c>
      <c r="E72" s="920">
        <v>0.5</v>
      </c>
      <c r="F72" s="907">
        <v>80</v>
      </c>
    </row>
    <row r="73" spans="1:6" s="903" customFormat="1" ht="24">
      <c r="A73" s="907">
        <v>13</v>
      </c>
      <c r="B73" s="3096"/>
      <c r="C73" s="821" t="s">
        <v>596</v>
      </c>
      <c r="D73" s="821" t="s">
        <v>597</v>
      </c>
      <c r="E73" s="920">
        <v>0.4</v>
      </c>
      <c r="F73" s="907">
        <v>60</v>
      </c>
    </row>
    <row r="74" spans="1:6" s="903" customFormat="1" ht="24">
      <c r="A74" s="907">
        <v>14</v>
      </c>
      <c r="B74" s="3096"/>
      <c r="C74" s="821" t="s">
        <v>598</v>
      </c>
      <c r="D74" s="821" t="s">
        <v>599</v>
      </c>
      <c r="E74" s="920">
        <v>0.2</v>
      </c>
      <c r="F74" s="907">
        <v>30</v>
      </c>
    </row>
    <row r="75" spans="1:6" s="903" customFormat="1" ht="24">
      <c r="A75" s="907">
        <v>15</v>
      </c>
      <c r="B75" s="3096"/>
      <c r="C75" s="821" t="s">
        <v>600</v>
      </c>
      <c r="D75" s="821" t="s">
        <v>601</v>
      </c>
      <c r="E75" s="920">
        <v>0.2</v>
      </c>
      <c r="F75" s="907">
        <v>30</v>
      </c>
    </row>
    <row r="76" spans="1:6" s="903" customFormat="1" ht="24">
      <c r="A76" s="907">
        <v>16</v>
      </c>
      <c r="B76" s="3096" t="s">
        <v>602</v>
      </c>
      <c r="C76" s="821" t="s">
        <v>603</v>
      </c>
      <c r="D76" s="821" t="s">
        <v>604</v>
      </c>
      <c r="E76" s="920">
        <v>0.5</v>
      </c>
      <c r="F76" s="907">
        <v>80</v>
      </c>
    </row>
    <row r="77" spans="1:6" s="903" customFormat="1" ht="24">
      <c r="A77" s="907">
        <v>17</v>
      </c>
      <c r="B77" s="3096"/>
      <c r="C77" s="821" t="s">
        <v>605</v>
      </c>
      <c r="D77" s="821" t="s">
        <v>606</v>
      </c>
      <c r="E77" s="920">
        <v>0.5</v>
      </c>
      <c r="F77" s="907">
        <v>80</v>
      </c>
    </row>
    <row r="78" spans="1:6" s="903" customFormat="1" ht="24">
      <c r="A78" s="907">
        <v>18</v>
      </c>
      <c r="B78" s="3096"/>
      <c r="C78" s="821" t="s">
        <v>607</v>
      </c>
      <c r="D78" s="821" t="s">
        <v>608</v>
      </c>
      <c r="E78" s="920">
        <v>0.2</v>
      </c>
      <c r="F78" s="907">
        <v>30</v>
      </c>
    </row>
    <row r="79" spans="1:6" s="903" customFormat="1" ht="24">
      <c r="A79" s="907">
        <v>19</v>
      </c>
      <c r="B79" s="3096"/>
      <c r="C79" s="821" t="s">
        <v>609</v>
      </c>
      <c r="D79" s="821" t="s">
        <v>610</v>
      </c>
      <c r="E79" s="920">
        <v>0.5</v>
      </c>
      <c r="F79" s="907">
        <v>80</v>
      </c>
    </row>
    <row r="80" spans="1:6" s="903" customFormat="1" ht="36">
      <c r="A80" s="907">
        <v>20</v>
      </c>
      <c r="B80" s="3096"/>
      <c r="C80" s="821" t="s">
        <v>611</v>
      </c>
      <c r="D80" s="821" t="s">
        <v>612</v>
      </c>
      <c r="E80" s="920">
        <v>0.2</v>
      </c>
      <c r="F80" s="907">
        <v>30</v>
      </c>
    </row>
    <row r="81" spans="1:6" s="903" customFormat="1" ht="36">
      <c r="A81" s="907">
        <v>21</v>
      </c>
      <c r="B81" s="3096"/>
      <c r="C81" s="821" t="s">
        <v>613</v>
      </c>
      <c r="D81" s="821" t="s">
        <v>614</v>
      </c>
      <c r="E81" s="920">
        <v>0.2</v>
      </c>
      <c r="F81" s="907">
        <v>30</v>
      </c>
    </row>
    <row r="82" spans="1:6" s="903" customFormat="1" ht="48">
      <c r="A82" s="907">
        <v>22</v>
      </c>
      <c r="B82" s="3096"/>
      <c r="C82" s="821" t="s">
        <v>615</v>
      </c>
      <c r="D82" s="821" t="s">
        <v>616</v>
      </c>
      <c r="E82" s="920">
        <v>0.2</v>
      </c>
      <c r="F82" s="907">
        <v>30</v>
      </c>
    </row>
    <row r="83" spans="1:6" s="903" customFormat="1" ht="48">
      <c r="A83" s="907">
        <v>23</v>
      </c>
      <c r="B83" s="3096"/>
      <c r="C83" s="821" t="s">
        <v>617</v>
      </c>
      <c r="D83" s="821" t="s">
        <v>618</v>
      </c>
      <c r="E83" s="920">
        <v>0.2</v>
      </c>
      <c r="F83" s="907">
        <v>30</v>
      </c>
    </row>
    <row r="84" spans="1:6" s="903" customFormat="1" ht="36">
      <c r="A84" s="907">
        <v>24</v>
      </c>
      <c r="B84" s="3096"/>
      <c r="C84" s="821" t="s">
        <v>619</v>
      </c>
      <c r="D84" s="821" t="s">
        <v>620</v>
      </c>
      <c r="E84" s="920">
        <v>0.2</v>
      </c>
      <c r="F84" s="907">
        <v>30</v>
      </c>
    </row>
    <row r="85" spans="1:6" s="903" customFormat="1" ht="36">
      <c r="A85" s="907">
        <v>25</v>
      </c>
      <c r="B85" s="3096"/>
      <c r="C85" s="821" t="s">
        <v>621</v>
      </c>
      <c r="D85" s="821" t="s">
        <v>622</v>
      </c>
      <c r="E85" s="920">
        <v>0.5</v>
      </c>
      <c r="F85" s="907">
        <v>80</v>
      </c>
    </row>
    <row r="86" spans="1:6" s="903" customFormat="1" ht="36">
      <c r="A86" s="907">
        <v>26</v>
      </c>
      <c r="B86" s="3096"/>
      <c r="C86" s="821" t="s">
        <v>623</v>
      </c>
      <c r="D86" s="821" t="s">
        <v>624</v>
      </c>
      <c r="E86" s="920">
        <v>0.2</v>
      </c>
      <c r="F86" s="907">
        <v>30</v>
      </c>
    </row>
    <row r="87" spans="1:6" s="903" customFormat="1" ht="36">
      <c r="A87" s="907">
        <v>27</v>
      </c>
      <c r="B87" s="3096"/>
      <c r="C87" s="821" t="s">
        <v>625</v>
      </c>
      <c r="D87" s="821" t="s">
        <v>626</v>
      </c>
      <c r="E87" s="920">
        <v>0.2</v>
      </c>
      <c r="F87" s="907">
        <v>30</v>
      </c>
    </row>
    <row r="88" spans="1:6" s="903" customFormat="1" ht="36">
      <c r="A88" s="907">
        <v>28</v>
      </c>
      <c r="B88" s="3096"/>
      <c r="C88" s="821" t="s">
        <v>627</v>
      </c>
      <c r="D88" s="821" t="s">
        <v>628</v>
      </c>
      <c r="E88" s="920">
        <v>0.2</v>
      </c>
      <c r="F88" s="907">
        <v>30</v>
      </c>
    </row>
    <row r="89" spans="1:6" s="903" customFormat="1" ht="24">
      <c r="A89" s="907">
        <v>29</v>
      </c>
      <c r="B89" s="3096"/>
      <c r="C89" s="821" t="s">
        <v>629</v>
      </c>
      <c r="D89" s="821" t="s">
        <v>630</v>
      </c>
      <c r="E89" s="920">
        <v>0.2</v>
      </c>
      <c r="F89" s="907">
        <v>30</v>
      </c>
    </row>
    <row r="90" spans="1:6" s="903" customFormat="1" ht="24">
      <c r="A90" s="907">
        <v>30</v>
      </c>
      <c r="B90" s="3096"/>
      <c r="C90" s="821" t="s">
        <v>631</v>
      </c>
      <c r="D90" s="821" t="s">
        <v>632</v>
      </c>
      <c r="E90" s="920">
        <v>0.2</v>
      </c>
      <c r="F90" s="907">
        <v>30</v>
      </c>
    </row>
    <row r="91" spans="1:6" s="903" customFormat="1" ht="36">
      <c r="A91" s="907">
        <v>31</v>
      </c>
      <c r="B91" s="3096"/>
      <c r="C91" s="821" t="s">
        <v>633</v>
      </c>
      <c r="D91" s="821" t="s">
        <v>634</v>
      </c>
      <c r="E91" s="920">
        <v>0.2</v>
      </c>
      <c r="F91" s="907">
        <v>30</v>
      </c>
    </row>
    <row r="92" spans="1:6" s="903" customFormat="1" ht="24">
      <c r="A92" s="907">
        <v>32</v>
      </c>
      <c r="B92" s="3096" t="s">
        <v>635</v>
      </c>
      <c r="C92" s="907" t="s">
        <v>636</v>
      </c>
      <c r="D92" s="821" t="s">
        <v>637</v>
      </c>
      <c r="E92" s="920">
        <v>0.2</v>
      </c>
      <c r="F92" s="907">
        <v>30</v>
      </c>
    </row>
    <row r="93" spans="1:6" s="903" customFormat="1" ht="36">
      <c r="A93" s="907">
        <v>33</v>
      </c>
      <c r="B93" s="3096"/>
      <c r="C93" s="907" t="s">
        <v>638</v>
      </c>
      <c r="D93" s="821" t="s">
        <v>639</v>
      </c>
      <c r="E93" s="920">
        <v>0.2</v>
      </c>
      <c r="F93" s="907">
        <v>30</v>
      </c>
    </row>
    <row r="94" spans="1:6" s="903" customFormat="1" ht="48">
      <c r="A94" s="907">
        <v>34</v>
      </c>
      <c r="B94" s="3096"/>
      <c r="C94" s="907" t="s">
        <v>640</v>
      </c>
      <c r="D94" s="821" t="s">
        <v>641</v>
      </c>
      <c r="E94" s="920">
        <v>0.2</v>
      </c>
      <c r="F94" s="907">
        <v>30</v>
      </c>
    </row>
    <row r="95" spans="1:6" s="903" customFormat="1" ht="36">
      <c r="A95" s="907">
        <v>35</v>
      </c>
      <c r="B95" s="3096"/>
      <c r="C95" s="907" t="s">
        <v>642</v>
      </c>
      <c r="D95" s="821" t="s">
        <v>643</v>
      </c>
      <c r="E95" s="920">
        <v>0.2</v>
      </c>
      <c r="F95" s="907">
        <v>30</v>
      </c>
    </row>
    <row r="96" spans="1:6" s="903" customFormat="1" ht="48">
      <c r="A96" s="907">
        <v>36</v>
      </c>
      <c r="B96" s="3096"/>
      <c r="C96" s="821" t="s">
        <v>644</v>
      </c>
      <c r="D96" s="821" t="s">
        <v>645</v>
      </c>
      <c r="E96" s="920">
        <v>0.2</v>
      </c>
      <c r="F96" s="907">
        <v>30</v>
      </c>
    </row>
    <row r="97" spans="1:6" s="903" customFormat="1" ht="36">
      <c r="A97" s="907">
        <v>37</v>
      </c>
      <c r="B97" s="3096"/>
      <c r="C97" s="907" t="s">
        <v>646</v>
      </c>
      <c r="D97" s="821" t="s">
        <v>647</v>
      </c>
      <c r="E97" s="920">
        <v>0.2</v>
      </c>
      <c r="F97" s="907">
        <v>30</v>
      </c>
    </row>
    <row r="98" spans="1:6" s="903" customFormat="1" ht="36">
      <c r="A98" s="907">
        <v>38</v>
      </c>
      <c r="B98" s="3096"/>
      <c r="C98" s="907" t="s">
        <v>648</v>
      </c>
      <c r="D98" s="821" t="s">
        <v>649</v>
      </c>
      <c r="E98" s="920">
        <v>0.2</v>
      </c>
      <c r="F98" s="907">
        <v>30</v>
      </c>
    </row>
    <row r="99" spans="1:6" s="903" customFormat="1" ht="36">
      <c r="A99" s="907">
        <v>39</v>
      </c>
      <c r="B99" s="3096" t="s">
        <v>650</v>
      </c>
      <c r="C99" s="907" t="s">
        <v>651</v>
      </c>
      <c r="D99" s="821" t="s">
        <v>652</v>
      </c>
      <c r="E99" s="920">
        <v>0.3</v>
      </c>
      <c r="F99" s="907">
        <v>50</v>
      </c>
    </row>
    <row r="100" spans="1:6" s="903" customFormat="1" ht="24">
      <c r="A100" s="907">
        <v>40</v>
      </c>
      <c r="B100" s="3096"/>
      <c r="C100" s="907" t="s">
        <v>653</v>
      </c>
      <c r="D100" s="821" t="s">
        <v>654</v>
      </c>
      <c r="E100" s="920">
        <v>0.2</v>
      </c>
      <c r="F100" s="907">
        <v>30</v>
      </c>
    </row>
    <row r="101" spans="1:6" s="903" customFormat="1" ht="36">
      <c r="A101" s="907">
        <v>41</v>
      </c>
      <c r="B101" s="309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6" t="s">
        <v>665</v>
      </c>
      <c r="C105" s="907" t="s">
        <v>666</v>
      </c>
      <c r="D105" s="821" t="s">
        <v>667</v>
      </c>
      <c r="E105" s="920">
        <v>0.2</v>
      </c>
      <c r="F105" s="907">
        <v>30</v>
      </c>
    </row>
    <row r="106" spans="1:6" s="903" customFormat="1" ht="36">
      <c r="A106" s="907">
        <v>46</v>
      </c>
      <c r="B106" s="3096"/>
      <c r="C106" s="907" t="s">
        <v>668</v>
      </c>
      <c r="D106" s="821" t="s">
        <v>669</v>
      </c>
      <c r="E106" s="920">
        <v>0.2</v>
      </c>
      <c r="F106" s="907">
        <v>30</v>
      </c>
    </row>
    <row r="107" spans="1:6" s="903" customFormat="1" ht="36">
      <c r="A107" s="907">
        <v>47</v>
      </c>
      <c r="B107" s="3096" t="s">
        <v>670</v>
      </c>
      <c r="C107" s="907" t="s">
        <v>671</v>
      </c>
      <c r="D107" s="821" t="s">
        <v>672</v>
      </c>
      <c r="E107" s="920">
        <v>0.3</v>
      </c>
      <c r="F107" s="907">
        <v>50</v>
      </c>
    </row>
    <row r="108" spans="1:6" s="903" customFormat="1" ht="36">
      <c r="A108" s="907">
        <v>48</v>
      </c>
      <c r="B108" s="309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6" t="s">
        <v>681</v>
      </c>
      <c r="C111" s="907" t="s">
        <v>682</v>
      </c>
      <c r="D111" s="821" t="s">
        <v>683</v>
      </c>
      <c r="E111" s="920">
        <v>0.2</v>
      </c>
      <c r="F111" s="907">
        <v>30</v>
      </c>
    </row>
    <row r="112" spans="1:6" s="903" customFormat="1" ht="24">
      <c r="A112" s="907">
        <v>52</v>
      </c>
      <c r="B112" s="3096"/>
      <c r="C112" s="907" t="s">
        <v>684</v>
      </c>
      <c r="D112" s="821" t="s">
        <v>685</v>
      </c>
      <c r="E112" s="920">
        <v>0.2</v>
      </c>
      <c r="F112" s="907">
        <v>30</v>
      </c>
    </row>
    <row r="113" spans="1:6" s="903" customFormat="1" ht="24">
      <c r="A113" s="907">
        <v>53</v>
      </c>
      <c r="B113" s="309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6" t="s">
        <v>694</v>
      </c>
      <c r="C116" s="907" t="s">
        <v>695</v>
      </c>
      <c r="D116" s="821" t="s">
        <v>696</v>
      </c>
      <c r="E116" s="920">
        <v>0.2</v>
      </c>
      <c r="F116" s="907">
        <v>30</v>
      </c>
    </row>
    <row r="117" spans="1:6" ht="36">
      <c r="A117" s="907">
        <v>57</v>
      </c>
      <c r="B117" s="309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5"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0.99219999999999997</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F7"/>
    </sheetView>
  </sheetViews>
  <sheetFormatPr defaultRowHeight="12.75"/>
  <cols>
    <col min="1" max="1" width="9" style="1572"/>
    <col min="2" max="6" width="9" style="1572" customWidth="1"/>
    <col min="7" max="7" width="9" style="1587"/>
    <col min="8" max="8" width="9" style="1572"/>
    <col min="9" max="12" width="9" style="1572" customWidth="1"/>
    <col min="13" max="13" width="2.25" style="1572" customWidth="1"/>
    <col min="14" max="14" width="9" style="1587" customWidth="1"/>
    <col min="15" max="17" width="9" style="1572" customWidth="1"/>
    <col min="18" max="18" width="2.375" style="1572" customWidth="1"/>
    <col min="19" max="19" width="7.125" style="1587" customWidth="1"/>
    <col min="20" max="22" width="7.125" style="1572" customWidth="1"/>
    <col min="23" max="23" width="23.875" style="1572" customWidth="1"/>
    <col min="24" max="25" width="9" style="1572"/>
    <col min="26" max="27" width="11.625" style="1572" customWidth="1"/>
    <col min="28" max="28" width="9" style="1572"/>
    <col min="29" max="29" width="2" style="1572" customWidth="1"/>
    <col min="30" max="16384" width="9" style="1572"/>
  </cols>
  <sheetData>
    <row r="1" spans="1:34" s="1545" customFormat="1">
      <c r="B1" s="3102" t="s">
        <v>1033</v>
      </c>
      <c r="C1" s="3102"/>
      <c r="D1" s="3102"/>
      <c r="E1" s="3102"/>
      <c r="F1" s="3102"/>
      <c r="G1" s="3098" t="s">
        <v>1034</v>
      </c>
      <c r="H1" s="3098"/>
      <c r="I1" s="3098"/>
      <c r="J1" s="3098"/>
      <c r="K1" s="3098"/>
      <c r="L1" s="3098"/>
      <c r="N1" s="3098" t="s">
        <v>1035</v>
      </c>
      <c r="O1" s="3098"/>
      <c r="P1" s="3098"/>
      <c r="Q1" s="3098"/>
      <c r="R1" s="1546"/>
      <c r="S1" s="3098" t="s">
        <v>1036</v>
      </c>
      <c r="T1" s="3098"/>
      <c r="U1" s="3098"/>
      <c r="V1" s="3098"/>
      <c r="X1" s="3097" t="s">
        <v>1037</v>
      </c>
      <c r="Y1" s="3098"/>
      <c r="Z1" s="3098"/>
      <c r="AA1" s="3098"/>
      <c r="AB1" s="3098"/>
      <c r="AD1" s="3097" t="s">
        <v>1038</v>
      </c>
      <c r="AE1" s="3098"/>
      <c r="AF1" s="3098"/>
      <c r="AG1" s="3098"/>
      <c r="AH1" s="3098"/>
    </row>
    <row r="2" spans="1:34" s="1547" customFormat="1" ht="14.25" thickBot="1">
      <c r="B2" s="1548" t="s">
        <v>1039</v>
      </c>
      <c r="C2" s="1548" t="s">
        <v>1040</v>
      </c>
      <c r="D2" s="1549" t="s">
        <v>1041</v>
      </c>
      <c r="E2" s="1549" t="s">
        <v>1042</v>
      </c>
      <c r="F2" s="1548" t="s">
        <v>1043</v>
      </c>
      <c r="G2" s="1550"/>
      <c r="H2" s="1551"/>
      <c r="I2" s="1548" t="s">
        <v>1260</v>
      </c>
      <c r="J2" s="1549" t="s">
        <v>1261</v>
      </c>
      <c r="K2" s="1549" t="s">
        <v>1262</v>
      </c>
      <c r="L2" s="1548" t="s">
        <v>1263</v>
      </c>
      <c r="N2" s="1548" t="s">
        <v>1039</v>
      </c>
      <c r="O2" s="1549" t="s">
        <v>1264</v>
      </c>
      <c r="P2" s="1549" t="s">
        <v>728</v>
      </c>
      <c r="Q2" s="1548" t="s">
        <v>1043</v>
      </c>
      <c r="R2" s="1552"/>
      <c r="S2" s="1548" t="s">
        <v>1039</v>
      </c>
      <c r="T2" s="1549" t="s">
        <v>1264</v>
      </c>
      <c r="U2" s="1549" t="s">
        <v>728</v>
      </c>
      <c r="V2" s="1548" t="s">
        <v>1043</v>
      </c>
      <c r="X2" s="1548" t="s">
        <v>1044</v>
      </c>
      <c r="Y2" s="1548" t="s">
        <v>1045</v>
      </c>
      <c r="Z2" s="1549" t="s">
        <v>1046</v>
      </c>
      <c r="AA2" s="1549" t="s">
        <v>1047</v>
      </c>
      <c r="AB2" s="1548" t="s">
        <v>1048</v>
      </c>
      <c r="AD2" s="1548" t="s">
        <v>1044</v>
      </c>
      <c r="AE2" s="1548" t="s">
        <v>1045</v>
      </c>
      <c r="AF2" s="1549" t="s">
        <v>1046</v>
      </c>
      <c r="AG2" s="1549" t="s">
        <v>1047</v>
      </c>
      <c r="AH2" s="1548" t="s">
        <v>1048</v>
      </c>
    </row>
    <row r="3" spans="1:34" s="2718" customFormat="1" ht="14.25">
      <c r="A3" s="2729" t="s">
        <v>2803</v>
      </c>
      <c r="B3" s="2719"/>
      <c r="C3" s="2719"/>
      <c r="D3" s="2720"/>
      <c r="E3" s="2720"/>
      <c r="F3" s="2719"/>
      <c r="G3" s="2721"/>
      <c r="H3" s="2722"/>
      <c r="I3" s="2723">
        <f>ROUND(AVERAGE(I4:I19),2)</f>
        <v>2.31</v>
      </c>
      <c r="J3" s="2723">
        <f>ROUND(AVERAGE(J4:J19),2)</f>
        <v>1.5</v>
      </c>
      <c r="K3" s="2723">
        <f>ROUND(AVERAGE(K4:K19),2)</f>
        <v>2.57</v>
      </c>
      <c r="L3" s="2724">
        <f>ROUND(AVERAGE(L4:L19),2)</f>
        <v>1.38</v>
      </c>
      <c r="N3" s="2721"/>
      <c r="O3" s="2725"/>
      <c r="P3" s="2725"/>
      <c r="Q3" s="2725"/>
      <c r="R3" s="2725"/>
      <c r="S3" s="2721"/>
      <c r="T3" s="2725"/>
      <c r="U3" s="2725"/>
      <c r="V3" s="2725"/>
      <c r="W3" s="2728"/>
      <c r="X3" s="2726">
        <f>ROUND(SUMPRODUCT(PRODUCT(1+N3:N$21)),4)</f>
        <v>1.4517</v>
      </c>
      <c r="Y3" s="2726">
        <f>ROUND(SUMPRODUCT(PRODUCT(1+O3:O$21)),4)</f>
        <v>1.2928999999999999</v>
      </c>
      <c r="Z3" s="2726">
        <f t="shared" ref="Z3:Z19" si="0">Y3</f>
        <v>1.2928999999999999</v>
      </c>
      <c r="AA3" s="2726">
        <f>ROUND(SUMPRODUCT(PRODUCT(1+P3:P$21)),4)</f>
        <v>1.5068999999999999</v>
      </c>
      <c r="AB3" s="2726">
        <f>ROUND(SUMPRODUCT(PRODUCT(1+Q3:Q$21)),4)</f>
        <v>1.2557</v>
      </c>
      <c r="AD3" s="2727">
        <f>ROUND(AVERAGE(I3:I$22)/100,4)</f>
        <v>2.2700000000000001E-2</v>
      </c>
      <c r="AE3" s="2727">
        <f>ROUND(AVERAGE(J3:J$22)/100,4)</f>
        <v>1.5699999999999999E-2</v>
      </c>
      <c r="AF3" s="2727">
        <f t="shared" ref="AF3:AF10" si="1">AE3</f>
        <v>1.5699999999999999E-2</v>
      </c>
      <c r="AG3" s="2727">
        <f>ROUND(AVERAGE(K3:K$22)/100,4)</f>
        <v>2.5100000000000001E-2</v>
      </c>
      <c r="AH3" s="2727">
        <f>ROUND(AVERAGE(L3:L$22)/100,4)</f>
        <v>1.35E-2</v>
      </c>
    </row>
    <row r="4" spans="1:34" s="1553" customFormat="1" ht="14.25">
      <c r="B4" s="1554"/>
      <c r="C4" s="1554"/>
      <c r="D4" s="1555"/>
      <c r="E4" s="1555"/>
      <c r="F4" s="1554"/>
      <c r="G4" s="1556"/>
      <c r="H4" s="1557"/>
      <c r="I4" s="2710"/>
      <c r="J4" s="2710"/>
      <c r="K4" s="2710"/>
      <c r="L4" s="2710"/>
      <c r="N4" s="1556"/>
      <c r="O4" s="1558"/>
      <c r="P4" s="1558"/>
      <c r="Q4" s="1558"/>
      <c r="R4" s="1558"/>
      <c r="S4" s="1556"/>
      <c r="T4" s="1558"/>
      <c r="U4" s="1558"/>
      <c r="V4" s="1558"/>
      <c r="X4" s="1559"/>
      <c r="Y4" s="1559"/>
      <c r="Z4" s="1559"/>
      <c r="AA4" s="1559"/>
      <c r="AB4" s="1559"/>
      <c r="AD4" s="1560"/>
      <c r="AE4" s="1560"/>
      <c r="AF4" s="1560"/>
      <c r="AG4" s="1560"/>
      <c r="AH4" s="1560"/>
    </row>
    <row r="5" spans="1:34" s="1820" customFormat="1">
      <c r="A5" s="1818" t="s">
        <v>2807</v>
      </c>
      <c r="B5" s="1566">
        <f t="shared" ref="B5:B10" si="2">B6*(1+N5)</f>
        <v>446.46299999999997</v>
      </c>
      <c r="C5" s="1566">
        <f t="shared" ref="C5" si="3">C6*(1+O5)</f>
        <v>333.27840000000003</v>
      </c>
      <c r="D5" s="1815">
        <f t="shared" ref="D5" si="4">C5</f>
        <v>333.27840000000003</v>
      </c>
      <c r="E5" s="1566">
        <f t="shared" ref="E5" si="5">E6*(1+P5)</f>
        <v>637.28279999999995</v>
      </c>
      <c r="F5" s="1566">
        <f t="shared" ref="F5" si="6">F6*(1+Q5)</f>
        <v>288.68830000000003</v>
      </c>
      <c r="G5" s="2730">
        <v>2018</v>
      </c>
      <c r="H5" s="1819">
        <v>2</v>
      </c>
      <c r="I5" s="2711">
        <v>0</v>
      </c>
      <c r="J5" s="2711">
        <v>0</v>
      </c>
      <c r="K5" s="2711">
        <v>0</v>
      </c>
      <c r="L5" s="2712">
        <v>0</v>
      </c>
      <c r="N5" s="1568">
        <f t="shared" ref="N5" si="7">I5/100</f>
        <v>0</v>
      </c>
      <c r="O5" s="1568">
        <f t="shared" ref="O5" si="8">J5/100</f>
        <v>0</v>
      </c>
      <c r="P5" s="1568">
        <f t="shared" ref="P5" si="9">K5/100</f>
        <v>0</v>
      </c>
      <c r="Q5" s="1568">
        <f t="shared" ref="Q5" si="10">L5/100</f>
        <v>0</v>
      </c>
      <c r="R5" s="1821"/>
      <c r="S5" s="1822"/>
      <c r="T5" s="1821"/>
      <c r="U5" s="1821"/>
      <c r="V5" s="1821"/>
      <c r="W5" s="2717" t="s">
        <v>2802</v>
      </c>
      <c r="X5" s="1814">
        <f>ROUND(SUMPRODUCT(PRODUCT(1+N5:N$21)),4)</f>
        <v>1.4517</v>
      </c>
      <c r="Y5" s="1814">
        <f>ROUND(SUMPRODUCT(PRODUCT(1+O5:O$21)),4)</f>
        <v>1.2928999999999999</v>
      </c>
      <c r="Z5" s="1814">
        <f t="shared" ref="Z5" si="11">Y5</f>
        <v>1.2928999999999999</v>
      </c>
      <c r="AA5" s="1814">
        <f>ROUND(SUMPRODUCT(PRODUCT(1+P5:P$21)),4)</f>
        <v>1.5068999999999999</v>
      </c>
      <c r="AB5" s="1814">
        <f>ROUND(SUMPRODUCT(PRODUCT(1+Q5:Q$21)),4)</f>
        <v>1.2557</v>
      </c>
      <c r="AD5" s="1569">
        <f>ROUND(AVERAGE(I5:I$22)/100,4)</f>
        <v>2.2700000000000001E-2</v>
      </c>
      <c r="AE5" s="1569">
        <f>ROUND(AVERAGE(J5:J$22)/100,4)</f>
        <v>1.5699999999999999E-2</v>
      </c>
      <c r="AF5" s="1569">
        <f t="shared" ref="AF5" si="12">AE5</f>
        <v>1.5699999999999999E-2</v>
      </c>
      <c r="AG5" s="1569">
        <f>ROUND(AVERAGE(K5:K$22)/100,4)</f>
        <v>2.5000000000000001E-2</v>
      </c>
      <c r="AH5" s="1569">
        <f>ROUND(AVERAGE(L5:L$22)/100,4)</f>
        <v>1.35E-2</v>
      </c>
    </row>
    <row r="6" spans="1:34" s="1567" customFormat="1" ht="13.5" thickBot="1">
      <c r="A6" s="1561" t="s">
        <v>2808</v>
      </c>
      <c r="B6" s="1578">
        <f t="shared" si="2"/>
        <v>446.46299999999997</v>
      </c>
      <c r="C6" s="1578">
        <f t="shared" ref="C6" si="13">C7*(1+O6)</f>
        <v>333.27840000000003</v>
      </c>
      <c r="D6" s="1578">
        <f t="shared" ref="D6:D11" si="14">C6</f>
        <v>333.27840000000003</v>
      </c>
      <c r="E6" s="1578">
        <f t="shared" ref="E6" si="15">E7*(1+P6)</f>
        <v>637.28279999999995</v>
      </c>
      <c r="F6" s="1578">
        <f t="shared" ref="F6" si="16">F7*(1+Q6)</f>
        <v>288.68830000000003</v>
      </c>
      <c r="G6" s="2709">
        <v>2018</v>
      </c>
      <c r="H6" s="1564">
        <v>1</v>
      </c>
      <c r="I6" s="1564">
        <v>1.7</v>
      </c>
      <c r="J6" s="1564">
        <v>1.92</v>
      </c>
      <c r="K6" s="1564">
        <v>1.64</v>
      </c>
      <c r="L6" s="1579">
        <v>2.0099999999999998</v>
      </c>
      <c r="M6" s="1572"/>
      <c r="N6" s="1573">
        <f t="shared" ref="N6:N11" si="17">I6/100</f>
        <v>1.7000000000000001E-2</v>
      </c>
      <c r="O6" s="1574">
        <f t="shared" ref="O6" si="18">J6/100</f>
        <v>1.9199999999999998E-2</v>
      </c>
      <c r="P6" s="1574">
        <f t="shared" ref="P6" si="19">K6/100</f>
        <v>1.6399999999999998E-2</v>
      </c>
      <c r="Q6" s="1574">
        <f t="shared" ref="Q6" si="20">L6/100</f>
        <v>2.0099999999999996E-2</v>
      </c>
      <c r="R6" s="1572"/>
      <c r="S6" s="1581">
        <f>B6/B7-1</f>
        <v>1.6999999999999904E-2</v>
      </c>
      <c r="T6" s="1582">
        <f>C6/C7-1</f>
        <v>1.9200000000000106E-2</v>
      </c>
      <c r="U6" s="1582">
        <f>E6/E7-1</f>
        <v>1.639999999999997E-2</v>
      </c>
      <c r="V6" s="1582">
        <f>F6/F7-1</f>
        <v>2.0100000000000007E-2</v>
      </c>
      <c r="W6" s="1572"/>
      <c r="X6" s="1559">
        <f>ROUND(SUMPRODUCT(PRODUCT(1+N6:N$21)),4)</f>
        <v>1.4517</v>
      </c>
      <c r="Y6" s="1559">
        <f>ROUND(SUMPRODUCT(PRODUCT(1+O6:O$21)),4)</f>
        <v>1.2928999999999999</v>
      </c>
      <c r="Z6" s="1559">
        <f t="shared" ref="Z6" si="21">Y6</f>
        <v>1.2928999999999999</v>
      </c>
      <c r="AA6" s="1559">
        <f>ROUND(SUMPRODUCT(PRODUCT(1+P6:P$21)),4)</f>
        <v>1.5068999999999999</v>
      </c>
      <c r="AB6" s="1559">
        <f>ROUND(SUMPRODUCT(PRODUCT(1+Q6:Q$21)),4)</f>
        <v>1.2557</v>
      </c>
      <c r="AC6" s="1572"/>
      <c r="AD6" s="1560">
        <f>ROUND(AVERAGE(I6:I$22)/100,4)</f>
        <v>2.4E-2</v>
      </c>
      <c r="AE6" s="1560">
        <f>ROUND(AVERAGE(J6:J$22)/100,4)</f>
        <v>1.66E-2</v>
      </c>
      <c r="AF6" s="1560">
        <f t="shared" ref="AF6" si="22">AE6</f>
        <v>1.66E-2</v>
      </c>
      <c r="AG6" s="1560">
        <f>ROUND(AVERAGE(K6:K$22)/100,4)</f>
        <v>2.6499999999999999E-2</v>
      </c>
      <c r="AH6" s="1560">
        <f>ROUND(AVERAGE(L6:L$22)/100,4)</f>
        <v>1.43E-2</v>
      </c>
    </row>
    <row r="7" spans="1:34">
      <c r="A7" s="1561" t="s">
        <v>2804</v>
      </c>
      <c r="B7" s="1570">
        <v>439</v>
      </c>
      <c r="C7" s="1570">
        <v>327</v>
      </c>
      <c r="D7" s="1570">
        <f t="shared" si="14"/>
        <v>327</v>
      </c>
      <c r="E7" s="1570">
        <v>627</v>
      </c>
      <c r="F7" s="1571">
        <v>283</v>
      </c>
      <c r="G7" s="2716">
        <v>2017</v>
      </c>
      <c r="H7" s="1562">
        <v>4</v>
      </c>
      <c r="I7" s="1562">
        <v>1.71</v>
      </c>
      <c r="J7" s="1562">
        <v>1.78</v>
      </c>
      <c r="K7" s="1562">
        <v>1.71</v>
      </c>
      <c r="L7" s="1563">
        <v>1.43</v>
      </c>
      <c r="N7" s="1573">
        <f t="shared" si="17"/>
        <v>1.7100000000000001E-2</v>
      </c>
      <c r="O7" s="1574">
        <f t="shared" ref="O7" si="23">J7/100</f>
        <v>1.78E-2</v>
      </c>
      <c r="P7" s="1574">
        <f t="shared" ref="P7" si="24">K7/100</f>
        <v>1.7100000000000001E-2</v>
      </c>
      <c r="Q7" s="1574">
        <f t="shared" ref="Q7" si="25">L7/100</f>
        <v>1.43E-2</v>
      </c>
      <c r="R7" s="1575"/>
      <c r="S7" s="1576"/>
      <c r="T7" s="1577"/>
      <c r="U7" s="1577"/>
      <c r="V7" s="1577"/>
      <c r="X7" s="1559">
        <f>ROUND(SUMPRODUCT(PRODUCT(1+N7:N$21)),4)</f>
        <v>1.4274</v>
      </c>
      <c r="Y7" s="1559">
        <f>ROUND(SUMPRODUCT(PRODUCT(1+O7:O$21)),4)</f>
        <v>1.2685</v>
      </c>
      <c r="Z7" s="1559">
        <f t="shared" si="0"/>
        <v>1.2685</v>
      </c>
      <c r="AA7" s="1559">
        <f>ROUND(SUMPRODUCT(PRODUCT(1+P7:P$21)),4)</f>
        <v>1.4825999999999999</v>
      </c>
      <c r="AB7" s="1559">
        <f>ROUND(SUMPRODUCT(PRODUCT(1+Q7:Q$21)),4)</f>
        <v>1.2309000000000001</v>
      </c>
      <c r="AD7" s="1560">
        <f>ROUND(AVERAGE(I7:I$22)/100,4)</f>
        <v>2.4500000000000001E-2</v>
      </c>
      <c r="AE7" s="1560">
        <f>ROUND(AVERAGE(J7:J$22)/100,4)</f>
        <v>1.6500000000000001E-2</v>
      </c>
      <c r="AF7" s="1560">
        <f t="shared" si="1"/>
        <v>1.6500000000000001E-2</v>
      </c>
      <c r="AG7" s="1560">
        <f>ROUND(AVERAGE(K7:K$22)/100,4)</f>
        <v>2.7099999999999999E-2</v>
      </c>
      <c r="AH7" s="1560">
        <f>ROUND(AVERAGE(L7:L$22)/100,4)</f>
        <v>1.3899999999999999E-2</v>
      </c>
    </row>
    <row r="8" spans="1:34" s="1567" customFormat="1" ht="13.5" thickBot="1">
      <c r="A8" s="1561" t="s">
        <v>2799</v>
      </c>
      <c r="B8" s="1578">
        <f t="shared" si="2"/>
        <v>431.80730811680002</v>
      </c>
      <c r="C8" s="1578">
        <f t="shared" ref="C8" si="26">C9*(1+O8)</f>
        <v>320.57880516480003</v>
      </c>
      <c r="D8" s="1578">
        <f t="shared" si="14"/>
        <v>320.57880516480003</v>
      </c>
      <c r="E8" s="1578">
        <f t="shared" ref="E8:F10" si="27">E9*(1+P8)</f>
        <v>615.96110553196797</v>
      </c>
      <c r="F8" s="1578">
        <f t="shared" si="27"/>
        <v>279.46777300108801</v>
      </c>
      <c r="G8" s="2709"/>
      <c r="H8" s="1564">
        <v>3</v>
      </c>
      <c r="I8" s="1564">
        <v>2.98</v>
      </c>
      <c r="J8" s="1564">
        <v>2.11</v>
      </c>
      <c r="K8" s="1564">
        <v>3.24</v>
      </c>
      <c r="L8" s="1579">
        <v>1.72</v>
      </c>
      <c r="M8" s="1572"/>
      <c r="N8" s="1573">
        <f t="shared" si="17"/>
        <v>2.98E-2</v>
      </c>
      <c r="O8" s="1574">
        <f t="shared" ref="O8" si="28">J8/100</f>
        <v>2.1099999999999997E-2</v>
      </c>
      <c r="P8" s="1574">
        <f t="shared" ref="P8" si="29">K8/100</f>
        <v>3.2400000000000005E-2</v>
      </c>
      <c r="Q8" s="1574">
        <f t="shared" ref="Q8" si="30">L8/100</f>
        <v>1.72E-2</v>
      </c>
      <c r="R8" s="1572"/>
      <c r="S8" s="1581"/>
      <c r="T8" s="1582"/>
      <c r="U8" s="1582"/>
      <c r="V8" s="1582"/>
      <c r="X8" s="1559">
        <f>ROUND(SUMPRODUCT(PRODUCT(1+N8:N$21)),4)</f>
        <v>1.4034</v>
      </c>
      <c r="Y8" s="1559">
        <f>ROUND(SUMPRODUCT(PRODUCT(1+O8:O$21)),4)</f>
        <v>1.2463</v>
      </c>
      <c r="Z8" s="1559">
        <f t="shared" si="0"/>
        <v>1.2463</v>
      </c>
      <c r="AA8" s="1559">
        <f>ROUND(SUMPRODUCT(PRODUCT(1+P8:P$21)),4)</f>
        <v>1.4577</v>
      </c>
      <c r="AB8" s="1559">
        <f>ROUND(SUMPRODUCT(PRODUCT(1+Q8:Q$21)),4)</f>
        <v>1.2136</v>
      </c>
      <c r="AC8" s="1572"/>
      <c r="AD8" s="1560">
        <f>ROUND(AVERAGE(I8:I$22)/100,4)</f>
        <v>2.4899999999999999E-2</v>
      </c>
      <c r="AE8" s="1560">
        <f>ROUND(AVERAGE(J8:J$22)/100,4)</f>
        <v>1.6400000000000001E-2</v>
      </c>
      <c r="AF8" s="1560">
        <f t="shared" si="1"/>
        <v>1.6400000000000001E-2</v>
      </c>
      <c r="AG8" s="1560">
        <f>ROUND(AVERAGE(K8:K$22)/100,4)</f>
        <v>2.7799999999999998E-2</v>
      </c>
      <c r="AH8" s="1560">
        <f>ROUND(AVERAGE(L8:L$22)/100,4)</f>
        <v>1.3899999999999999E-2</v>
      </c>
    </row>
    <row r="9" spans="1:34" s="1820" customFormat="1">
      <c r="A9" s="1561" t="s">
        <v>1259</v>
      </c>
      <c r="B9" s="1578">
        <f t="shared" si="2"/>
        <v>419.31181600000002</v>
      </c>
      <c r="C9" s="1578">
        <f t="shared" ref="C9" si="31">C10*(1+O9)</f>
        <v>313.95436800000004</v>
      </c>
      <c r="D9" s="1578">
        <f t="shared" si="14"/>
        <v>313.95436800000004</v>
      </c>
      <c r="E9" s="1578">
        <f t="shared" si="27"/>
        <v>596.63028431999999</v>
      </c>
      <c r="F9" s="1578">
        <f t="shared" si="27"/>
        <v>274.74220703999998</v>
      </c>
      <c r="G9" s="2708"/>
      <c r="H9" s="1565">
        <v>2</v>
      </c>
      <c r="I9" s="1565">
        <v>3.4</v>
      </c>
      <c r="J9" s="1565">
        <v>2</v>
      </c>
      <c r="K9" s="1565">
        <v>3.82</v>
      </c>
      <c r="L9" s="1580">
        <v>1.68</v>
      </c>
      <c r="M9" s="1572"/>
      <c r="N9" s="1573">
        <f t="shared" si="17"/>
        <v>3.4000000000000002E-2</v>
      </c>
      <c r="O9" s="1574">
        <f t="shared" ref="O9" si="32">J9/100</f>
        <v>0.02</v>
      </c>
      <c r="P9" s="1574">
        <f t="shared" ref="P9" si="33">K9/100</f>
        <v>3.8199999999999998E-2</v>
      </c>
      <c r="Q9" s="1574">
        <f t="shared" ref="Q9" si="34">L9/100</f>
        <v>1.6799999999999999E-2</v>
      </c>
      <c r="R9" s="1572"/>
      <c r="S9" s="1556"/>
      <c r="T9" s="1558"/>
      <c r="U9" s="1558"/>
      <c r="V9" s="1558"/>
      <c r="W9" s="1553"/>
      <c r="X9" s="1873">
        <f>ROUND(SUMPRODUCT(PRODUCT(1+N9:N$21)),4)</f>
        <v>1.3628</v>
      </c>
      <c r="Y9" s="1873">
        <f>ROUND(SUMPRODUCT(PRODUCT(1+O9:O$21)),4)</f>
        <v>1.2205999999999999</v>
      </c>
      <c r="Z9" s="1873">
        <f t="shared" si="0"/>
        <v>1.2205999999999999</v>
      </c>
      <c r="AA9" s="1873">
        <f>ROUND(SUMPRODUCT(PRODUCT(1+P9:P$21)),4)</f>
        <v>1.4118999999999999</v>
      </c>
      <c r="AB9" s="1873">
        <f>ROUND(SUMPRODUCT(PRODUCT(1+Q9:Q$21)),4)</f>
        <v>1.1930000000000001</v>
      </c>
      <c r="AC9" s="1553"/>
      <c r="AD9" s="1874">
        <f>ROUND(AVERAGE(I9:I$22)/100,4)</f>
        <v>2.46E-2</v>
      </c>
      <c r="AE9" s="1874">
        <f>ROUND(AVERAGE(J9:J$22)/100,4)</f>
        <v>1.6E-2</v>
      </c>
      <c r="AF9" s="1874">
        <f t="shared" si="1"/>
        <v>1.6E-2</v>
      </c>
      <c r="AG9" s="1874">
        <f>ROUND(AVERAGE(K9:K$22)/100,4)</f>
        <v>2.75E-2</v>
      </c>
      <c r="AH9" s="1874">
        <f>ROUND(AVERAGE(L9:L$22)/100,4)</f>
        <v>1.37E-2</v>
      </c>
    </row>
    <row r="10" spans="1:34" s="1567" customFormat="1" ht="13.5" thickBot="1">
      <c r="A10" s="1561" t="s">
        <v>1049</v>
      </c>
      <c r="B10" s="1578">
        <f t="shared" si="2"/>
        <v>405.524</v>
      </c>
      <c r="C10" s="1578">
        <f t="shared" ref="C10" si="35">C11*(1+O10)</f>
        <v>307.79840000000002</v>
      </c>
      <c r="D10" s="1578">
        <f t="shared" si="14"/>
        <v>307.79840000000002</v>
      </c>
      <c r="E10" s="1578">
        <f t="shared" si="27"/>
        <v>574.67759999999998</v>
      </c>
      <c r="F10" s="1578">
        <f t="shared" si="27"/>
        <v>270.20280000000002</v>
      </c>
      <c r="G10" s="2709"/>
      <c r="H10" s="1564">
        <v>1</v>
      </c>
      <c r="I10" s="1564">
        <v>3.45</v>
      </c>
      <c r="J10" s="1564">
        <v>1.92</v>
      </c>
      <c r="K10" s="1564">
        <v>3.92</v>
      </c>
      <c r="L10" s="1579">
        <v>1.58</v>
      </c>
      <c r="M10" s="1572"/>
      <c r="N10" s="1573">
        <f t="shared" si="17"/>
        <v>3.4500000000000003E-2</v>
      </c>
      <c r="O10" s="1574">
        <f t="shared" ref="O10:Q25" si="36">J10/100</f>
        <v>1.9199999999999998E-2</v>
      </c>
      <c r="P10" s="1574">
        <f t="shared" si="36"/>
        <v>3.9199999999999999E-2</v>
      </c>
      <c r="Q10" s="1574">
        <f t="shared" si="36"/>
        <v>1.5800000000000002E-2</v>
      </c>
      <c r="R10" s="1572"/>
      <c r="S10" s="1581">
        <f>B10/B11-1</f>
        <v>3.4499999999999975E-2</v>
      </c>
      <c r="T10" s="1582">
        <f>C10/C11-1</f>
        <v>1.9200000000000106E-2</v>
      </c>
      <c r="U10" s="1582">
        <f>E10/E11-1</f>
        <v>3.9199999999999902E-2</v>
      </c>
      <c r="V10" s="1582">
        <f>F10/F11-1</f>
        <v>1.5800000000000036E-2</v>
      </c>
      <c r="W10" s="1572"/>
      <c r="X10" s="1559">
        <f>ROUND(SUMPRODUCT(PRODUCT(1+N10:N$21)),4)</f>
        <v>1.3180000000000001</v>
      </c>
      <c r="Y10" s="1559">
        <f>ROUND(SUMPRODUCT(PRODUCT(1+O10:O$21)),4)</f>
        <v>1.1966000000000001</v>
      </c>
      <c r="Z10" s="1559">
        <f t="shared" si="0"/>
        <v>1.1966000000000001</v>
      </c>
      <c r="AA10" s="1559">
        <f>ROUND(SUMPRODUCT(PRODUCT(1+P10:P$21)),4)</f>
        <v>1.36</v>
      </c>
      <c r="AB10" s="1559">
        <f>ROUND(SUMPRODUCT(PRODUCT(1+Q10:Q$21)),4)</f>
        <v>1.1733</v>
      </c>
      <c r="AC10" s="1572"/>
      <c r="AD10" s="1560">
        <f>ROUND(AVERAGE(I10:I$22)/100,4)</f>
        <v>2.3900000000000001E-2</v>
      </c>
      <c r="AE10" s="1560">
        <f>ROUND(AVERAGE(J10:J$22)/100,4)</f>
        <v>1.5699999999999999E-2</v>
      </c>
      <c r="AF10" s="1560">
        <f t="shared" si="1"/>
        <v>1.5699999999999999E-2</v>
      </c>
      <c r="AG10" s="1560">
        <f>ROUND(AVERAGE(K10:K$22)/100,4)</f>
        <v>2.6599999999999999E-2</v>
      </c>
      <c r="AH10" s="1560">
        <f>ROUND(AVERAGE(L10:L$22)/100,4)</f>
        <v>1.34E-2</v>
      </c>
    </row>
    <row r="11" spans="1:34">
      <c r="A11" s="1561" t="s">
        <v>1050</v>
      </c>
      <c r="B11" s="1570">
        <v>392</v>
      </c>
      <c r="C11" s="1570">
        <v>302</v>
      </c>
      <c r="D11" s="1570">
        <f t="shared" si="14"/>
        <v>302</v>
      </c>
      <c r="E11" s="1570">
        <v>553</v>
      </c>
      <c r="F11" s="1571">
        <v>266</v>
      </c>
      <c r="G11" s="3103">
        <v>2016</v>
      </c>
      <c r="H11" s="1562">
        <v>4</v>
      </c>
      <c r="I11" s="1562">
        <v>4.5599999999999996</v>
      </c>
      <c r="J11" s="1562">
        <v>2.15</v>
      </c>
      <c r="K11" s="1562">
        <v>5.32</v>
      </c>
      <c r="L11" s="1563">
        <v>1.57</v>
      </c>
      <c r="N11" s="1573">
        <f t="shared" si="17"/>
        <v>4.5599999999999995E-2</v>
      </c>
      <c r="O11" s="1574">
        <f t="shared" si="36"/>
        <v>2.1499999999999998E-2</v>
      </c>
      <c r="P11" s="1574">
        <f t="shared" si="36"/>
        <v>5.3200000000000004E-2</v>
      </c>
      <c r="Q11" s="1574">
        <f t="shared" si="36"/>
        <v>1.5700000000000002E-2</v>
      </c>
      <c r="R11" s="1575"/>
      <c r="S11" s="1576"/>
      <c r="T11" s="1577"/>
      <c r="U11" s="1577"/>
      <c r="V11" s="1577"/>
      <c r="X11" s="1559">
        <f>ROUND(SUMPRODUCT(PRODUCT(1+N11:N$21)),4)</f>
        <v>1.274</v>
      </c>
      <c r="Y11" s="1559">
        <f>ROUND(SUMPRODUCT(PRODUCT(1+O11:O$21)),4)</f>
        <v>1.1740999999999999</v>
      </c>
      <c r="Z11" s="1559">
        <f t="shared" si="0"/>
        <v>1.1740999999999999</v>
      </c>
      <c r="AA11" s="1559">
        <f>ROUND(SUMPRODUCT(PRODUCT(1+P11:P$21)),4)</f>
        <v>1.3087</v>
      </c>
      <c r="AB11" s="1559">
        <f>ROUND(SUMPRODUCT(PRODUCT(1+Q11:Q$21)),4)</f>
        <v>1.1551</v>
      </c>
      <c r="AD11" s="1560">
        <f>ROUND(AVERAGE(I11:I$22)/100,4)</f>
        <v>2.3E-2</v>
      </c>
      <c r="AE11" s="1560">
        <f>ROUND(AVERAGE(J11:J$22)/100,4)</f>
        <v>1.55E-2</v>
      </c>
      <c r="AF11" s="1560">
        <f t="shared" ref="AF11:AF20" si="37">AE11</f>
        <v>1.55E-2</v>
      </c>
      <c r="AG11" s="1560">
        <f>ROUND(AVERAGE(K11:K$22)/100,4)</f>
        <v>2.5600000000000001E-2</v>
      </c>
      <c r="AH11" s="1560">
        <f>ROUND(AVERAGE(L11:L$22)/100,4)</f>
        <v>1.32E-2</v>
      </c>
    </row>
    <row r="12" spans="1:34">
      <c r="A12" s="1561" t="s">
        <v>103</v>
      </c>
      <c r="B12" s="1578">
        <f t="shared" ref="B12:C14" si="38">B11/(1+N11)</f>
        <v>374.90436113236416</v>
      </c>
      <c r="C12" s="1578">
        <f t="shared" si="38"/>
        <v>295.64366128242779</v>
      </c>
      <c r="D12" s="1578">
        <f t="shared" ref="D12:D71" si="39">C12</f>
        <v>295.64366128242779</v>
      </c>
      <c r="E12" s="1578">
        <f t="shared" ref="E12:F14" si="40">E11/(1+P11)</f>
        <v>525.06646410938095</v>
      </c>
      <c r="F12" s="1578">
        <f t="shared" si="40"/>
        <v>261.88835286009646</v>
      </c>
      <c r="G12" s="3100"/>
      <c r="H12" s="1564">
        <v>3</v>
      </c>
      <c r="I12" s="1564">
        <v>4.12</v>
      </c>
      <c r="J12" s="1564">
        <v>2</v>
      </c>
      <c r="K12" s="1564">
        <v>4.79</v>
      </c>
      <c r="L12" s="1579">
        <v>1.97</v>
      </c>
      <c r="N12" s="1573">
        <f t="shared" ref="N12:Q46" si="41">I12/100</f>
        <v>4.1200000000000001E-2</v>
      </c>
      <c r="O12" s="1574">
        <f t="shared" si="36"/>
        <v>0.02</v>
      </c>
      <c r="P12" s="1574">
        <f t="shared" si="36"/>
        <v>4.7899999999999998E-2</v>
      </c>
      <c r="Q12" s="1574">
        <f t="shared" si="36"/>
        <v>1.9699999999999999E-2</v>
      </c>
      <c r="R12" s="1575"/>
      <c r="S12" s="1573"/>
      <c r="T12" s="1574"/>
      <c r="U12" s="1574"/>
      <c r="V12" s="1574"/>
      <c r="X12" s="1559">
        <f>ROUND(SUMPRODUCT(PRODUCT(1+N12:N$21)),4)</f>
        <v>1.2184999999999999</v>
      </c>
      <c r="Y12" s="1559">
        <f>ROUND(SUMPRODUCT(PRODUCT(1+O12:O$21)),4)</f>
        <v>1.1494</v>
      </c>
      <c r="Z12" s="1559">
        <f t="shared" si="0"/>
        <v>1.1494</v>
      </c>
      <c r="AA12" s="1559">
        <f>ROUND(SUMPRODUCT(PRODUCT(1+P12:P$21)),4)</f>
        <v>1.2425999999999999</v>
      </c>
      <c r="AB12" s="1559">
        <f>ROUND(SUMPRODUCT(PRODUCT(1+Q12:Q$21)),4)</f>
        <v>1.1372</v>
      </c>
      <c r="AD12" s="1560">
        <f>ROUND(AVERAGE(I12:I$22)/100,4)</f>
        <v>2.0899999999999998E-2</v>
      </c>
      <c r="AE12" s="1560">
        <f>ROUND(AVERAGE(J12:J$22)/100,4)</f>
        <v>1.49E-2</v>
      </c>
      <c r="AF12" s="1560">
        <f t="shared" si="37"/>
        <v>1.49E-2</v>
      </c>
      <c r="AG12" s="1560">
        <f>ROUND(AVERAGE(K12:K$22)/100,4)</f>
        <v>2.3099999999999999E-2</v>
      </c>
      <c r="AH12" s="1560">
        <f>ROUND(AVERAGE(L12:L$22)/100,4)</f>
        <v>1.2999999999999999E-2</v>
      </c>
    </row>
    <row r="13" spans="1:34">
      <c r="A13" s="1561" t="s">
        <v>93</v>
      </c>
      <c r="B13" s="1578">
        <f t="shared" si="38"/>
        <v>360.06949782209392</v>
      </c>
      <c r="C13" s="1578">
        <f t="shared" si="38"/>
        <v>289.84672674747821</v>
      </c>
      <c r="D13" s="1578">
        <f t="shared" si="39"/>
        <v>289.84672674747821</v>
      </c>
      <c r="E13" s="1578">
        <f t="shared" si="40"/>
        <v>501.06543001181495</v>
      </c>
      <c r="F13" s="1578">
        <f t="shared" si="40"/>
        <v>256.82882500744967</v>
      </c>
      <c r="G13" s="3100"/>
      <c r="H13" s="1565">
        <v>2</v>
      </c>
      <c r="I13" s="1565">
        <v>3.85</v>
      </c>
      <c r="J13" s="1565">
        <v>1.95</v>
      </c>
      <c r="K13" s="1565">
        <v>4.4800000000000004</v>
      </c>
      <c r="L13" s="1580">
        <v>1.41</v>
      </c>
      <c r="N13" s="1573">
        <f t="shared" si="41"/>
        <v>3.85E-2</v>
      </c>
      <c r="O13" s="1574">
        <f t="shared" si="36"/>
        <v>1.95E-2</v>
      </c>
      <c r="P13" s="1574">
        <f t="shared" si="36"/>
        <v>4.4800000000000006E-2</v>
      </c>
      <c r="Q13" s="1574">
        <f t="shared" si="36"/>
        <v>1.41E-2</v>
      </c>
      <c r="R13" s="1575"/>
      <c r="S13" s="1573"/>
      <c r="T13" s="1574"/>
      <c r="U13" s="1574"/>
      <c r="V13" s="1574"/>
      <c r="X13" s="1559">
        <f>ROUND(SUMPRODUCT(PRODUCT(1+N13:N$21)),4)</f>
        <v>1.1702999999999999</v>
      </c>
      <c r="Y13" s="1559">
        <f>ROUND(SUMPRODUCT(PRODUCT(1+O13:O$21)),4)</f>
        <v>1.1269</v>
      </c>
      <c r="Z13" s="1559">
        <f t="shared" si="0"/>
        <v>1.1269</v>
      </c>
      <c r="AA13" s="1559">
        <f>ROUND(SUMPRODUCT(PRODUCT(1+P13:P$21)),4)</f>
        <v>1.1858</v>
      </c>
      <c r="AB13" s="1559">
        <f>ROUND(SUMPRODUCT(PRODUCT(1+Q13:Q$21)),4)</f>
        <v>1.1152</v>
      </c>
      <c r="AD13" s="1560">
        <f>ROUND(AVERAGE(I13:I$22)/100,4)</f>
        <v>1.89E-2</v>
      </c>
      <c r="AE13" s="1560">
        <f>ROUND(AVERAGE(J13:J$22)/100,4)</f>
        <v>1.44E-2</v>
      </c>
      <c r="AF13" s="1560">
        <f t="shared" si="37"/>
        <v>1.44E-2</v>
      </c>
      <c r="AG13" s="1560">
        <f>ROUND(AVERAGE(K13:K$22)/100,4)</f>
        <v>2.06E-2</v>
      </c>
      <c r="AH13" s="1560">
        <f>ROUND(AVERAGE(L13:L$22)/100,4)</f>
        <v>1.23E-2</v>
      </c>
    </row>
    <row r="14" spans="1:34" ht="13.5" thickBot="1">
      <c r="A14" s="1561" t="s">
        <v>102</v>
      </c>
      <c r="B14" s="1578">
        <f t="shared" si="38"/>
        <v>346.720748986128</v>
      </c>
      <c r="C14" s="1578">
        <f t="shared" si="38"/>
        <v>284.30282172386285</v>
      </c>
      <c r="D14" s="1578">
        <f t="shared" si="39"/>
        <v>284.30282172386285</v>
      </c>
      <c r="E14" s="1578">
        <f t="shared" si="40"/>
        <v>479.58023546306947</v>
      </c>
      <c r="F14" s="1578">
        <f t="shared" si="40"/>
        <v>253.25788877571213</v>
      </c>
      <c r="G14" s="3101"/>
      <c r="H14" s="1564">
        <v>1</v>
      </c>
      <c r="I14" s="1564">
        <v>4.09</v>
      </c>
      <c r="J14" s="1564">
        <v>2.93</v>
      </c>
      <c r="K14" s="1564">
        <v>4.54</v>
      </c>
      <c r="L14" s="1579">
        <v>1.48</v>
      </c>
      <c r="N14" s="1573">
        <f t="shared" si="41"/>
        <v>4.0899999999999999E-2</v>
      </c>
      <c r="O14" s="1574">
        <f t="shared" si="36"/>
        <v>2.9300000000000003E-2</v>
      </c>
      <c r="P14" s="1574">
        <f t="shared" si="36"/>
        <v>4.5400000000000003E-2</v>
      </c>
      <c r="Q14" s="1574">
        <f t="shared" si="36"/>
        <v>1.4800000000000001E-2</v>
      </c>
      <c r="R14" s="1575"/>
      <c r="S14" s="1581">
        <f>B14/B15-1</f>
        <v>4.1203450408792808E-2</v>
      </c>
      <c r="T14" s="1582">
        <f>C14/C15-1</f>
        <v>2.6363977342465095E-2</v>
      </c>
      <c r="U14" s="1582">
        <f>E14/E15-1</f>
        <v>4.4837114298626357E-2</v>
      </c>
      <c r="V14" s="1582">
        <f>F14/F15-1</f>
        <v>1.7099954922538574E-2</v>
      </c>
      <c r="X14" s="1559">
        <f>ROUND(SUMPRODUCT(PRODUCT(1+N14:N$21)),4)</f>
        <v>1.1269</v>
      </c>
      <c r="Y14" s="1559">
        <f>ROUND(SUMPRODUCT(PRODUCT(1+O14:O$21)),4)</f>
        <v>1.1052999999999999</v>
      </c>
      <c r="Z14" s="1559">
        <f t="shared" si="0"/>
        <v>1.1052999999999999</v>
      </c>
      <c r="AA14" s="1559">
        <f>ROUND(SUMPRODUCT(PRODUCT(1+P14:P$21)),4)</f>
        <v>1.1349</v>
      </c>
      <c r="AB14" s="1559">
        <f>ROUND(SUMPRODUCT(PRODUCT(1+Q14:Q$21)),4)</f>
        <v>1.0996999999999999</v>
      </c>
      <c r="AD14" s="1560">
        <f>ROUND(AVERAGE(I14:I$22)/100,4)</f>
        <v>1.67E-2</v>
      </c>
      <c r="AE14" s="1560">
        <f>ROUND(AVERAGE(J14:J$22)/100,4)</f>
        <v>1.38E-2</v>
      </c>
      <c r="AF14" s="1560">
        <f t="shared" si="37"/>
        <v>1.38E-2</v>
      </c>
      <c r="AG14" s="1560">
        <f>ROUND(AVERAGE(K14:K$22)/100,4)</f>
        <v>1.7899999999999999E-2</v>
      </c>
      <c r="AH14" s="1560">
        <f>ROUND(AVERAGE(L14:L$22)/100,4)</f>
        <v>1.21E-2</v>
      </c>
    </row>
    <row r="15" spans="1:34" ht="13.5" thickBot="1">
      <c r="A15" s="1561" t="s">
        <v>101</v>
      </c>
      <c r="B15" s="1570">
        <v>333</v>
      </c>
      <c r="C15" s="1570">
        <v>277</v>
      </c>
      <c r="D15" s="1570">
        <f t="shared" si="39"/>
        <v>277</v>
      </c>
      <c r="E15" s="1570">
        <v>459</v>
      </c>
      <c r="F15" s="1571">
        <v>249</v>
      </c>
      <c r="G15" s="3099">
        <v>2015</v>
      </c>
      <c r="H15" s="1583">
        <v>4</v>
      </c>
      <c r="I15" s="1583">
        <v>1.63</v>
      </c>
      <c r="J15" s="1583">
        <v>1.1100000000000001</v>
      </c>
      <c r="K15" s="1583">
        <v>1.77</v>
      </c>
      <c r="L15" s="1584">
        <v>1.89</v>
      </c>
      <c r="N15" s="1585">
        <f t="shared" si="41"/>
        <v>1.6299999999999999E-2</v>
      </c>
      <c r="O15" s="1586">
        <f t="shared" si="36"/>
        <v>1.11E-2</v>
      </c>
      <c r="P15" s="1586">
        <f t="shared" si="36"/>
        <v>1.77E-2</v>
      </c>
      <c r="Q15" s="1586">
        <f t="shared" si="36"/>
        <v>1.89E-2</v>
      </c>
      <c r="R15" s="1575"/>
      <c r="X15" s="1559">
        <f>ROUND(SUMPRODUCT(PRODUCT(1+N15:N$21)),4)</f>
        <v>1.0826</v>
      </c>
      <c r="Y15" s="1559">
        <f>ROUND(SUMPRODUCT(PRODUCT(1+O15:O$21)),4)</f>
        <v>1.0738000000000001</v>
      </c>
      <c r="Z15" s="1559">
        <f t="shared" si="0"/>
        <v>1.0738000000000001</v>
      </c>
      <c r="AA15" s="1559">
        <f>ROUND(SUMPRODUCT(PRODUCT(1+P15:P$21)),4)</f>
        <v>1.0855999999999999</v>
      </c>
      <c r="AB15" s="1559">
        <f>ROUND(SUMPRODUCT(PRODUCT(1+Q15:Q$21)),4)</f>
        <v>1.0837000000000001</v>
      </c>
      <c r="AD15" s="1560">
        <f>ROUND(AVERAGE(I15:I$22)/100,4)</f>
        <v>1.37E-2</v>
      </c>
      <c r="AE15" s="1560">
        <f>ROUND(AVERAGE(J15:J$22)/100,4)</f>
        <v>1.1900000000000001E-2</v>
      </c>
      <c r="AF15" s="1560">
        <f t="shared" si="37"/>
        <v>1.1900000000000001E-2</v>
      </c>
      <c r="AG15" s="1560">
        <f>ROUND(AVERAGE(K15:K$22)/100,4)</f>
        <v>1.4500000000000001E-2</v>
      </c>
      <c r="AH15" s="1560">
        <f>ROUND(AVERAGE(L15:L$22)/100,4)</f>
        <v>1.18E-2</v>
      </c>
    </row>
    <row r="16" spans="1:34">
      <c r="A16" s="1561" t="s">
        <v>100</v>
      </c>
      <c r="B16" s="1578">
        <f t="shared" ref="B16:C18" si="42">B15/(1+N15)</f>
        <v>327.65915576109415</v>
      </c>
      <c r="C16" s="1578">
        <f t="shared" si="42"/>
        <v>273.95905449510434</v>
      </c>
      <c r="D16" s="1578">
        <f t="shared" si="39"/>
        <v>273.95905449510434</v>
      </c>
      <c r="E16" s="1578">
        <f t="shared" ref="E16:F18" si="43">E15/(1+P15)</f>
        <v>451.01699911565294</v>
      </c>
      <c r="F16" s="1578">
        <f t="shared" si="43"/>
        <v>244.38119540681129</v>
      </c>
      <c r="G16" s="3100"/>
      <c r="H16" s="1588">
        <v>3</v>
      </c>
      <c r="I16" s="1588">
        <v>1.65</v>
      </c>
      <c r="J16" s="1588">
        <v>0.92</v>
      </c>
      <c r="K16" s="1588">
        <v>1.88</v>
      </c>
      <c r="L16" s="1589">
        <v>1.26</v>
      </c>
      <c r="N16" s="1573">
        <f t="shared" si="41"/>
        <v>1.6500000000000001E-2</v>
      </c>
      <c r="O16" s="1590">
        <f t="shared" si="36"/>
        <v>9.1999999999999998E-3</v>
      </c>
      <c r="P16" s="1590">
        <f t="shared" si="36"/>
        <v>1.8799999999999997E-2</v>
      </c>
      <c r="Q16" s="1590">
        <f t="shared" si="36"/>
        <v>1.26E-2</v>
      </c>
      <c r="R16" s="1575"/>
      <c r="S16" s="1573"/>
      <c r="T16" s="1574"/>
      <c r="U16" s="1574"/>
      <c r="V16" s="1574"/>
      <c r="X16" s="1559">
        <f>ROUND(SUMPRODUCT(PRODUCT(1+N16:N$21)),4)</f>
        <v>1.0651999999999999</v>
      </c>
      <c r="Y16" s="1559">
        <f>ROUND(SUMPRODUCT(PRODUCT(1+O16:O$21)),4)</f>
        <v>1.0621</v>
      </c>
      <c r="Z16" s="1559">
        <f t="shared" si="0"/>
        <v>1.0621</v>
      </c>
      <c r="AA16" s="1559">
        <f>ROUND(SUMPRODUCT(PRODUCT(1+P16:P$21)),4)</f>
        <v>1.0668</v>
      </c>
      <c r="AB16" s="1559">
        <f>ROUND(SUMPRODUCT(PRODUCT(1+Q16:Q$21)),4)</f>
        <v>1.0636000000000001</v>
      </c>
      <c r="AD16" s="1560">
        <f>ROUND(AVERAGE(I16:I$22)/100,4)</f>
        <v>1.3299999999999999E-2</v>
      </c>
      <c r="AE16" s="1560">
        <f>ROUND(AVERAGE(J16:J$22)/100,4)</f>
        <v>1.2E-2</v>
      </c>
      <c r="AF16" s="1560">
        <f t="shared" si="37"/>
        <v>1.2E-2</v>
      </c>
      <c r="AG16" s="1560">
        <f>ROUND(AVERAGE(K16:K$22)/100,4)</f>
        <v>1.4E-2</v>
      </c>
      <c r="AH16" s="1560">
        <f>ROUND(AVERAGE(L16:L$22)/100,4)</f>
        <v>1.0800000000000001E-2</v>
      </c>
    </row>
    <row r="17" spans="1:34">
      <c r="A17" s="1561" t="s">
        <v>99</v>
      </c>
      <c r="B17" s="1578">
        <f t="shared" si="42"/>
        <v>322.34053690220776</v>
      </c>
      <c r="C17" s="1578">
        <f t="shared" si="42"/>
        <v>271.46160770422546</v>
      </c>
      <c r="D17" s="1578">
        <f t="shared" si="39"/>
        <v>271.46160770422546</v>
      </c>
      <c r="E17" s="1578">
        <f t="shared" si="43"/>
        <v>442.69434542172456</v>
      </c>
      <c r="F17" s="1578">
        <f t="shared" si="43"/>
        <v>241.34030753190925</v>
      </c>
      <c r="G17" s="3100"/>
      <c r="H17" s="1565">
        <v>2</v>
      </c>
      <c r="I17" s="1565">
        <v>0.77</v>
      </c>
      <c r="J17" s="1565">
        <v>0.69</v>
      </c>
      <c r="K17" s="1565">
        <v>0.8</v>
      </c>
      <c r="L17" s="1580">
        <v>0.88</v>
      </c>
      <c r="N17" s="1573">
        <f t="shared" si="41"/>
        <v>7.7000000000000002E-3</v>
      </c>
      <c r="O17" s="1590">
        <f t="shared" si="36"/>
        <v>6.8999999999999999E-3</v>
      </c>
      <c r="P17" s="1590">
        <f t="shared" si="36"/>
        <v>8.0000000000000002E-3</v>
      </c>
      <c r="Q17" s="1590">
        <f t="shared" si="36"/>
        <v>8.8000000000000005E-3</v>
      </c>
      <c r="R17" s="1575"/>
      <c r="S17" s="1573"/>
      <c r="T17" s="1574"/>
      <c r="U17" s="1574"/>
      <c r="V17" s="1574"/>
      <c r="X17" s="1559">
        <f>ROUND(SUMPRODUCT(PRODUCT(1+N17:N$21)),4)</f>
        <v>1.048</v>
      </c>
      <c r="Y17" s="1559">
        <f>ROUND(SUMPRODUCT(PRODUCT(1+O17:O$21)),4)</f>
        <v>1.0524</v>
      </c>
      <c r="Z17" s="1559">
        <f t="shared" si="0"/>
        <v>1.0524</v>
      </c>
      <c r="AA17" s="1559">
        <f>ROUND(SUMPRODUCT(PRODUCT(1+P17:P$21)),4)</f>
        <v>1.0470999999999999</v>
      </c>
      <c r="AB17" s="1559">
        <f>ROUND(SUMPRODUCT(PRODUCT(1+Q17:Q$21)),4)</f>
        <v>1.0504</v>
      </c>
      <c r="AD17" s="1560">
        <f>ROUND(AVERAGE(I17:I$22)/100,4)</f>
        <v>1.2800000000000001E-2</v>
      </c>
      <c r="AE17" s="1560">
        <f>ROUND(AVERAGE(J17:J$22)/100,4)</f>
        <v>1.2500000000000001E-2</v>
      </c>
      <c r="AF17" s="1560">
        <f t="shared" si="37"/>
        <v>1.2500000000000001E-2</v>
      </c>
      <c r="AG17" s="1560">
        <f>ROUND(AVERAGE(K17:K$22)/100,4)</f>
        <v>1.32E-2</v>
      </c>
      <c r="AH17" s="1560">
        <f>ROUND(AVERAGE(L17:L$22)/100,4)</f>
        <v>1.0500000000000001E-2</v>
      </c>
    </row>
    <row r="18" spans="1:34">
      <c r="A18" s="1561" t="s">
        <v>98</v>
      </c>
      <c r="B18" s="1578">
        <f t="shared" si="42"/>
        <v>319.87748030386797</v>
      </c>
      <c r="C18" s="1578">
        <f t="shared" si="42"/>
        <v>269.60135833173649</v>
      </c>
      <c r="D18" s="1578">
        <f t="shared" si="39"/>
        <v>269.60135833173649</v>
      </c>
      <c r="E18" s="1578">
        <f t="shared" si="43"/>
        <v>439.18089823583784</v>
      </c>
      <c r="F18" s="1578">
        <f t="shared" si="43"/>
        <v>239.23503918706311</v>
      </c>
      <c r="G18" s="3101"/>
      <c r="H18" s="1564">
        <v>1</v>
      </c>
      <c r="I18" s="1564">
        <v>0.51</v>
      </c>
      <c r="J18" s="1564">
        <v>0.54</v>
      </c>
      <c r="K18" s="1564">
        <v>0.48</v>
      </c>
      <c r="L18" s="1579">
        <v>0.93</v>
      </c>
      <c r="N18" s="1581">
        <f t="shared" si="41"/>
        <v>5.1000000000000004E-3</v>
      </c>
      <c r="O18" s="1582">
        <f t="shared" si="36"/>
        <v>5.4000000000000003E-3</v>
      </c>
      <c r="P18" s="1582">
        <f t="shared" si="36"/>
        <v>4.7999999999999996E-3</v>
      </c>
      <c r="Q18" s="1582">
        <f t="shared" si="36"/>
        <v>9.300000000000001E-3</v>
      </c>
      <c r="R18" s="1575"/>
      <c r="S18" s="1581">
        <f>B18/B19-1</f>
        <v>5.9040261127922822E-3</v>
      </c>
      <c r="T18" s="1582">
        <f>C18/C19-1</f>
        <v>5.9752176557332781E-3</v>
      </c>
      <c r="U18" s="1582">
        <f>E18/E19-1</f>
        <v>4.9906138119859556E-3</v>
      </c>
      <c r="V18" s="1582">
        <f>F18/F19-1</f>
        <v>9.4305450930933787E-3</v>
      </c>
      <c r="X18" s="1559">
        <f>ROUND(SUMPRODUCT(PRODUCT(1+N18:N$21)),4)</f>
        <v>1.0399</v>
      </c>
      <c r="Y18" s="1559">
        <f>ROUND(SUMPRODUCT(PRODUCT(1+O18:O$21)),4)</f>
        <v>1.0451999999999999</v>
      </c>
      <c r="Z18" s="1559">
        <f t="shared" si="0"/>
        <v>1.0451999999999999</v>
      </c>
      <c r="AA18" s="1559">
        <f>ROUND(SUMPRODUCT(PRODUCT(1+P18:P$21)),4)</f>
        <v>1.0387999999999999</v>
      </c>
      <c r="AB18" s="1559">
        <f>ROUND(SUMPRODUCT(PRODUCT(1+Q18:Q$21)),4)</f>
        <v>1.0411999999999999</v>
      </c>
      <c r="AD18" s="1560">
        <f>ROUND(AVERAGE(I18:I$22)/100,4)</f>
        <v>1.38E-2</v>
      </c>
      <c r="AE18" s="1560">
        <f>ROUND(AVERAGE(J18:J$22)/100,4)</f>
        <v>1.3599999999999999E-2</v>
      </c>
      <c r="AF18" s="1560">
        <f t="shared" si="37"/>
        <v>1.3599999999999999E-2</v>
      </c>
      <c r="AG18" s="1560">
        <f>ROUND(AVERAGE(K18:K$22)/100,4)</f>
        <v>1.4200000000000001E-2</v>
      </c>
      <c r="AH18" s="1560">
        <f>ROUND(AVERAGE(L18:L$22)/100,4)</f>
        <v>1.0800000000000001E-2</v>
      </c>
    </row>
    <row r="19" spans="1:34" ht="13.5" thickBot="1">
      <c r="A19" s="1561" t="s">
        <v>97</v>
      </c>
      <c r="B19" s="1591">
        <v>318</v>
      </c>
      <c r="C19" s="1591">
        <v>268</v>
      </c>
      <c r="D19" s="1591">
        <f t="shared" si="39"/>
        <v>268</v>
      </c>
      <c r="E19" s="1591">
        <v>437</v>
      </c>
      <c r="F19" s="1592">
        <v>237</v>
      </c>
      <c r="G19" s="3099">
        <v>2014</v>
      </c>
      <c r="H19" s="1583">
        <v>4</v>
      </c>
      <c r="I19" s="1583">
        <v>0.21</v>
      </c>
      <c r="J19" s="1583">
        <v>0.41</v>
      </c>
      <c r="K19" s="1583">
        <v>0.12</v>
      </c>
      <c r="L19" s="1584">
        <v>0.89</v>
      </c>
      <c r="N19" s="1573">
        <f t="shared" si="41"/>
        <v>2.0999999999999999E-3</v>
      </c>
      <c r="O19" s="1574">
        <f t="shared" si="36"/>
        <v>4.0999999999999995E-3</v>
      </c>
      <c r="P19" s="1574">
        <f t="shared" si="36"/>
        <v>1.1999999999999999E-3</v>
      </c>
      <c r="Q19" s="1574">
        <f t="shared" si="36"/>
        <v>8.8999999999999999E-3</v>
      </c>
      <c r="R19" s="1575"/>
      <c r="S19" s="1576"/>
      <c r="T19" s="1577"/>
      <c r="U19" s="1577"/>
      <c r="V19" s="1577"/>
      <c r="X19" s="1559">
        <f>ROUND(SUMPRODUCT(PRODUCT(1+N19:N$21)),4)</f>
        <v>1.0347</v>
      </c>
      <c r="Y19" s="1559">
        <f>ROUND(SUMPRODUCT(PRODUCT(1+O19:O$21)),4)</f>
        <v>1.0395000000000001</v>
      </c>
      <c r="Z19" s="1559">
        <f t="shared" si="0"/>
        <v>1.0395000000000001</v>
      </c>
      <c r="AA19" s="1559">
        <f>ROUND(SUMPRODUCT(PRODUCT(1+P19:P$21)),4)</f>
        <v>1.0338000000000001</v>
      </c>
      <c r="AB19" s="1559">
        <f>ROUND(SUMPRODUCT(PRODUCT(1+Q19:Q$21)),4)</f>
        <v>1.0316000000000001</v>
      </c>
      <c r="AD19" s="1560">
        <f>ROUND(AVERAGE(I19:I$22)/100,4)</f>
        <v>1.6E-2</v>
      </c>
      <c r="AE19" s="1560">
        <f>ROUND(AVERAGE(J19:J$22)/100,4)</f>
        <v>1.5599999999999999E-2</v>
      </c>
      <c r="AF19" s="1560">
        <f t="shared" si="37"/>
        <v>1.5599999999999999E-2</v>
      </c>
      <c r="AG19" s="1560">
        <f>ROUND(AVERAGE(K19:K$22)/100,4)</f>
        <v>1.66E-2</v>
      </c>
      <c r="AH19" s="1560">
        <f>ROUND(AVERAGE(L19:L$22)/100,4)</f>
        <v>1.12E-2</v>
      </c>
    </row>
    <row r="20" spans="1:34">
      <c r="A20" s="1561" t="s">
        <v>96</v>
      </c>
      <c r="B20" s="1578">
        <f t="shared" ref="B20:C22" si="44">B19/(1+N19)</f>
        <v>317.33359944117353</v>
      </c>
      <c r="C20" s="1578">
        <f t="shared" si="44"/>
        <v>266.90568668459315</v>
      </c>
      <c r="D20" s="1578">
        <f t="shared" si="39"/>
        <v>266.90568668459315</v>
      </c>
      <c r="E20" s="1578">
        <f t="shared" ref="E20:F22" si="45">E19/(1+P19)</f>
        <v>436.47622852576905</v>
      </c>
      <c r="F20" s="1578">
        <f t="shared" si="45"/>
        <v>234.90930716622066</v>
      </c>
      <c r="G20" s="3100"/>
      <c r="H20" s="1593">
        <v>3</v>
      </c>
      <c r="I20" s="1593">
        <v>0.83</v>
      </c>
      <c r="J20" s="1593">
        <v>1.47</v>
      </c>
      <c r="K20" s="1593">
        <v>0.65</v>
      </c>
      <c r="L20" s="1594">
        <v>0.72</v>
      </c>
      <c r="N20" s="1573">
        <f t="shared" si="41"/>
        <v>8.3000000000000001E-3</v>
      </c>
      <c r="O20" s="1574">
        <f t="shared" si="36"/>
        <v>1.47E-2</v>
      </c>
      <c r="P20" s="1574">
        <f t="shared" si="36"/>
        <v>6.5000000000000006E-3</v>
      </c>
      <c r="Q20" s="1574">
        <f t="shared" si="36"/>
        <v>7.1999999999999998E-3</v>
      </c>
      <c r="R20" s="1575"/>
      <c r="S20" s="1573"/>
      <c r="T20" s="1574"/>
      <c r="U20" s="1574"/>
      <c r="V20" s="1574"/>
      <c r="X20" s="1559">
        <f>ROUND(SUMPRODUCT(PRODUCT(1+N20:N$21)),4)</f>
        <v>1.0325</v>
      </c>
      <c r="Y20" s="1559">
        <f>ROUND(SUMPRODUCT(PRODUCT(1+O20:O$21)),4)</f>
        <v>1.0353000000000001</v>
      </c>
      <c r="Z20" s="1559">
        <f t="shared" ref="Z20:Z21" si="46">Y20</f>
        <v>1.0353000000000001</v>
      </c>
      <c r="AA20" s="1559">
        <f>ROUND(SUMPRODUCT(PRODUCT(1+P20:P$21)),4)</f>
        <v>1.0326</v>
      </c>
      <c r="AB20" s="1559">
        <f>ROUND(SUMPRODUCT(PRODUCT(1+Q20:Q$21)),4)</f>
        <v>1.0225</v>
      </c>
      <c r="AD20" s="1560">
        <f>ROUND(AVERAGE(I20:I$22)/100,4)</f>
        <v>2.07E-2</v>
      </c>
      <c r="AE20" s="1560">
        <f>ROUND(AVERAGE(J20:J$22)/100,4)</f>
        <v>1.95E-2</v>
      </c>
      <c r="AF20" s="1560">
        <f t="shared" si="37"/>
        <v>1.95E-2</v>
      </c>
      <c r="AG20" s="1560">
        <f>ROUND(AVERAGE(K20:K$22)/100,4)</f>
        <v>2.1700000000000001E-2</v>
      </c>
      <c r="AH20" s="1560">
        <f>ROUND(AVERAGE(L20:L$22)/100,4)</f>
        <v>1.2E-2</v>
      </c>
    </row>
    <row r="21" spans="1:34" ht="13.5" thickBot="1">
      <c r="A21" s="1561" t="s">
        <v>95</v>
      </c>
      <c r="B21" s="1578">
        <f t="shared" si="44"/>
        <v>314.72141172386546</v>
      </c>
      <c r="C21" s="1578">
        <f t="shared" si="44"/>
        <v>263.03901319069001</v>
      </c>
      <c r="D21" s="1578">
        <f t="shared" si="39"/>
        <v>263.03901319069001</v>
      </c>
      <c r="E21" s="1578">
        <f t="shared" si="45"/>
        <v>433.65745506782821</v>
      </c>
      <c r="F21" s="1578">
        <f t="shared" si="45"/>
        <v>233.23005080045735</v>
      </c>
      <c r="G21" s="3100"/>
      <c r="H21" s="1583">
        <v>2</v>
      </c>
      <c r="I21" s="1583">
        <v>2.4</v>
      </c>
      <c r="J21" s="1583">
        <v>2.0299999999999998</v>
      </c>
      <c r="K21" s="1583">
        <v>2.59</v>
      </c>
      <c r="L21" s="1584">
        <v>1.52</v>
      </c>
      <c r="N21" s="1573">
        <f t="shared" si="41"/>
        <v>2.4E-2</v>
      </c>
      <c r="O21" s="1574">
        <f t="shared" si="36"/>
        <v>2.0299999999999999E-2</v>
      </c>
      <c r="P21" s="1574">
        <f t="shared" si="36"/>
        <v>2.5899999999999999E-2</v>
      </c>
      <c r="Q21" s="1574">
        <f t="shared" si="36"/>
        <v>1.52E-2</v>
      </c>
      <c r="R21" s="1575"/>
      <c r="S21" s="1573"/>
      <c r="T21" s="1574"/>
      <c r="U21" s="1574"/>
      <c r="V21" s="1574"/>
      <c r="X21" s="1559">
        <f>1+N21</f>
        <v>1.024</v>
      </c>
      <c r="Y21" s="1559">
        <f>1+O21</f>
        <v>1.0203</v>
      </c>
      <c r="Z21" s="1559">
        <f t="shared" si="46"/>
        <v>1.0203</v>
      </c>
      <c r="AA21" s="1559">
        <f>1+P21</f>
        <v>1.0259</v>
      </c>
      <c r="AB21" s="1559">
        <f>1+Q21</f>
        <v>1.0152000000000001</v>
      </c>
      <c r="AD21" s="1560">
        <f>ROUND(AVERAGE(I21:I$22)/100,4)</f>
        <v>2.69E-2</v>
      </c>
      <c r="AE21" s="1560">
        <f>ROUND(AVERAGE(J21:J$22)/100,4)</f>
        <v>2.1899999999999999E-2</v>
      </c>
      <c r="AF21" s="1560">
        <f t="shared" ref="AF21" si="47">AE21</f>
        <v>2.1899999999999999E-2</v>
      </c>
      <c r="AG21" s="1560">
        <f>ROUND(AVERAGE(K21:K$22)/100,4)</f>
        <v>2.9399999999999999E-2</v>
      </c>
      <c r="AH21" s="1560">
        <f>ROUND(AVERAGE(L21:L$22)/100,4)</f>
        <v>1.44E-2</v>
      </c>
    </row>
    <row r="22" spans="1:34" s="1599" customFormat="1" ht="13.5" thickBot="1">
      <c r="A22" s="1595" t="s">
        <v>94</v>
      </c>
      <c r="B22" s="1596">
        <f t="shared" si="44"/>
        <v>307.34512863658733</v>
      </c>
      <c r="C22" s="1596">
        <f t="shared" si="44"/>
        <v>257.80556031626975</v>
      </c>
      <c r="D22" s="1596">
        <f t="shared" si="39"/>
        <v>257.80556031626975</v>
      </c>
      <c r="E22" s="1596">
        <f t="shared" si="45"/>
        <v>422.70928459677179</v>
      </c>
      <c r="F22" s="1596">
        <f t="shared" si="45"/>
        <v>229.73803270336617</v>
      </c>
      <c r="G22" s="3101"/>
      <c r="H22" s="1597">
        <v>1</v>
      </c>
      <c r="I22" s="1597">
        <v>2.97</v>
      </c>
      <c r="J22" s="1597">
        <v>2.34</v>
      </c>
      <c r="K22" s="1597">
        <v>3.28</v>
      </c>
      <c r="L22" s="1598">
        <v>1.36</v>
      </c>
      <c r="N22" s="1600">
        <f t="shared" si="41"/>
        <v>2.9700000000000001E-2</v>
      </c>
      <c r="O22" s="1601">
        <f t="shared" si="36"/>
        <v>2.3399999999999997E-2</v>
      </c>
      <c r="P22" s="1601">
        <f t="shared" si="36"/>
        <v>3.2799999999999996E-2</v>
      </c>
      <c r="Q22" s="1601">
        <f t="shared" si="36"/>
        <v>1.3600000000000001E-2</v>
      </c>
      <c r="R22" s="1602"/>
      <c r="S22" s="1603">
        <f>B22/B23-1</f>
        <v>2.7910129219355539E-2</v>
      </c>
      <c r="T22" s="1604">
        <f>C22/C23-1</f>
        <v>2.3037937762975247E-2</v>
      </c>
      <c r="U22" s="1604">
        <f>E22/E23-1</f>
        <v>3.3519033243940788E-2</v>
      </c>
      <c r="V22" s="1604">
        <f>F22/F23-1</f>
        <v>1.2061818076502862E-2</v>
      </c>
      <c r="W22" s="1605" t="s">
        <v>1218</v>
      </c>
      <c r="X22" s="1606">
        <v>1</v>
      </c>
      <c r="Y22" s="1606">
        <v>1</v>
      </c>
      <c r="Z22" s="1606">
        <v>1</v>
      </c>
      <c r="AA22" s="1606">
        <v>1</v>
      </c>
      <c r="AB22" s="1606">
        <v>1</v>
      </c>
      <c r="AD22" s="1813">
        <f>I22/100</f>
        <v>2.9700000000000001E-2</v>
      </c>
      <c r="AE22" s="1813">
        <f>J22/100</f>
        <v>2.3399999999999997E-2</v>
      </c>
      <c r="AF22" s="1813">
        <f>AE22</f>
        <v>2.3399999999999997E-2</v>
      </c>
      <c r="AG22" s="1813">
        <f>K22/100</f>
        <v>3.2799999999999996E-2</v>
      </c>
      <c r="AH22" s="1813">
        <f>L22/100</f>
        <v>1.3600000000000001E-2</v>
      </c>
    </row>
    <row r="23" spans="1:34" ht="13.5" thickBot="1">
      <c r="A23" s="1561" t="s">
        <v>1051</v>
      </c>
      <c r="B23" s="1570">
        <v>299</v>
      </c>
      <c r="C23" s="1570">
        <v>252</v>
      </c>
      <c r="D23" s="1570">
        <f t="shared" si="39"/>
        <v>252</v>
      </c>
      <c r="E23" s="1570">
        <v>409</v>
      </c>
      <c r="F23" s="1571">
        <v>227</v>
      </c>
      <c r="G23" s="3104">
        <v>2013</v>
      </c>
      <c r="H23" s="1607">
        <v>4</v>
      </c>
      <c r="I23" s="1607">
        <v>1.83</v>
      </c>
      <c r="J23" s="1607">
        <v>1.68</v>
      </c>
      <c r="K23" s="1607">
        <v>1.97</v>
      </c>
      <c r="L23" s="1608">
        <v>0.87</v>
      </c>
      <c r="N23" s="1585">
        <f t="shared" si="41"/>
        <v>1.83E-2</v>
      </c>
      <c r="O23" s="1586">
        <f t="shared" si="36"/>
        <v>1.6799999999999999E-2</v>
      </c>
      <c r="P23" s="1586">
        <f t="shared" si="36"/>
        <v>1.9699999999999999E-2</v>
      </c>
      <c r="Q23" s="1586">
        <f t="shared" si="36"/>
        <v>8.6999999999999994E-3</v>
      </c>
      <c r="R23" s="1575"/>
      <c r="S23" s="1576"/>
      <c r="T23" s="1577"/>
      <c r="U23" s="1577"/>
      <c r="V23" s="1577"/>
      <c r="X23" s="1577"/>
      <c r="Y23" s="1577"/>
      <c r="Z23" s="1577"/>
    </row>
    <row r="24" spans="1:34">
      <c r="A24" s="1561" t="s">
        <v>1052</v>
      </c>
      <c r="B24" s="1578">
        <f t="shared" ref="B24:C26" si="48">B23/(1+N23)</f>
        <v>293.62663262299913</v>
      </c>
      <c r="C24" s="1578">
        <f t="shared" si="48"/>
        <v>247.83634933123525</v>
      </c>
      <c r="D24" s="1578">
        <f t="shared" si="39"/>
        <v>247.83634933123525</v>
      </c>
      <c r="E24" s="1578">
        <f t="shared" ref="E24:F26" si="49">E23/(1+P23)</f>
        <v>401.09836226341076</v>
      </c>
      <c r="F24" s="1578">
        <f t="shared" si="49"/>
        <v>225.04213343908003</v>
      </c>
      <c r="G24" s="3105"/>
      <c r="H24" s="1588">
        <v>3</v>
      </c>
      <c r="I24" s="1588">
        <v>1.86</v>
      </c>
      <c r="J24" s="1588">
        <v>1.72</v>
      </c>
      <c r="K24" s="1588">
        <v>1.98</v>
      </c>
      <c r="L24" s="1589">
        <v>0.88</v>
      </c>
      <c r="N24" s="1573">
        <f t="shared" si="41"/>
        <v>1.8600000000000002E-2</v>
      </c>
      <c r="O24" s="1590">
        <f t="shared" si="36"/>
        <v>1.72E-2</v>
      </c>
      <c r="P24" s="1590">
        <f t="shared" si="36"/>
        <v>1.9799999999999998E-2</v>
      </c>
      <c r="Q24" s="1590">
        <f t="shared" si="36"/>
        <v>8.8000000000000005E-3</v>
      </c>
      <c r="R24" s="1575"/>
      <c r="S24" s="1573"/>
      <c r="T24" s="1574"/>
      <c r="U24" s="1574"/>
      <c r="V24" s="1574"/>
    </row>
    <row r="25" spans="1:34">
      <c r="A25" s="1561" t="s">
        <v>1053</v>
      </c>
      <c r="B25" s="1578">
        <f t="shared" si="48"/>
        <v>288.2649053828776</v>
      </c>
      <c r="C25" s="1578">
        <f t="shared" si="48"/>
        <v>243.64564425013293</v>
      </c>
      <c r="D25" s="1578">
        <f t="shared" si="39"/>
        <v>243.64564425013293</v>
      </c>
      <c r="E25" s="1578">
        <f t="shared" si="49"/>
        <v>393.31080825986544</v>
      </c>
      <c r="F25" s="1578">
        <f t="shared" si="49"/>
        <v>223.07903790551154</v>
      </c>
      <c r="G25" s="3105"/>
      <c r="H25" s="1565">
        <v>2</v>
      </c>
      <c r="I25" s="1565">
        <v>2.04</v>
      </c>
      <c r="J25" s="1565">
        <v>2.33</v>
      </c>
      <c r="K25" s="1565">
        <v>2.0699999999999998</v>
      </c>
      <c r="L25" s="1580">
        <v>0.69</v>
      </c>
      <c r="N25" s="1573">
        <f t="shared" si="41"/>
        <v>2.0400000000000001E-2</v>
      </c>
      <c r="O25" s="1590">
        <f t="shared" si="36"/>
        <v>2.3300000000000001E-2</v>
      </c>
      <c r="P25" s="1590">
        <f t="shared" si="36"/>
        <v>2.07E-2</v>
      </c>
      <c r="Q25" s="1590">
        <f t="shared" si="36"/>
        <v>6.8999999999999999E-3</v>
      </c>
      <c r="R25" s="1575"/>
      <c r="S25" s="1573"/>
      <c r="T25" s="1574"/>
      <c r="U25" s="1574"/>
      <c r="V25" s="1574"/>
      <c r="X25" s="1609"/>
      <c r="Y25" s="1610"/>
    </row>
    <row r="26" spans="1:34">
      <c r="A26" s="1561" t="s">
        <v>1054</v>
      </c>
      <c r="B26" s="1578">
        <f t="shared" si="48"/>
        <v>282.50186729015837</v>
      </c>
      <c r="C26" s="1578">
        <f t="shared" si="48"/>
        <v>238.09796174155468</v>
      </c>
      <c r="D26" s="1578">
        <f t="shared" si="39"/>
        <v>238.09796174155468</v>
      </c>
      <c r="E26" s="1578">
        <f t="shared" si="49"/>
        <v>385.33438646014054</v>
      </c>
      <c r="F26" s="1578">
        <f t="shared" si="49"/>
        <v>221.55034055567739</v>
      </c>
      <c r="G26" s="3106"/>
      <c r="H26" s="1564">
        <v>1</v>
      </c>
      <c r="I26" s="1564">
        <v>1.67</v>
      </c>
      <c r="J26" s="1564">
        <v>1.31</v>
      </c>
      <c r="K26" s="1564">
        <v>1.85</v>
      </c>
      <c r="L26" s="1579">
        <v>0.96</v>
      </c>
      <c r="N26" s="1581">
        <f t="shared" si="41"/>
        <v>1.67E-2</v>
      </c>
      <c r="O26" s="1582">
        <f t="shared" si="41"/>
        <v>1.3100000000000001E-2</v>
      </c>
      <c r="P26" s="1582">
        <f t="shared" si="41"/>
        <v>1.8500000000000003E-2</v>
      </c>
      <c r="Q26" s="1582">
        <f t="shared" si="41"/>
        <v>9.5999999999999992E-3</v>
      </c>
      <c r="R26" s="1575"/>
      <c r="S26" s="1581">
        <f>B26/B27-1</f>
        <v>1.6193767230785472E-2</v>
      </c>
      <c r="T26" s="1582">
        <f>C26/C27-1</f>
        <v>1.7512657015190891E-2</v>
      </c>
      <c r="U26" s="1582">
        <f>E26/E27-1</f>
        <v>1.6713420739157048E-2</v>
      </c>
      <c r="V26" s="1582">
        <f>F26/F27-1</f>
        <v>7.0470025258062563E-3</v>
      </c>
      <c r="X26" s="1611"/>
      <c r="Y26" s="1560"/>
      <c r="Z26" s="1560"/>
    </row>
    <row r="27" spans="1:34" ht="13.5" thickBot="1">
      <c r="A27" s="1561" t="s">
        <v>1055</v>
      </c>
      <c r="B27" s="1612">
        <v>278</v>
      </c>
      <c r="C27" s="1612">
        <v>234</v>
      </c>
      <c r="D27" s="1612">
        <f t="shared" si="39"/>
        <v>234</v>
      </c>
      <c r="E27" s="1612">
        <v>379</v>
      </c>
      <c r="F27" s="1613">
        <v>220</v>
      </c>
      <c r="G27" s="3099">
        <v>2012</v>
      </c>
      <c r="H27" s="1583">
        <v>4</v>
      </c>
      <c r="I27" s="1583">
        <v>0.91</v>
      </c>
      <c r="J27" s="1583">
        <v>0.68</v>
      </c>
      <c r="K27" s="1583">
        <v>0.98</v>
      </c>
      <c r="L27" s="1584">
        <v>0.9</v>
      </c>
      <c r="N27" s="1573">
        <f t="shared" si="41"/>
        <v>9.1000000000000004E-3</v>
      </c>
      <c r="O27" s="1574">
        <f t="shared" si="41"/>
        <v>6.8000000000000005E-3</v>
      </c>
      <c r="P27" s="1574">
        <f t="shared" si="41"/>
        <v>9.7999999999999997E-3</v>
      </c>
      <c r="Q27" s="1574">
        <f t="shared" si="41"/>
        <v>9.0000000000000011E-3</v>
      </c>
      <c r="R27" s="1575"/>
      <c r="S27" s="1576"/>
      <c r="T27" s="1577"/>
      <c r="U27" s="1577"/>
      <c r="V27" s="1577"/>
      <c r="X27" s="1577"/>
      <c r="Y27" s="1577"/>
      <c r="Z27" s="1577"/>
    </row>
    <row r="28" spans="1:34">
      <c r="A28" s="1561" t="s">
        <v>1056</v>
      </c>
      <c r="B28" s="1578">
        <f>B27/(1+N27)</f>
        <v>275.49301357645425</v>
      </c>
      <c r="C28" s="1578">
        <f>C27/(1+O27)</f>
        <v>232.41954707985698</v>
      </c>
      <c r="D28" s="1578">
        <f t="shared" si="39"/>
        <v>232.41954707985698</v>
      </c>
      <c r="E28" s="1578">
        <f t="shared" ref="E28:F30" si="50">E27/(1+P27)</f>
        <v>375.32184591008121</v>
      </c>
      <c r="F28" s="1578">
        <f t="shared" si="50"/>
        <v>218.03766105054513</v>
      </c>
      <c r="G28" s="3100"/>
      <c r="H28" s="1588">
        <v>3</v>
      </c>
      <c r="I28" s="1588">
        <v>0.09</v>
      </c>
      <c r="J28" s="1588">
        <v>0.28999999999999998</v>
      </c>
      <c r="K28" s="1588">
        <v>-0.01</v>
      </c>
      <c r="L28" s="1589">
        <v>0.57999999999999996</v>
      </c>
      <c r="N28" s="1573">
        <f t="shared" si="41"/>
        <v>8.9999999999999998E-4</v>
      </c>
      <c r="O28" s="1574">
        <f t="shared" si="41"/>
        <v>2.8999999999999998E-3</v>
      </c>
      <c r="P28" s="1574">
        <f t="shared" si="41"/>
        <v>-1E-4</v>
      </c>
      <c r="Q28" s="1574">
        <f t="shared" si="41"/>
        <v>5.7999999999999996E-3</v>
      </c>
      <c r="R28" s="1575"/>
      <c r="S28" s="1573"/>
      <c r="T28" s="1574"/>
      <c r="U28" s="1574"/>
      <c r="V28" s="1574"/>
    </row>
    <row r="29" spans="1:34">
      <c r="A29" s="1561" t="s">
        <v>1057</v>
      </c>
      <c r="B29" s="1578">
        <f>B28/(1+N28)</f>
        <v>275.24529281292263</v>
      </c>
      <c r="C29" s="1578">
        <f>C28/(1+O28)</f>
        <v>231.74747938962707</v>
      </c>
      <c r="D29" s="1578">
        <f t="shared" si="39"/>
        <v>231.74747938962707</v>
      </c>
      <c r="E29" s="1578">
        <f t="shared" si="50"/>
        <v>375.35938184826603</v>
      </c>
      <c r="F29" s="1578">
        <f t="shared" si="50"/>
        <v>216.78033510692495</v>
      </c>
      <c r="G29" s="3100"/>
      <c r="H29" s="1565">
        <v>2</v>
      </c>
      <c r="I29" s="1565">
        <v>0.02</v>
      </c>
      <c r="J29" s="1565">
        <v>0.12</v>
      </c>
      <c r="K29" s="1565">
        <v>-0.08</v>
      </c>
      <c r="L29" s="1580">
        <v>1.24</v>
      </c>
      <c r="N29" s="1573">
        <f t="shared" si="41"/>
        <v>2.0000000000000001E-4</v>
      </c>
      <c r="O29" s="1574">
        <f t="shared" si="41"/>
        <v>1.1999999999999999E-3</v>
      </c>
      <c r="P29" s="1574">
        <f t="shared" si="41"/>
        <v>-8.0000000000000004E-4</v>
      </c>
      <c r="Q29" s="1574">
        <f t="shared" si="41"/>
        <v>1.24E-2</v>
      </c>
      <c r="R29" s="1575"/>
      <c r="S29" s="1573"/>
      <c r="T29" s="1574"/>
      <c r="U29" s="1574"/>
      <c r="V29" s="1574"/>
    </row>
    <row r="30" spans="1:34" ht="13.5" thickBot="1">
      <c r="A30" s="1561" t="s">
        <v>1058</v>
      </c>
      <c r="B30" s="1578">
        <f>B29/(1+N29)</f>
        <v>275.19025476197027</v>
      </c>
      <c r="C30" s="1614">
        <v>232</v>
      </c>
      <c r="D30" s="1614">
        <f t="shared" si="39"/>
        <v>232</v>
      </c>
      <c r="E30" s="1578">
        <f t="shared" si="50"/>
        <v>375.65990977608692</v>
      </c>
      <c r="F30" s="1578">
        <f t="shared" si="50"/>
        <v>214.12518283971252</v>
      </c>
      <c r="G30" s="3101"/>
      <c r="H30" s="1564">
        <v>1</v>
      </c>
      <c r="I30" s="1564">
        <v>0.02</v>
      </c>
      <c r="J30" s="1564">
        <v>0.13</v>
      </c>
      <c r="K30" s="1564">
        <v>-0.04</v>
      </c>
      <c r="L30" s="1579">
        <v>0.46</v>
      </c>
      <c r="N30" s="1573">
        <f t="shared" si="41"/>
        <v>2.0000000000000001E-4</v>
      </c>
      <c r="O30" s="1574">
        <f t="shared" si="41"/>
        <v>1.2999999999999999E-3</v>
      </c>
      <c r="P30" s="1574">
        <f t="shared" si="41"/>
        <v>-4.0000000000000002E-4</v>
      </c>
      <c r="Q30" s="1574">
        <f t="shared" si="41"/>
        <v>4.5999999999999999E-3</v>
      </c>
      <c r="R30" s="1575"/>
      <c r="S30" s="1581">
        <f>B30/B31-1</f>
        <v>6.9183549807361189E-4</v>
      </c>
      <c r="T30" s="1582">
        <f>C30/C31-1</f>
        <v>0</v>
      </c>
      <c r="U30" s="1582">
        <f>E30/E31-1</f>
        <v>-9.0449527636460303E-4</v>
      </c>
      <c r="V30" s="1582">
        <f>F30/F31-1</f>
        <v>5.2825485432512753E-3</v>
      </c>
      <c r="X30" s="1560"/>
      <c r="Y30" s="1560"/>
      <c r="Z30" s="1560"/>
    </row>
    <row r="31" spans="1:34" ht="13.5" thickBot="1">
      <c r="A31" s="1561" t="s">
        <v>1059</v>
      </c>
      <c r="B31" s="1570">
        <v>275</v>
      </c>
      <c r="C31" s="1570">
        <v>232</v>
      </c>
      <c r="D31" s="1570">
        <f t="shared" si="39"/>
        <v>232</v>
      </c>
      <c r="E31" s="1570">
        <v>376</v>
      </c>
      <c r="F31" s="1571">
        <v>213</v>
      </c>
      <c r="G31" s="3099">
        <v>2011</v>
      </c>
      <c r="H31" s="1583">
        <v>4</v>
      </c>
      <c r="I31" s="1583">
        <v>-0.2</v>
      </c>
      <c r="J31" s="1583">
        <v>0.04</v>
      </c>
      <c r="K31" s="1583">
        <v>-0.34</v>
      </c>
      <c r="L31" s="1584">
        <v>0.46</v>
      </c>
      <c r="N31" s="1585">
        <f t="shared" si="41"/>
        <v>-2E-3</v>
      </c>
      <c r="O31" s="1586">
        <f t="shared" si="41"/>
        <v>4.0000000000000002E-4</v>
      </c>
      <c r="P31" s="1586">
        <f t="shared" si="41"/>
        <v>-3.4000000000000002E-3</v>
      </c>
      <c r="Q31" s="1586">
        <f t="shared" si="41"/>
        <v>4.5999999999999999E-3</v>
      </c>
      <c r="R31" s="1575"/>
      <c r="S31" s="1576"/>
      <c r="T31" s="1577"/>
      <c r="U31" s="1577"/>
      <c r="V31" s="1577"/>
      <c r="X31" s="1577"/>
      <c r="Y31" s="1577"/>
      <c r="Z31" s="1577"/>
    </row>
    <row r="32" spans="1:34">
      <c r="A32" s="1561" t="s">
        <v>1060</v>
      </c>
      <c r="B32" s="1578">
        <f t="shared" ref="B32:C34" si="51">B31/(1+N31)</f>
        <v>275.55110220440883</v>
      </c>
      <c r="C32" s="1578">
        <f t="shared" si="51"/>
        <v>231.90723710515795</v>
      </c>
      <c r="D32" s="1578">
        <f t="shared" si="39"/>
        <v>231.90723710515795</v>
      </c>
      <c r="E32" s="1578">
        <f t="shared" ref="E32:F34" si="52">E31/(1+P31)</f>
        <v>377.28276138872161</v>
      </c>
      <c r="F32" s="1578">
        <f t="shared" si="52"/>
        <v>212.02468644236512</v>
      </c>
      <c r="G32" s="3100">
        <v>2011</v>
      </c>
      <c r="H32" s="1588">
        <v>3</v>
      </c>
      <c r="I32" s="1588">
        <v>0.13</v>
      </c>
      <c r="J32" s="1588">
        <v>0.75</v>
      </c>
      <c r="K32" s="1588">
        <v>-0.08</v>
      </c>
      <c r="L32" s="1589">
        <v>0.53</v>
      </c>
      <c r="N32" s="1573">
        <f t="shared" si="41"/>
        <v>1.2999999999999999E-3</v>
      </c>
      <c r="O32" s="1590">
        <f t="shared" si="41"/>
        <v>7.4999999999999997E-3</v>
      </c>
      <c r="P32" s="1590">
        <f t="shared" si="41"/>
        <v>-8.0000000000000004E-4</v>
      </c>
      <c r="Q32" s="1590">
        <f t="shared" si="41"/>
        <v>5.3E-3</v>
      </c>
      <c r="R32" s="1575"/>
      <c r="S32" s="1573"/>
      <c r="T32" s="1574"/>
      <c r="U32" s="1574"/>
      <c r="V32" s="1574"/>
    </row>
    <row r="33" spans="1:26">
      <c r="A33" s="1561" t="s">
        <v>1061</v>
      </c>
      <c r="B33" s="1578">
        <f t="shared" si="51"/>
        <v>275.19335084830601</v>
      </c>
      <c r="C33" s="1578">
        <f t="shared" si="51"/>
        <v>230.18088050139744</v>
      </c>
      <c r="D33" s="1578">
        <f t="shared" si="39"/>
        <v>230.18088050139744</v>
      </c>
      <c r="E33" s="1578">
        <f t="shared" si="52"/>
        <v>377.58482925212331</v>
      </c>
      <c r="F33" s="1578">
        <f t="shared" si="52"/>
        <v>210.90687997847917</v>
      </c>
      <c r="G33" s="3100">
        <v>2011</v>
      </c>
      <c r="H33" s="1565">
        <v>2</v>
      </c>
      <c r="I33" s="1565">
        <v>-0.4</v>
      </c>
      <c r="J33" s="1565">
        <v>0.17</v>
      </c>
      <c r="K33" s="1565">
        <v>-0.57999999999999996</v>
      </c>
      <c r="L33" s="1580">
        <v>-0.2</v>
      </c>
      <c r="N33" s="1573">
        <f t="shared" si="41"/>
        <v>-4.0000000000000001E-3</v>
      </c>
      <c r="O33" s="1590">
        <f t="shared" si="41"/>
        <v>1.7000000000000001E-3</v>
      </c>
      <c r="P33" s="1590">
        <f t="shared" si="41"/>
        <v>-5.7999999999999996E-3</v>
      </c>
      <c r="Q33" s="1590">
        <f t="shared" si="41"/>
        <v>-2E-3</v>
      </c>
      <c r="R33" s="1575"/>
      <c r="S33" s="1573"/>
      <c r="T33" s="1574"/>
      <c r="U33" s="1574"/>
      <c r="V33" s="1574"/>
    </row>
    <row r="34" spans="1:26" ht="13.5" thickBot="1">
      <c r="A34" s="1561" t="s">
        <v>1062</v>
      </c>
      <c r="B34" s="1578">
        <f t="shared" si="51"/>
        <v>276.29854502841971</v>
      </c>
      <c r="C34" s="1578">
        <f t="shared" si="51"/>
        <v>229.79023709833027</v>
      </c>
      <c r="D34" s="1578">
        <f t="shared" si="39"/>
        <v>229.79023709833027</v>
      </c>
      <c r="E34" s="1578">
        <f t="shared" si="52"/>
        <v>379.78759731655936</v>
      </c>
      <c r="F34" s="1578">
        <f t="shared" si="52"/>
        <v>211.32953905659235</v>
      </c>
      <c r="G34" s="3101">
        <v>2011</v>
      </c>
      <c r="H34" s="1564">
        <v>1</v>
      </c>
      <c r="I34" s="1564">
        <v>2.65</v>
      </c>
      <c r="J34" s="1564">
        <v>3.76</v>
      </c>
      <c r="K34" s="1564">
        <v>1.89</v>
      </c>
      <c r="L34" s="1579">
        <v>7.95</v>
      </c>
      <c r="N34" s="1581">
        <f t="shared" si="41"/>
        <v>2.6499999999999999E-2</v>
      </c>
      <c r="O34" s="1582">
        <f t="shared" si="41"/>
        <v>3.7599999999999995E-2</v>
      </c>
      <c r="P34" s="1582">
        <f t="shared" si="41"/>
        <v>1.89E-2</v>
      </c>
      <c r="Q34" s="1582">
        <f t="shared" si="41"/>
        <v>7.9500000000000001E-2</v>
      </c>
      <c r="R34" s="1575"/>
      <c r="S34" s="1581">
        <f>B34/B35-1</f>
        <v>2.713213765211786E-2</v>
      </c>
      <c r="T34" s="1582">
        <f>C34/C35-1</f>
        <v>3.9774828499231862E-2</v>
      </c>
      <c r="U34" s="1582">
        <f>E34/E35-1</f>
        <v>1.8197311840641772E-2</v>
      </c>
      <c r="V34" s="1582">
        <f>F34/F35-1</f>
        <v>7.8211933962205826E-2</v>
      </c>
      <c r="X34" s="1560"/>
      <c r="Y34" s="1560"/>
      <c r="Z34" s="1560"/>
    </row>
    <row r="35" spans="1:26" ht="13.5" thickBot="1">
      <c r="A35" s="1561" t="s">
        <v>1063</v>
      </c>
      <c r="B35" s="1570">
        <v>269</v>
      </c>
      <c r="C35" s="1570">
        <v>221</v>
      </c>
      <c r="D35" s="1570">
        <f t="shared" si="39"/>
        <v>221</v>
      </c>
      <c r="E35" s="1570">
        <v>373</v>
      </c>
      <c r="F35" s="1571">
        <v>196</v>
      </c>
      <c r="G35" s="3099">
        <v>2010</v>
      </c>
      <c r="H35" s="1583">
        <v>4</v>
      </c>
      <c r="I35" s="1583">
        <v>5.72</v>
      </c>
      <c r="J35" s="1583">
        <v>6.57</v>
      </c>
      <c r="K35" s="1583">
        <v>5.72</v>
      </c>
      <c r="L35" s="1584">
        <v>2.72</v>
      </c>
      <c r="N35" s="1573">
        <f t="shared" si="41"/>
        <v>5.7200000000000001E-2</v>
      </c>
      <c r="O35" s="1574">
        <f t="shared" si="41"/>
        <v>6.5700000000000008E-2</v>
      </c>
      <c r="P35" s="1574">
        <f t="shared" si="41"/>
        <v>5.7200000000000001E-2</v>
      </c>
      <c r="Q35" s="1574">
        <f t="shared" si="41"/>
        <v>2.7200000000000002E-2</v>
      </c>
      <c r="R35" s="1575"/>
      <c r="S35" s="1576"/>
      <c r="T35" s="1577"/>
      <c r="U35" s="1577"/>
      <c r="V35" s="1577"/>
      <c r="X35" s="1577"/>
      <c r="Y35" s="1577"/>
      <c r="Z35" s="1577"/>
    </row>
    <row r="36" spans="1:26">
      <c r="A36" s="1561" t="s">
        <v>1064</v>
      </c>
      <c r="B36" s="1578">
        <f t="shared" ref="B36:C38" si="53">B35/(1+N35)</f>
        <v>254.44570563753314</v>
      </c>
      <c r="C36" s="1578">
        <f t="shared" si="53"/>
        <v>207.37543398705074</v>
      </c>
      <c r="D36" s="1578">
        <f t="shared" si="39"/>
        <v>207.37543398705074</v>
      </c>
      <c r="E36" s="1578">
        <f t="shared" ref="E36:F38" si="54">E35/(1+P35)</f>
        <v>352.81876655315932</v>
      </c>
      <c r="F36" s="1578">
        <f t="shared" si="54"/>
        <v>190.809968847352</v>
      </c>
      <c r="G36" s="3100">
        <v>2010</v>
      </c>
      <c r="H36" s="1588">
        <v>3</v>
      </c>
      <c r="I36" s="1588">
        <v>4.7300000000000004</v>
      </c>
      <c r="J36" s="1588">
        <v>3.9</v>
      </c>
      <c r="K36" s="1588">
        <v>5.03</v>
      </c>
      <c r="L36" s="1589">
        <v>4.21</v>
      </c>
      <c r="N36" s="1573">
        <f t="shared" si="41"/>
        <v>4.7300000000000002E-2</v>
      </c>
      <c r="O36" s="1574">
        <f t="shared" si="41"/>
        <v>3.9E-2</v>
      </c>
      <c r="P36" s="1574">
        <f t="shared" si="41"/>
        <v>5.0300000000000004E-2</v>
      </c>
      <c r="Q36" s="1574">
        <f t="shared" si="41"/>
        <v>4.2099999999999999E-2</v>
      </c>
      <c r="R36" s="1575"/>
      <c r="S36" s="1573"/>
      <c r="T36" s="1574"/>
      <c r="U36" s="1574"/>
      <c r="V36" s="1574"/>
    </row>
    <row r="37" spans="1:26">
      <c r="A37" s="1561" t="s">
        <v>1065</v>
      </c>
      <c r="B37" s="1578">
        <f t="shared" si="53"/>
        <v>242.95398227588385</v>
      </c>
      <c r="C37" s="1578">
        <f t="shared" si="53"/>
        <v>199.59137053614126</v>
      </c>
      <c r="D37" s="1578">
        <f t="shared" si="39"/>
        <v>199.59137053614126</v>
      </c>
      <c r="E37" s="1578">
        <f t="shared" si="54"/>
        <v>335.92189522342125</v>
      </c>
      <c r="F37" s="1578">
        <f t="shared" si="54"/>
        <v>183.10139991109489</v>
      </c>
      <c r="G37" s="3100">
        <v>2010</v>
      </c>
      <c r="H37" s="1565">
        <v>2</v>
      </c>
      <c r="I37" s="1565">
        <v>4.6900000000000004</v>
      </c>
      <c r="J37" s="1565">
        <v>3.55</v>
      </c>
      <c r="K37" s="1565">
        <v>5.07</v>
      </c>
      <c r="L37" s="1580">
        <v>4.2300000000000004</v>
      </c>
      <c r="N37" s="1573">
        <f t="shared" si="41"/>
        <v>4.6900000000000004E-2</v>
      </c>
      <c r="O37" s="1574">
        <f t="shared" si="41"/>
        <v>3.5499999999999997E-2</v>
      </c>
      <c r="P37" s="1574">
        <f t="shared" si="41"/>
        <v>5.0700000000000002E-2</v>
      </c>
      <c r="Q37" s="1574">
        <f t="shared" si="41"/>
        <v>4.2300000000000004E-2</v>
      </c>
      <c r="R37" s="1575"/>
      <c r="S37" s="1573"/>
      <c r="T37" s="1574"/>
      <c r="U37" s="1574"/>
      <c r="V37" s="1574"/>
    </row>
    <row r="38" spans="1:26" ht="13.5" thickBot="1">
      <c r="A38" s="1561" t="s">
        <v>1066</v>
      </c>
      <c r="B38" s="1578">
        <f t="shared" si="53"/>
        <v>232.06990378821649</v>
      </c>
      <c r="C38" s="1578">
        <f t="shared" si="53"/>
        <v>192.74878854286936</v>
      </c>
      <c r="D38" s="1578">
        <f t="shared" si="39"/>
        <v>192.74878854286936</v>
      </c>
      <c r="E38" s="1578">
        <f t="shared" si="54"/>
        <v>319.71247284992984</v>
      </c>
      <c r="F38" s="1578">
        <f t="shared" si="54"/>
        <v>175.67053622862409</v>
      </c>
      <c r="G38" s="3101">
        <v>2010</v>
      </c>
      <c r="H38" s="1564">
        <v>1</v>
      </c>
      <c r="I38" s="1564">
        <v>5.4</v>
      </c>
      <c r="J38" s="1564">
        <v>3.2</v>
      </c>
      <c r="K38" s="1564">
        <v>6.16</v>
      </c>
      <c r="L38" s="1579">
        <v>4.51</v>
      </c>
      <c r="N38" s="1573">
        <f t="shared" si="41"/>
        <v>5.4000000000000006E-2</v>
      </c>
      <c r="O38" s="1574">
        <f t="shared" si="41"/>
        <v>3.2000000000000001E-2</v>
      </c>
      <c r="P38" s="1574">
        <f t="shared" si="41"/>
        <v>6.1600000000000002E-2</v>
      </c>
      <c r="Q38" s="1574">
        <f t="shared" si="41"/>
        <v>4.5100000000000001E-2</v>
      </c>
      <c r="R38" s="1575"/>
      <c r="S38" s="1581">
        <f>B38/B39-1</f>
        <v>5.4863199037347599E-2</v>
      </c>
      <c r="T38" s="1582">
        <f>C38/C39-1</f>
        <v>3.0742184721226584E-2</v>
      </c>
      <c r="U38" s="1582">
        <f>E38/E39-1</f>
        <v>6.2167683886810154E-2</v>
      </c>
      <c r="V38" s="1582">
        <f>F38/F39-1</f>
        <v>4.5657953741810031E-2</v>
      </c>
      <c r="X38" s="1560"/>
      <c r="Y38" s="1560"/>
      <c r="Z38" s="1560"/>
    </row>
    <row r="39" spans="1:26" ht="13.5" thickBot="1">
      <c r="A39" s="1561" t="s">
        <v>1067</v>
      </c>
      <c r="B39" s="1570">
        <v>220</v>
      </c>
      <c r="C39" s="1570">
        <v>187</v>
      </c>
      <c r="D39" s="1570">
        <f t="shared" si="39"/>
        <v>187</v>
      </c>
      <c r="E39" s="1570">
        <v>301</v>
      </c>
      <c r="F39" s="1571">
        <v>168</v>
      </c>
      <c r="G39" s="3099">
        <v>2009</v>
      </c>
      <c r="H39" s="1583">
        <v>4</v>
      </c>
      <c r="I39" s="1583">
        <v>2.2999999999999998</v>
      </c>
      <c r="J39" s="1583">
        <v>1.04</v>
      </c>
      <c r="K39" s="1583">
        <v>2.84</v>
      </c>
      <c r="L39" s="1584">
        <v>0.67</v>
      </c>
      <c r="N39" s="1585">
        <f t="shared" si="41"/>
        <v>2.3E-2</v>
      </c>
      <c r="O39" s="1586">
        <f t="shared" si="41"/>
        <v>1.04E-2</v>
      </c>
      <c r="P39" s="1586">
        <f t="shared" si="41"/>
        <v>2.8399999999999998E-2</v>
      </c>
      <c r="Q39" s="1586">
        <f t="shared" si="41"/>
        <v>6.7000000000000002E-3</v>
      </c>
      <c r="R39" s="1575"/>
      <c r="S39" s="1576"/>
      <c r="T39" s="1577"/>
      <c r="U39" s="1577"/>
      <c r="V39" s="1577"/>
      <c r="X39" s="1577"/>
      <c r="Y39" s="1577"/>
      <c r="Z39" s="1577"/>
    </row>
    <row r="40" spans="1:26">
      <c r="A40" s="1561" t="s">
        <v>1068</v>
      </c>
      <c r="B40" s="1578">
        <f t="shared" ref="B40:C42" si="55">B39/(1+N39)</f>
        <v>215.05376344086022</v>
      </c>
      <c r="C40" s="1578">
        <f t="shared" si="55"/>
        <v>185.0752177355503</v>
      </c>
      <c r="D40" s="1578">
        <f t="shared" si="39"/>
        <v>185.0752177355503</v>
      </c>
      <c r="E40" s="1578">
        <f t="shared" ref="E40:F42" si="56">E39/(1+P39)</f>
        <v>292.68767016725008</v>
      </c>
      <c r="F40" s="1578">
        <f t="shared" si="56"/>
        <v>166.88189132810174</v>
      </c>
      <c r="G40" s="3100">
        <v>2009</v>
      </c>
      <c r="H40" s="1588">
        <v>3</v>
      </c>
      <c r="I40" s="1588">
        <v>2.1</v>
      </c>
      <c r="J40" s="1588">
        <v>1.86</v>
      </c>
      <c r="K40" s="1588">
        <v>2.29</v>
      </c>
      <c r="L40" s="1589">
        <v>0.85</v>
      </c>
      <c r="N40" s="1573">
        <f t="shared" si="41"/>
        <v>2.1000000000000001E-2</v>
      </c>
      <c r="O40" s="1590">
        <f t="shared" si="41"/>
        <v>1.8600000000000002E-2</v>
      </c>
      <c r="P40" s="1590">
        <f t="shared" si="41"/>
        <v>2.29E-2</v>
      </c>
      <c r="Q40" s="1590">
        <f t="shared" si="41"/>
        <v>8.5000000000000006E-3</v>
      </c>
      <c r="R40" s="1575"/>
      <c r="S40" s="1573"/>
      <c r="T40" s="1574"/>
      <c r="U40" s="1574"/>
      <c r="V40" s="1574"/>
    </row>
    <row r="41" spans="1:26">
      <c r="A41" s="1561" t="s">
        <v>1069</v>
      </c>
      <c r="B41" s="1578">
        <f t="shared" si="55"/>
        <v>210.630522469011</v>
      </c>
      <c r="C41" s="1578">
        <f t="shared" si="55"/>
        <v>181.69567812247232</v>
      </c>
      <c r="D41" s="1578">
        <f t="shared" si="39"/>
        <v>181.69567812247232</v>
      </c>
      <c r="E41" s="1578">
        <f t="shared" si="56"/>
        <v>286.13517466736738</v>
      </c>
      <c r="F41" s="1578">
        <f t="shared" si="56"/>
        <v>165.47535084591149</v>
      </c>
      <c r="G41" s="3100">
        <v>2009</v>
      </c>
      <c r="H41" s="1565">
        <v>2</v>
      </c>
      <c r="I41" s="1565">
        <v>0.86</v>
      </c>
      <c r="J41" s="1565">
        <v>-1.1299999999999999</v>
      </c>
      <c r="K41" s="1565">
        <v>1.79</v>
      </c>
      <c r="L41" s="1580">
        <v>-2.0699999999999998</v>
      </c>
      <c r="N41" s="1573">
        <f t="shared" si="41"/>
        <v>8.6E-3</v>
      </c>
      <c r="O41" s="1590">
        <f t="shared" si="41"/>
        <v>-1.1299999999999999E-2</v>
      </c>
      <c r="P41" s="1590">
        <f t="shared" si="41"/>
        <v>1.7899999999999999E-2</v>
      </c>
      <c r="Q41" s="1590">
        <f t="shared" si="41"/>
        <v>-2.07E-2</v>
      </c>
      <c r="R41" s="1575"/>
      <c r="S41" s="1573"/>
      <c r="T41" s="1574"/>
      <c r="U41" s="1574"/>
      <c r="V41" s="1574"/>
    </row>
    <row r="42" spans="1:26">
      <c r="A42" s="1561" t="s">
        <v>1070</v>
      </c>
      <c r="B42" s="1578">
        <f t="shared" si="55"/>
        <v>208.83454537875372</v>
      </c>
      <c r="C42" s="1578">
        <f t="shared" si="55"/>
        <v>183.77230517090351</v>
      </c>
      <c r="D42" s="1578">
        <f t="shared" si="39"/>
        <v>183.77230517090351</v>
      </c>
      <c r="E42" s="1578">
        <f t="shared" si="56"/>
        <v>281.10342338870947</v>
      </c>
      <c r="F42" s="1578">
        <f t="shared" si="56"/>
        <v>168.97309388942256</v>
      </c>
      <c r="G42" s="3101">
        <v>2009</v>
      </c>
      <c r="H42" s="1564">
        <v>1</v>
      </c>
      <c r="I42" s="1564">
        <v>-2.64</v>
      </c>
      <c r="J42" s="1564">
        <v>-2.5299999999999998</v>
      </c>
      <c r="K42" s="1564">
        <v>-3.02</v>
      </c>
      <c r="L42" s="1579">
        <v>1.52</v>
      </c>
      <c r="N42" s="1581">
        <f t="shared" si="41"/>
        <v>-2.64E-2</v>
      </c>
      <c r="O42" s="1582">
        <f t="shared" si="41"/>
        <v>-2.53E-2</v>
      </c>
      <c r="P42" s="1582">
        <f t="shared" si="41"/>
        <v>-3.0200000000000001E-2</v>
      </c>
      <c r="Q42" s="1582">
        <f t="shared" si="41"/>
        <v>1.52E-2</v>
      </c>
      <c r="R42" s="1575"/>
      <c r="S42" s="1581">
        <f>B42/B43-1</f>
        <v>-2.4137638417038754E-2</v>
      </c>
      <c r="T42" s="1582">
        <f>C42/C43-1</f>
        <v>-2.248773845264096E-2</v>
      </c>
      <c r="U42" s="1582">
        <f>E42/E43-1</f>
        <v>-2.7323794502735366E-2</v>
      </c>
      <c r="V42" s="1582">
        <f>F42/F43-1</f>
        <v>1.7910204153148035E-2</v>
      </c>
      <c r="X42" s="1560"/>
      <c r="Y42" s="1560"/>
      <c r="Z42" s="1560"/>
    </row>
    <row r="43" spans="1:26" ht="13.5" thickBot="1">
      <c r="A43" s="1561" t="s">
        <v>1071</v>
      </c>
      <c r="B43" s="1612">
        <v>214</v>
      </c>
      <c r="C43" s="1612">
        <v>188</v>
      </c>
      <c r="D43" s="1612">
        <f t="shared" si="39"/>
        <v>188</v>
      </c>
      <c r="E43" s="1612">
        <v>289</v>
      </c>
      <c r="F43" s="1613">
        <v>166</v>
      </c>
      <c r="G43" s="3099">
        <v>2008</v>
      </c>
      <c r="H43" s="1583">
        <v>4</v>
      </c>
      <c r="I43" s="1583">
        <v>1.73</v>
      </c>
      <c r="J43" s="1583">
        <v>0.03</v>
      </c>
      <c r="K43" s="1583">
        <v>2.59</v>
      </c>
      <c r="L43" s="1584">
        <v>-1.66</v>
      </c>
      <c r="N43" s="1573">
        <f t="shared" si="41"/>
        <v>1.7299999999999999E-2</v>
      </c>
      <c r="O43" s="1574">
        <f t="shared" si="41"/>
        <v>2.9999999999999997E-4</v>
      </c>
      <c r="P43" s="1574">
        <f t="shared" si="41"/>
        <v>2.5899999999999999E-2</v>
      </c>
      <c r="Q43" s="1574">
        <f t="shared" si="41"/>
        <v>-1.66E-2</v>
      </c>
      <c r="R43" s="1575"/>
      <c r="S43" s="1576"/>
      <c r="T43" s="1577"/>
      <c r="U43" s="1577"/>
      <c r="V43" s="1577"/>
      <c r="X43" s="1577"/>
      <c r="Y43" s="1577"/>
      <c r="Z43" s="1577"/>
    </row>
    <row r="44" spans="1:26">
      <c r="A44" s="1561" t="s">
        <v>1072</v>
      </c>
      <c r="B44" s="1578">
        <f t="shared" ref="B44:C46" si="57">B43/(1+N43)</f>
        <v>210.36075887152265</v>
      </c>
      <c r="C44" s="1578">
        <f t="shared" si="57"/>
        <v>187.94361691492554</v>
      </c>
      <c r="D44" s="1578">
        <f t="shared" si="39"/>
        <v>187.94361691492554</v>
      </c>
      <c r="E44" s="1578">
        <f t="shared" ref="E44:F46" si="58">E43/(1+P43)</f>
        <v>281.70386977288234</v>
      </c>
      <c r="F44" s="1578">
        <f t="shared" si="58"/>
        <v>168.80211511083994</v>
      </c>
      <c r="G44" s="3100">
        <v>2008</v>
      </c>
      <c r="H44" s="1588">
        <v>3</v>
      </c>
      <c r="I44" s="1588">
        <v>1.96</v>
      </c>
      <c r="J44" s="1588">
        <v>2.36</v>
      </c>
      <c r="K44" s="1588">
        <v>1.82</v>
      </c>
      <c r="L44" s="1589">
        <v>2.2200000000000002</v>
      </c>
      <c r="N44" s="1573">
        <f t="shared" si="41"/>
        <v>1.9599999999999999E-2</v>
      </c>
      <c r="O44" s="1574">
        <f t="shared" si="41"/>
        <v>2.3599999999999999E-2</v>
      </c>
      <c r="P44" s="1574">
        <f t="shared" si="41"/>
        <v>1.8200000000000001E-2</v>
      </c>
      <c r="Q44" s="1574">
        <f t="shared" si="41"/>
        <v>2.2200000000000001E-2</v>
      </c>
      <c r="R44" s="1575"/>
      <c r="S44" s="1573"/>
      <c r="T44" s="1574"/>
      <c r="U44" s="1574"/>
      <c r="V44" s="1574"/>
    </row>
    <row r="45" spans="1:26">
      <c r="A45" s="1561" t="s">
        <v>1073</v>
      </c>
      <c r="B45" s="1578">
        <f t="shared" si="57"/>
        <v>206.31694671589116</v>
      </c>
      <c r="C45" s="1578">
        <f t="shared" si="57"/>
        <v>183.61041121036101</v>
      </c>
      <c r="D45" s="1578">
        <f t="shared" si="39"/>
        <v>183.61041121036101</v>
      </c>
      <c r="E45" s="1578">
        <f t="shared" si="58"/>
        <v>276.66850301795557</v>
      </c>
      <c r="F45" s="1578">
        <f t="shared" si="58"/>
        <v>165.1360938278614</v>
      </c>
      <c r="G45" s="3100">
        <v>2008</v>
      </c>
      <c r="H45" s="1565">
        <v>2</v>
      </c>
      <c r="I45" s="1565">
        <v>4.93</v>
      </c>
      <c r="J45" s="1565">
        <v>7.38</v>
      </c>
      <c r="K45" s="1565">
        <v>3.98</v>
      </c>
      <c r="L45" s="1580">
        <v>6.86</v>
      </c>
      <c r="N45" s="1573">
        <f t="shared" si="41"/>
        <v>4.9299999999999997E-2</v>
      </c>
      <c r="O45" s="1574">
        <f t="shared" si="41"/>
        <v>7.3800000000000004E-2</v>
      </c>
      <c r="P45" s="1574">
        <f t="shared" si="41"/>
        <v>3.9800000000000002E-2</v>
      </c>
      <c r="Q45" s="1574">
        <f t="shared" si="41"/>
        <v>6.8600000000000008E-2</v>
      </c>
      <c r="R45" s="1575"/>
      <c r="S45" s="1573"/>
      <c r="T45" s="1574"/>
      <c r="U45" s="1574"/>
      <c r="V45" s="1574"/>
    </row>
    <row r="46" spans="1:26" s="1618" customFormat="1" ht="13.5" thickBot="1">
      <c r="A46" s="1561" t="s">
        <v>1074</v>
      </c>
      <c r="B46" s="1615">
        <f t="shared" si="57"/>
        <v>196.62341248059772</v>
      </c>
      <c r="C46" s="1615">
        <f t="shared" si="57"/>
        <v>170.99125648199012</v>
      </c>
      <c r="D46" s="1615">
        <f t="shared" si="39"/>
        <v>170.99125648199012</v>
      </c>
      <c r="E46" s="1615">
        <f t="shared" si="58"/>
        <v>266.07857570490052</v>
      </c>
      <c r="F46" s="1615">
        <f t="shared" si="58"/>
        <v>154.53499328828505</v>
      </c>
      <c r="G46" s="3101">
        <v>2008</v>
      </c>
      <c r="H46" s="1616">
        <v>1</v>
      </c>
      <c r="I46" s="1616">
        <v>4.1399999999999997</v>
      </c>
      <c r="J46" s="1616">
        <v>3.45</v>
      </c>
      <c r="K46" s="1616">
        <v>4.95</v>
      </c>
      <c r="L46" s="1617">
        <v>4.82</v>
      </c>
      <c r="N46" s="1619">
        <f t="shared" si="41"/>
        <v>4.1399999999999999E-2</v>
      </c>
      <c r="O46" s="1620">
        <f t="shared" si="41"/>
        <v>3.4500000000000003E-2</v>
      </c>
      <c r="P46" s="1620">
        <f t="shared" si="41"/>
        <v>4.9500000000000002E-2</v>
      </c>
      <c r="Q46" s="1620">
        <f t="shared" si="41"/>
        <v>4.82E-2</v>
      </c>
      <c r="R46" s="1621"/>
      <c r="S46" s="1619">
        <f>B46/B47-1</f>
        <v>4.5869215322328349E-2</v>
      </c>
      <c r="T46" s="1620">
        <f>C46/C47-1</f>
        <v>3.6310645345394743E-2</v>
      </c>
      <c r="U46" s="1620">
        <f>E46/E47-1</f>
        <v>4.7553447657088688E-2</v>
      </c>
      <c r="V46" s="1620">
        <f>F46/F47-1</f>
        <v>4.4155360055980086E-2</v>
      </c>
      <c r="X46" s="1622"/>
      <c r="Y46" s="1622"/>
      <c r="Z46" s="1622"/>
    </row>
    <row r="47" spans="1:26" ht="13.5" thickBot="1">
      <c r="A47" s="1561" t="s">
        <v>1075</v>
      </c>
      <c r="B47" s="1570">
        <v>188</v>
      </c>
      <c r="C47" s="1570">
        <v>165</v>
      </c>
      <c r="D47" s="1570">
        <f t="shared" si="39"/>
        <v>165</v>
      </c>
      <c r="E47" s="1570">
        <v>254</v>
      </c>
      <c r="F47" s="1571">
        <v>148</v>
      </c>
      <c r="G47" s="3099">
        <v>2007</v>
      </c>
      <c r="H47" s="1623">
        <v>4</v>
      </c>
      <c r="I47" s="1623">
        <v>5.51</v>
      </c>
      <c r="J47" s="1623">
        <v>4.8899999999999997</v>
      </c>
      <c r="K47" s="1623">
        <v>6.43</v>
      </c>
      <c r="L47" s="1624">
        <v>5.36</v>
      </c>
      <c r="N47" s="1625">
        <f t="shared" ref="N47:O50" si="59">B47/B48-1</f>
        <v>4.1339718365245526E-2</v>
      </c>
      <c r="O47" s="1626">
        <f t="shared" si="59"/>
        <v>4.0324492593776018E-2</v>
      </c>
      <c r="P47" s="1626">
        <f t="shared" ref="P47:Q50" si="60">E47/E48-1</f>
        <v>6.1625555347990968E-2</v>
      </c>
      <c r="Q47" s="1626">
        <f t="shared" si="60"/>
        <v>4.6757569250590603E-2</v>
      </c>
      <c r="R47" s="1575"/>
      <c r="S47" s="1576"/>
      <c r="T47" s="1577"/>
      <c r="U47" s="1577"/>
      <c r="V47" s="1577"/>
      <c r="X47" s="1577"/>
      <c r="Y47" s="1577"/>
      <c r="Z47" s="1577"/>
    </row>
    <row r="48" spans="1:26">
      <c r="A48" s="1561" t="s">
        <v>1076</v>
      </c>
      <c r="B48" s="1578">
        <f t="shared" ref="B48:C50" si="61">B49+(B$47-B$51)*I48/SUM(I$47:I$50)</f>
        <v>180.5366651097618</v>
      </c>
      <c r="C48" s="1578">
        <f t="shared" si="61"/>
        <v>158.60435967302453</v>
      </c>
      <c r="D48" s="1578">
        <f t="shared" si="39"/>
        <v>158.60435967302453</v>
      </c>
      <c r="E48" s="1578">
        <f t="shared" ref="E48:F50" si="62">E49+(E$47-E$51)*K48/SUM(K$47:K$50)</f>
        <v>239.25573260785075</v>
      </c>
      <c r="F48" s="1578">
        <f t="shared" si="62"/>
        <v>141.38899430740037</v>
      </c>
      <c r="G48" s="3100">
        <v>2007</v>
      </c>
      <c r="H48" s="1588">
        <v>3</v>
      </c>
      <c r="I48" s="1588">
        <v>8.65</v>
      </c>
      <c r="J48" s="1588">
        <v>8.06</v>
      </c>
      <c r="K48" s="1588">
        <v>9.94</v>
      </c>
      <c r="L48" s="1589">
        <v>5.8</v>
      </c>
      <c r="N48" s="1625">
        <f t="shared" si="59"/>
        <v>6.940217571740015E-2</v>
      </c>
      <c r="O48" s="1626">
        <f t="shared" si="59"/>
        <v>7.1197482471153428E-2</v>
      </c>
      <c r="P48" s="1626">
        <f t="shared" si="60"/>
        <v>0.10529679922579582</v>
      </c>
      <c r="Q48" s="1626">
        <f t="shared" si="60"/>
        <v>5.3292245059512133E-2</v>
      </c>
      <c r="R48" s="1575"/>
      <c r="S48" s="1573"/>
      <c r="T48" s="1574"/>
      <c r="U48" s="1574"/>
      <c r="V48" s="1574"/>
      <c r="X48" s="1627"/>
      <c r="Y48" s="1627"/>
      <c r="Z48" s="1627"/>
    </row>
    <row r="49" spans="1:26">
      <c r="A49" s="1561" t="s">
        <v>1077</v>
      </c>
      <c r="B49" s="1578">
        <f t="shared" si="61"/>
        <v>168.82017748715555</v>
      </c>
      <c r="C49" s="1578">
        <f t="shared" si="61"/>
        <v>148.06267029972753</v>
      </c>
      <c r="D49" s="1578">
        <f t="shared" si="39"/>
        <v>148.06267029972753</v>
      </c>
      <c r="E49" s="1578">
        <f t="shared" si="62"/>
        <v>216.46288379323747</v>
      </c>
      <c r="F49" s="1578">
        <f t="shared" si="62"/>
        <v>134.23529411764704</v>
      </c>
      <c r="G49" s="3100">
        <v>2007</v>
      </c>
      <c r="H49" s="1565">
        <v>2</v>
      </c>
      <c r="I49" s="1565">
        <v>3.67</v>
      </c>
      <c r="J49" s="1565">
        <v>2.3199999999999998</v>
      </c>
      <c r="K49" s="1565">
        <v>5.0199999999999996</v>
      </c>
      <c r="L49" s="1580">
        <v>6.71</v>
      </c>
      <c r="N49" s="1625">
        <f t="shared" si="59"/>
        <v>3.0339138143848032E-2</v>
      </c>
      <c r="O49" s="1626">
        <f t="shared" si="59"/>
        <v>2.0922341588790472E-2</v>
      </c>
      <c r="P49" s="1626">
        <f t="shared" si="60"/>
        <v>5.6164796592717003E-2</v>
      </c>
      <c r="Q49" s="1626">
        <f t="shared" si="60"/>
        <v>6.5704536723887319E-2</v>
      </c>
      <c r="R49" s="1575"/>
      <c r="S49" s="1573"/>
      <c r="T49" s="1574"/>
      <c r="U49" s="1574"/>
      <c r="V49" s="1574"/>
      <c r="X49" s="1627"/>
      <c r="Y49" s="1627"/>
      <c r="Z49" s="1627"/>
    </row>
    <row r="50" spans="1:26">
      <c r="A50" s="1561" t="s">
        <v>1078</v>
      </c>
      <c r="B50" s="1578">
        <f t="shared" si="61"/>
        <v>163.84913591779542</v>
      </c>
      <c r="C50" s="1578">
        <f t="shared" si="61"/>
        <v>145.0283378746594</v>
      </c>
      <c r="D50" s="1578">
        <f t="shared" si="39"/>
        <v>145.0283378746594</v>
      </c>
      <c r="E50" s="1578">
        <f t="shared" si="62"/>
        <v>204.95180722891567</v>
      </c>
      <c r="F50" s="1578">
        <f t="shared" si="62"/>
        <v>125.95920303605313</v>
      </c>
      <c r="G50" s="3101">
        <v>2007</v>
      </c>
      <c r="H50" s="1564">
        <v>1</v>
      </c>
      <c r="I50" s="1564">
        <v>3.58</v>
      </c>
      <c r="J50" s="1564">
        <v>3.08</v>
      </c>
      <c r="K50" s="1564">
        <v>4.34</v>
      </c>
      <c r="L50" s="1579">
        <v>3.21</v>
      </c>
      <c r="N50" s="1628">
        <f t="shared" si="59"/>
        <v>3.0497710174814063E-2</v>
      </c>
      <c r="O50" s="1629">
        <f t="shared" si="59"/>
        <v>2.8569772160704998E-2</v>
      </c>
      <c r="P50" s="1629">
        <f t="shared" si="60"/>
        <v>5.1034908866234296E-2</v>
      </c>
      <c r="Q50" s="1629">
        <f t="shared" si="60"/>
        <v>3.245248390207478E-2</v>
      </c>
      <c r="R50" s="1575"/>
      <c r="S50" s="1581">
        <f>B50/B51-1</f>
        <v>3.0497710174814063E-2</v>
      </c>
      <c r="T50" s="1582">
        <f>C50/C51-1</f>
        <v>2.8569772160704998E-2</v>
      </c>
      <c r="U50" s="1582">
        <f>E50/E51-1</f>
        <v>5.1034908866234296E-2</v>
      </c>
      <c r="V50" s="1582">
        <f>F50/F51-1</f>
        <v>3.245248390207478E-2</v>
      </c>
      <c r="X50" s="1627"/>
      <c r="Y50" s="1627"/>
      <c r="Z50" s="1627"/>
    </row>
    <row r="51" spans="1:26" ht="13.5" thickBot="1">
      <c r="A51" s="1561" t="s">
        <v>1079</v>
      </c>
      <c r="B51" s="1591">
        <v>159</v>
      </c>
      <c r="C51" s="1591">
        <v>141</v>
      </c>
      <c r="D51" s="1591">
        <f t="shared" si="39"/>
        <v>141</v>
      </c>
      <c r="E51" s="1591">
        <v>195</v>
      </c>
      <c r="F51" s="1592">
        <v>122</v>
      </c>
      <c r="G51" s="3099">
        <v>2006</v>
      </c>
      <c r="H51" s="1583">
        <v>4</v>
      </c>
      <c r="I51" s="1583">
        <v>3.79</v>
      </c>
      <c r="J51" s="1583">
        <v>2.21</v>
      </c>
      <c r="K51" s="1583">
        <v>5.65</v>
      </c>
      <c r="L51" s="1584">
        <v>5.41</v>
      </c>
      <c r="N51" s="1625">
        <f t="shared" ref="N51:O54" si="63">I51/SUM(I$51:I$54)*(B$51/B$55-1)</f>
        <v>7.245466462748526E-2</v>
      </c>
      <c r="O51" s="1626">
        <f t="shared" si="63"/>
        <v>2.3237230038062766E-2</v>
      </c>
      <c r="P51" s="1626">
        <f t="shared" ref="P51:Q54" si="64">K51/SUM(K$51:K$54)*(E$51/E$55-1)</f>
        <v>0.16146893866323722</v>
      </c>
      <c r="Q51" s="1626">
        <f t="shared" si="64"/>
        <v>5.0755230321793784E-2</v>
      </c>
      <c r="R51" s="1575"/>
      <c r="S51" s="1576"/>
      <c r="T51" s="1577"/>
      <c r="U51" s="1577"/>
      <c r="V51" s="1577"/>
      <c r="X51" s="1627"/>
      <c r="Y51" s="1627"/>
      <c r="Z51" s="1627"/>
    </row>
    <row r="52" spans="1:26">
      <c r="A52" s="1561" t="s">
        <v>1080</v>
      </c>
      <c r="B52" s="1578">
        <f t="shared" ref="B52:C54" si="65">B53+(B$51-B$55)*I52/SUM(I$51:I$54)</f>
        <v>149.00125628140702</v>
      </c>
      <c r="C52" s="1578">
        <f t="shared" si="65"/>
        <v>137.95592286501378</v>
      </c>
      <c r="D52" s="1578">
        <f t="shared" si="39"/>
        <v>137.95592286501378</v>
      </c>
      <c r="E52" s="1578">
        <f t="shared" ref="E52:F54" si="66">E53+(E$51-E$55)*K52/SUM(K$51:K$54)</f>
        <v>169.97231450719823</v>
      </c>
      <c r="F52" s="1578">
        <f t="shared" si="66"/>
        <v>116.21390374331551</v>
      </c>
      <c r="G52" s="3100">
        <v>2006</v>
      </c>
      <c r="H52" s="1588">
        <v>3</v>
      </c>
      <c r="I52" s="1588">
        <v>0.92</v>
      </c>
      <c r="J52" s="1588">
        <v>1.08</v>
      </c>
      <c r="K52" s="1588">
        <v>0.73</v>
      </c>
      <c r="L52" s="1589">
        <v>1.08</v>
      </c>
      <c r="N52" s="1625">
        <f t="shared" si="63"/>
        <v>1.7587939698492462E-2</v>
      </c>
      <c r="O52" s="1626">
        <f t="shared" si="63"/>
        <v>1.1355750425840628E-2</v>
      </c>
      <c r="P52" s="1626">
        <f t="shared" si="64"/>
        <v>2.0862358446754544E-2</v>
      </c>
      <c r="Q52" s="1626">
        <f t="shared" si="64"/>
        <v>1.0132282578103011E-2</v>
      </c>
      <c r="R52" s="1575"/>
      <c r="S52" s="1573"/>
      <c r="T52" s="1574"/>
      <c r="U52" s="1574"/>
      <c r="V52" s="1574"/>
      <c r="X52" s="1627"/>
      <c r="Y52" s="1627"/>
      <c r="Z52" s="1627"/>
    </row>
    <row r="53" spans="1:26">
      <c r="A53" s="1561" t="s">
        <v>1081</v>
      </c>
      <c r="B53" s="1578">
        <f t="shared" si="65"/>
        <v>146.57412060301507</v>
      </c>
      <c r="C53" s="1578">
        <f t="shared" si="65"/>
        <v>136.46831955922866</v>
      </c>
      <c r="D53" s="1578">
        <f t="shared" si="39"/>
        <v>136.46831955922866</v>
      </c>
      <c r="E53" s="1578">
        <f t="shared" si="66"/>
        <v>166.73864894795128</v>
      </c>
      <c r="F53" s="1578">
        <f t="shared" si="66"/>
        <v>115.05882352941177</v>
      </c>
      <c r="G53" s="3100">
        <v>2006</v>
      </c>
      <c r="H53" s="1565">
        <v>2</v>
      </c>
      <c r="I53" s="1565">
        <v>0.96</v>
      </c>
      <c r="J53" s="1565">
        <v>0.25</v>
      </c>
      <c r="K53" s="1565">
        <v>1.9</v>
      </c>
      <c r="L53" s="1580">
        <v>0.95</v>
      </c>
      <c r="N53" s="1625">
        <f t="shared" si="63"/>
        <v>1.8352632728861701E-2</v>
      </c>
      <c r="O53" s="1626">
        <f t="shared" si="63"/>
        <v>2.6286459319075526E-3</v>
      </c>
      <c r="P53" s="1626">
        <f t="shared" si="64"/>
        <v>5.4299289107991269E-2</v>
      </c>
      <c r="Q53" s="1626">
        <f t="shared" si="64"/>
        <v>8.9126559714794995E-3</v>
      </c>
      <c r="R53" s="1575"/>
      <c r="S53" s="1573"/>
      <c r="T53" s="1574"/>
      <c r="U53" s="1574"/>
      <c r="V53" s="1574"/>
      <c r="X53" s="1627"/>
      <c r="Y53" s="1627"/>
      <c r="Z53" s="1627"/>
    </row>
    <row r="54" spans="1:26">
      <c r="A54" s="1561" t="s">
        <v>1082</v>
      </c>
      <c r="B54" s="1578">
        <f t="shared" si="65"/>
        <v>144.04145728643215</v>
      </c>
      <c r="C54" s="1578">
        <f t="shared" si="65"/>
        <v>136.12396694214877</v>
      </c>
      <c r="D54" s="1578">
        <f t="shared" si="39"/>
        <v>136.12396694214877</v>
      </c>
      <c r="E54" s="1578">
        <f t="shared" si="66"/>
        <v>158.32225913621264</v>
      </c>
      <c r="F54" s="1578">
        <f t="shared" si="66"/>
        <v>114.04278074866311</v>
      </c>
      <c r="G54" s="3101">
        <v>2006</v>
      </c>
      <c r="H54" s="1564">
        <v>1</v>
      </c>
      <c r="I54" s="1564">
        <v>2.29</v>
      </c>
      <c r="J54" s="1564">
        <v>3.72</v>
      </c>
      <c r="K54" s="1564">
        <v>0.75</v>
      </c>
      <c r="L54" s="1579">
        <v>0.04</v>
      </c>
      <c r="N54" s="1628">
        <f t="shared" si="63"/>
        <v>4.3778675988638847E-2</v>
      </c>
      <c r="O54" s="1629">
        <f t="shared" si="63"/>
        <v>3.9114251466784385E-2</v>
      </c>
      <c r="P54" s="1629">
        <f t="shared" si="64"/>
        <v>2.1433929911049188E-2</v>
      </c>
      <c r="Q54" s="1629">
        <f t="shared" si="64"/>
        <v>3.7526972511492629E-4</v>
      </c>
      <c r="R54" s="1575"/>
      <c r="S54" s="1581">
        <f>B54/B55-1</f>
        <v>4.3778675988638716E-2</v>
      </c>
      <c r="T54" s="1582">
        <f>C54/C55-1</f>
        <v>3.91142514667846E-2</v>
      </c>
      <c r="U54" s="1582">
        <f>E54/E55-1</f>
        <v>2.143392991104931E-2</v>
      </c>
      <c r="V54" s="1582">
        <f>F54/F55-1</f>
        <v>3.7526972511492396E-4</v>
      </c>
      <c r="X54" s="1627"/>
      <c r="Y54" s="1627"/>
      <c r="Z54" s="1627"/>
    </row>
    <row r="55" spans="1:26" ht="13.5" thickBot="1">
      <c r="A55" s="1561" t="s">
        <v>1083</v>
      </c>
      <c r="B55" s="1591">
        <v>138</v>
      </c>
      <c r="C55" s="1591">
        <v>131</v>
      </c>
      <c r="D55" s="1591">
        <f t="shared" si="39"/>
        <v>131</v>
      </c>
      <c r="E55" s="1591">
        <v>155</v>
      </c>
      <c r="F55" s="1592">
        <v>114</v>
      </c>
      <c r="G55" s="3099">
        <v>2005</v>
      </c>
      <c r="H55" s="1583">
        <v>4</v>
      </c>
      <c r="I55" s="1583">
        <v>3.29</v>
      </c>
      <c r="J55" s="1583">
        <v>1.44</v>
      </c>
      <c r="K55" s="1583">
        <v>0.66</v>
      </c>
      <c r="L55" s="1584">
        <v>7.78</v>
      </c>
      <c r="N55" s="1625">
        <f t="shared" ref="N55:O58" si="67">I55/SUM(I$55:I$58)*(B$55/B$59-1)</f>
        <v>9.9404603216919935E-2</v>
      </c>
      <c r="O55" s="1626">
        <f t="shared" si="67"/>
        <v>4.7636550760861554E-2</v>
      </c>
      <c r="P55" s="1626">
        <f t="shared" ref="P55:Q58" si="68">K55/SUM(K$55:K$58)*(E$55/E$59-1)</f>
        <v>8.3756345177664976E-2</v>
      </c>
      <c r="Q55" s="1626">
        <f t="shared" si="68"/>
        <v>5.2148766661559584E-2</v>
      </c>
      <c r="R55" s="1575"/>
      <c r="S55" s="1576"/>
      <c r="T55" s="1577"/>
      <c r="U55" s="1577"/>
      <c r="V55" s="1577"/>
      <c r="X55" s="1627"/>
      <c r="Y55" s="1627"/>
      <c r="Z55" s="1627"/>
    </row>
    <row r="56" spans="1:26">
      <c r="A56" s="1561" t="s">
        <v>1084</v>
      </c>
      <c r="B56" s="1578">
        <f t="shared" ref="B56:C58" si="69">B57+(B$55-B$59)*I56/SUM(I$55:I$58)</f>
        <v>125.9720430107527</v>
      </c>
      <c r="C56" s="1578">
        <f t="shared" si="69"/>
        <v>125.1883408071749</v>
      </c>
      <c r="D56" s="1578">
        <f t="shared" si="39"/>
        <v>125.1883408071749</v>
      </c>
      <c r="E56" s="1578">
        <f t="shared" ref="E56:F58" si="70">E57+(E$55-E$59)*K56/SUM(K$55:K$58)</f>
        <v>144.61421319796952</v>
      </c>
      <c r="F56" s="1578">
        <f t="shared" si="70"/>
        <v>108.42008196721311</v>
      </c>
      <c r="G56" s="3100">
        <v>2005</v>
      </c>
      <c r="H56" s="1588">
        <v>3</v>
      </c>
      <c r="I56" s="1588">
        <v>0.46</v>
      </c>
      <c r="J56" s="1588">
        <v>0.32</v>
      </c>
      <c r="K56" s="1588">
        <v>0.42</v>
      </c>
      <c r="L56" s="1589">
        <v>0.64</v>
      </c>
      <c r="N56" s="1625">
        <f t="shared" si="67"/>
        <v>1.3898515951301874E-2</v>
      </c>
      <c r="O56" s="1626">
        <f t="shared" si="67"/>
        <v>1.0585900169080346E-2</v>
      </c>
      <c r="P56" s="1626">
        <f t="shared" si="68"/>
        <v>5.3299492385786795E-2</v>
      </c>
      <c r="Q56" s="1626">
        <f t="shared" si="68"/>
        <v>4.2898728359123568E-3</v>
      </c>
      <c r="R56" s="1575"/>
      <c r="S56" s="1573"/>
      <c r="T56" s="1574"/>
      <c r="U56" s="1574"/>
      <c r="V56" s="1574"/>
      <c r="X56" s="1627"/>
      <c r="Y56" s="1627"/>
      <c r="Z56" s="1627"/>
    </row>
    <row r="57" spans="1:26">
      <c r="A57" s="1561" t="s">
        <v>1085</v>
      </c>
      <c r="B57" s="1578">
        <f t="shared" si="69"/>
        <v>124.29032258064517</v>
      </c>
      <c r="C57" s="1578">
        <f t="shared" si="69"/>
        <v>123.8968609865471</v>
      </c>
      <c r="D57" s="1578">
        <f t="shared" si="39"/>
        <v>123.8968609865471</v>
      </c>
      <c r="E57" s="1578">
        <f t="shared" si="70"/>
        <v>138.00507614213197</v>
      </c>
      <c r="F57" s="1578">
        <f t="shared" si="70"/>
        <v>107.96106557377048</v>
      </c>
      <c r="G57" s="3100">
        <v>2005</v>
      </c>
      <c r="H57" s="1565">
        <v>2</v>
      </c>
      <c r="I57" s="1565">
        <v>0.47</v>
      </c>
      <c r="J57" s="1565">
        <v>0.1</v>
      </c>
      <c r="K57" s="1565">
        <v>0.52</v>
      </c>
      <c r="L57" s="1580">
        <v>0.79</v>
      </c>
      <c r="N57" s="1625">
        <f t="shared" si="67"/>
        <v>1.420065760241713E-2</v>
      </c>
      <c r="O57" s="1626">
        <f t="shared" si="67"/>
        <v>3.3080938028376083E-3</v>
      </c>
      <c r="P57" s="1626">
        <f t="shared" si="68"/>
        <v>6.598984771573603E-2</v>
      </c>
      <c r="Q57" s="1626">
        <f t="shared" si="68"/>
        <v>5.2953117818293153E-3</v>
      </c>
      <c r="R57" s="1575"/>
      <c r="S57" s="1573"/>
      <c r="T57" s="1574"/>
      <c r="U57" s="1574"/>
      <c r="V57" s="1574"/>
      <c r="X57" s="1627"/>
      <c r="Y57" s="1627"/>
      <c r="Z57" s="1627"/>
    </row>
    <row r="58" spans="1:26">
      <c r="A58" s="1561" t="s">
        <v>1086</v>
      </c>
      <c r="B58" s="1578">
        <f t="shared" si="69"/>
        <v>122.57204301075269</v>
      </c>
      <c r="C58" s="1578">
        <f t="shared" si="69"/>
        <v>123.4932735426009</v>
      </c>
      <c r="D58" s="1578">
        <f t="shared" si="39"/>
        <v>123.4932735426009</v>
      </c>
      <c r="E58" s="1578">
        <f t="shared" si="70"/>
        <v>129.82233502538071</v>
      </c>
      <c r="F58" s="1578">
        <f t="shared" si="70"/>
        <v>107.39446721311475</v>
      </c>
      <c r="G58" s="3101">
        <v>2005</v>
      </c>
      <c r="H58" s="1564">
        <v>1</v>
      </c>
      <c r="I58" s="1564">
        <v>0.43</v>
      </c>
      <c r="J58" s="1564">
        <v>0.37</v>
      </c>
      <c r="K58" s="1564">
        <v>0.37</v>
      </c>
      <c r="L58" s="1579">
        <v>0.55000000000000004</v>
      </c>
      <c r="N58" s="1628">
        <f t="shared" si="67"/>
        <v>1.2992090997956099E-2</v>
      </c>
      <c r="O58" s="1629">
        <f t="shared" si="67"/>
        <v>1.2239947070499151E-2</v>
      </c>
      <c r="P58" s="1629">
        <f t="shared" si="68"/>
        <v>4.6954314720812178E-2</v>
      </c>
      <c r="Q58" s="1629">
        <f t="shared" si="68"/>
        <v>3.6866094683621815E-3</v>
      </c>
      <c r="R58" s="1575"/>
      <c r="S58" s="1581">
        <f>B58/B59-1</f>
        <v>1.2992090997956174E-2</v>
      </c>
      <c r="T58" s="1582">
        <f>C58/C59-1</f>
        <v>1.2239947070499246E-2</v>
      </c>
      <c r="U58" s="1582">
        <f>E58/E59-1</f>
        <v>4.695431472081224E-2</v>
      </c>
      <c r="V58" s="1582">
        <f>F58/F59-1</f>
        <v>3.6866094683620787E-3</v>
      </c>
      <c r="X58" s="1627"/>
      <c r="Y58" s="1627"/>
      <c r="Z58" s="1627"/>
    </row>
    <row r="59" spans="1:26" ht="13.5" thickBot="1">
      <c r="A59" s="1561" t="s">
        <v>1087</v>
      </c>
      <c r="B59" s="1612">
        <v>121</v>
      </c>
      <c r="C59" s="1612">
        <v>122</v>
      </c>
      <c r="D59" s="1612">
        <f t="shared" si="39"/>
        <v>122</v>
      </c>
      <c r="E59" s="1612">
        <v>124</v>
      </c>
      <c r="F59" s="1613">
        <v>107</v>
      </c>
      <c r="G59" s="3099">
        <v>2004</v>
      </c>
      <c r="H59" s="1583">
        <v>4</v>
      </c>
      <c r="I59" s="1583">
        <v>0.33</v>
      </c>
      <c r="J59" s="1583">
        <v>0.5</v>
      </c>
      <c r="K59" s="1583">
        <v>0.5</v>
      </c>
      <c r="L59" s="1584">
        <v>0</v>
      </c>
      <c r="N59" s="1625">
        <f t="shared" ref="N59:O62" si="71">I59/SUM(I$59:I$62)*(B$59/B$63-1)</f>
        <v>1.3391770148526898E-2</v>
      </c>
      <c r="O59" s="1626">
        <f t="shared" si="71"/>
        <v>1.063264221158958E-2</v>
      </c>
      <c r="P59" s="1626">
        <f t="shared" ref="P59:Q62" si="72">K59/SUM(K$59:K$62)*(E$59/E$63-1)</f>
        <v>2.2244466688911134E-2</v>
      </c>
      <c r="Q59" s="1626">
        <f t="shared" si="72"/>
        <v>0</v>
      </c>
      <c r="R59" s="1575"/>
      <c r="S59" s="1576"/>
      <c r="T59" s="1577"/>
      <c r="U59" s="1577"/>
      <c r="V59" s="1577"/>
      <c r="X59" s="1627"/>
      <c r="Y59" s="1627"/>
      <c r="Z59" s="1627"/>
    </row>
    <row r="60" spans="1:26">
      <c r="A60" s="1561" t="s">
        <v>1088</v>
      </c>
      <c r="B60" s="1578">
        <f t="shared" ref="B60:C62" si="73">B61+(B$59-B$63)*I60/SUM(I$59:I$62)</f>
        <v>119.51351351351352</v>
      </c>
      <c r="C60" s="1578">
        <f t="shared" si="73"/>
        <v>120.7878787878788</v>
      </c>
      <c r="D60" s="1578">
        <f t="shared" si="39"/>
        <v>120.7878787878788</v>
      </c>
      <c r="E60" s="1578">
        <f t="shared" ref="E60:F62" si="74">E61+(E$59-E$63)*K60/SUM(K$59:K$62)</f>
        <v>121.5975975975976</v>
      </c>
      <c r="F60" s="1578">
        <f t="shared" si="74"/>
        <v>107</v>
      </c>
      <c r="G60" s="3100">
        <v>2004</v>
      </c>
      <c r="H60" s="1588">
        <v>3</v>
      </c>
      <c r="I60" s="1588">
        <v>0.56000000000000005</v>
      </c>
      <c r="J60" s="1588">
        <v>0.8</v>
      </c>
      <c r="K60" s="1588">
        <v>0.83</v>
      </c>
      <c r="L60" s="1589">
        <v>0.06</v>
      </c>
      <c r="N60" s="1625">
        <f t="shared" si="71"/>
        <v>2.2725428130833527E-2</v>
      </c>
      <c r="O60" s="1626">
        <f t="shared" si="71"/>
        <v>1.7012227538543329E-2</v>
      </c>
      <c r="P60" s="1626">
        <f t="shared" si="72"/>
        <v>3.6925814703592477E-2</v>
      </c>
      <c r="Q60" s="1626">
        <f t="shared" si="72"/>
        <v>2.8846153846153744E-2</v>
      </c>
      <c r="R60" s="1575"/>
      <c r="S60" s="1573"/>
      <c r="T60" s="1574"/>
      <c r="U60" s="1574"/>
      <c r="V60" s="1574"/>
      <c r="X60" s="1627"/>
      <c r="Y60" s="1627"/>
      <c r="Z60" s="1627"/>
    </row>
    <row r="61" spans="1:26">
      <c r="A61" s="1561" t="s">
        <v>1089</v>
      </c>
      <c r="B61" s="1578">
        <f t="shared" si="73"/>
        <v>116.99099099099099</v>
      </c>
      <c r="C61" s="1578">
        <f t="shared" si="73"/>
        <v>118.84848484848486</v>
      </c>
      <c r="D61" s="1578">
        <f t="shared" si="39"/>
        <v>118.84848484848486</v>
      </c>
      <c r="E61" s="1578">
        <f t="shared" si="74"/>
        <v>117.60960960960961</v>
      </c>
      <c r="F61" s="1578">
        <f t="shared" si="74"/>
        <v>104</v>
      </c>
      <c r="G61" s="3100">
        <v>2004</v>
      </c>
      <c r="H61" s="1565">
        <v>2</v>
      </c>
      <c r="I61" s="1565">
        <v>1</v>
      </c>
      <c r="J61" s="1565">
        <v>1.5</v>
      </c>
      <c r="K61" s="1565">
        <v>1.5</v>
      </c>
      <c r="L61" s="1580">
        <v>0</v>
      </c>
      <c r="N61" s="1625">
        <f t="shared" si="71"/>
        <v>4.0581121662202721E-2</v>
      </c>
      <c r="O61" s="1626">
        <f t="shared" si="71"/>
        <v>3.1897926634768738E-2</v>
      </c>
      <c r="P61" s="1626">
        <f t="shared" si="72"/>
        <v>6.6733400066733395E-2</v>
      </c>
      <c r="Q61" s="1626">
        <f t="shared" si="72"/>
        <v>0</v>
      </c>
      <c r="R61" s="1575"/>
      <c r="S61" s="1573"/>
      <c r="T61" s="1574"/>
      <c r="U61" s="1574"/>
      <c r="V61" s="1574"/>
      <c r="X61" s="1627"/>
      <c r="Y61" s="1627"/>
      <c r="Z61" s="1627"/>
    </row>
    <row r="62" spans="1:26" s="1618" customFormat="1" ht="13.5" thickBot="1">
      <c r="A62" s="1561" t="s">
        <v>1090</v>
      </c>
      <c r="B62" s="1615">
        <f t="shared" si="73"/>
        <v>112.48648648648648</v>
      </c>
      <c r="C62" s="1615">
        <f t="shared" si="73"/>
        <v>115.21212121212122</v>
      </c>
      <c r="D62" s="1615">
        <f t="shared" si="39"/>
        <v>115.21212121212122</v>
      </c>
      <c r="E62" s="1615">
        <f t="shared" si="74"/>
        <v>110.4024024024024</v>
      </c>
      <c r="F62" s="1615">
        <f t="shared" si="74"/>
        <v>104</v>
      </c>
      <c r="G62" s="3101">
        <v>2004</v>
      </c>
      <c r="H62" s="1616">
        <v>1</v>
      </c>
      <c r="I62" s="1616">
        <v>0.33</v>
      </c>
      <c r="J62" s="1616">
        <v>0.5</v>
      </c>
      <c r="K62" s="1616">
        <v>0.5</v>
      </c>
      <c r="L62" s="1617">
        <v>0</v>
      </c>
      <c r="N62" s="1630">
        <f t="shared" si="71"/>
        <v>1.3391770148526898E-2</v>
      </c>
      <c r="O62" s="1631">
        <f t="shared" si="71"/>
        <v>1.063264221158958E-2</v>
      </c>
      <c r="P62" s="1631">
        <f t="shared" si="72"/>
        <v>2.2244466688911134E-2</v>
      </c>
      <c r="Q62" s="1631">
        <f t="shared" si="72"/>
        <v>0</v>
      </c>
      <c r="R62" s="1621"/>
      <c r="S62" s="1619">
        <f>B62/B63-1</f>
        <v>1.3391770148526883E-2</v>
      </c>
      <c r="T62" s="1620">
        <f>C62/C63-1</f>
        <v>1.063264221158966E-2</v>
      </c>
      <c r="U62" s="1620">
        <f>E62/E63-1</f>
        <v>2.2244466688911224E-2</v>
      </c>
      <c r="V62" s="1620">
        <f>F62/F63-1</f>
        <v>0</v>
      </c>
      <c r="X62" s="1632"/>
      <c r="Y62" s="1632"/>
      <c r="Z62" s="1632"/>
    </row>
    <row r="63" spans="1:26" ht="13.5" thickBot="1">
      <c r="A63" s="1561" t="s">
        <v>1091</v>
      </c>
      <c r="B63" s="1633">
        <v>111</v>
      </c>
      <c r="C63" s="1633">
        <v>114</v>
      </c>
      <c r="D63" s="1633">
        <f t="shared" si="39"/>
        <v>114</v>
      </c>
      <c r="E63" s="1633">
        <v>108</v>
      </c>
      <c r="F63" s="1634">
        <v>104</v>
      </c>
      <c r="G63" s="3099">
        <v>2003</v>
      </c>
      <c r="H63" s="1623">
        <v>4</v>
      </c>
      <c r="I63" s="1635"/>
      <c r="J63" s="1635"/>
      <c r="K63" s="1635"/>
      <c r="L63" s="1635"/>
      <c r="N63" s="1636"/>
      <c r="O63" s="1635"/>
      <c r="P63" s="1635"/>
      <c r="Q63" s="1635"/>
      <c r="S63" s="1636"/>
      <c r="T63" s="1635"/>
      <c r="U63" s="1635"/>
      <c r="V63" s="1635"/>
      <c r="X63" s="1627"/>
      <c r="Y63" s="1627"/>
      <c r="Z63" s="1627"/>
    </row>
    <row r="64" spans="1:26">
      <c r="A64" s="1561" t="s">
        <v>1092</v>
      </c>
      <c r="B64" s="1637">
        <f t="shared" ref="B64:C66" si="75">B65+(B$63-B$67)/4</f>
        <v>109.75</v>
      </c>
      <c r="C64" s="1637">
        <f t="shared" si="75"/>
        <v>112.25</v>
      </c>
      <c r="D64" s="1637">
        <f t="shared" si="39"/>
        <v>112.25</v>
      </c>
      <c r="E64" s="1637">
        <f t="shared" ref="E64:F66" si="76">E65+(E$63-E$67)/4</f>
        <v>107.25</v>
      </c>
      <c r="F64" s="1637">
        <f t="shared" si="76"/>
        <v>103.5</v>
      </c>
      <c r="G64" s="3100">
        <v>2003</v>
      </c>
      <c r="H64" s="1588">
        <v>3</v>
      </c>
      <c r="I64" s="1635"/>
      <c r="J64" s="1635"/>
      <c r="K64" s="1635"/>
      <c r="L64" s="1635"/>
      <c r="X64" s="1627"/>
      <c r="Y64" s="1627"/>
      <c r="Z64" s="1627"/>
    </row>
    <row r="65" spans="1:26">
      <c r="A65" s="1561" t="s">
        <v>1093</v>
      </c>
      <c r="B65" s="1637">
        <f t="shared" si="75"/>
        <v>108.5</v>
      </c>
      <c r="C65" s="1637">
        <f t="shared" si="75"/>
        <v>110.5</v>
      </c>
      <c r="D65" s="1637">
        <f t="shared" si="39"/>
        <v>110.5</v>
      </c>
      <c r="E65" s="1637">
        <f t="shared" si="76"/>
        <v>106.5</v>
      </c>
      <c r="F65" s="1637">
        <f t="shared" si="76"/>
        <v>103</v>
      </c>
      <c r="G65" s="3100">
        <v>2003</v>
      </c>
      <c r="H65" s="1565">
        <v>2</v>
      </c>
      <c r="I65" s="1635"/>
      <c r="J65" s="1635"/>
      <c r="K65" s="1635"/>
      <c r="L65" s="1635"/>
      <c r="X65" s="1627"/>
      <c r="Y65" s="1627"/>
      <c r="Z65" s="1627"/>
    </row>
    <row r="66" spans="1:26" ht="13.5" thickBot="1">
      <c r="A66" s="1561" t="s">
        <v>1094</v>
      </c>
      <c r="B66" s="1637">
        <f t="shared" si="75"/>
        <v>107.25</v>
      </c>
      <c r="C66" s="1637">
        <f t="shared" si="75"/>
        <v>108.75</v>
      </c>
      <c r="D66" s="1637">
        <f t="shared" si="39"/>
        <v>108.75</v>
      </c>
      <c r="E66" s="1637">
        <f t="shared" si="76"/>
        <v>105.75</v>
      </c>
      <c r="F66" s="1637">
        <f t="shared" si="76"/>
        <v>102.5</v>
      </c>
      <c r="G66" s="3101">
        <v>2003</v>
      </c>
      <c r="H66" s="1638">
        <v>1</v>
      </c>
      <c r="I66" s="1635"/>
      <c r="J66" s="1635"/>
      <c r="K66" s="1635"/>
      <c r="L66" s="1635"/>
      <c r="S66" s="1573"/>
      <c r="T66" s="1574"/>
      <c r="U66" s="1574"/>
      <c r="X66" s="1627"/>
      <c r="Y66" s="1627"/>
      <c r="Z66" s="1627"/>
    </row>
    <row r="67" spans="1:26" ht="13.5" thickBot="1">
      <c r="A67" s="1561" t="s">
        <v>1095</v>
      </c>
      <c r="B67" s="1639">
        <v>106</v>
      </c>
      <c r="C67" s="1639">
        <v>107</v>
      </c>
      <c r="D67" s="1639">
        <f t="shared" si="39"/>
        <v>107</v>
      </c>
      <c r="E67" s="1639">
        <v>105</v>
      </c>
      <c r="F67" s="1640">
        <v>102</v>
      </c>
      <c r="G67" s="3099">
        <v>2002</v>
      </c>
      <c r="H67" s="1583">
        <v>4</v>
      </c>
      <c r="I67" s="1635"/>
      <c r="J67" s="1635"/>
      <c r="K67" s="1635"/>
      <c r="L67" s="1635"/>
      <c r="N67" s="1636"/>
      <c r="O67" s="1635"/>
      <c r="P67" s="1635"/>
      <c r="Q67" s="1635"/>
      <c r="S67" s="1636"/>
      <c r="T67" s="1635"/>
      <c r="U67" s="1635"/>
      <c r="V67" s="1635"/>
      <c r="X67" s="1627"/>
      <c r="Y67" s="1627"/>
      <c r="Z67" s="1627"/>
    </row>
    <row r="68" spans="1:26">
      <c r="A68" s="1561" t="s">
        <v>1096</v>
      </c>
      <c r="B68" s="1637">
        <f t="shared" ref="B68:C70" si="77">B69+(B$67-B$71)/4</f>
        <v>105</v>
      </c>
      <c r="C68" s="1637">
        <f t="shared" si="77"/>
        <v>106</v>
      </c>
      <c r="D68" s="1637">
        <f t="shared" si="39"/>
        <v>106</v>
      </c>
      <c r="E68" s="1637">
        <f t="shared" ref="E68:F70" si="78">E69+(E$67-E$71)/4</f>
        <v>104.5</v>
      </c>
      <c r="F68" s="1637">
        <f t="shared" si="78"/>
        <v>101.5</v>
      </c>
      <c r="G68" s="3100">
        <v>2002</v>
      </c>
      <c r="H68" s="1588">
        <v>3</v>
      </c>
      <c r="I68" s="1635"/>
      <c r="J68" s="1635"/>
      <c r="K68" s="1635"/>
      <c r="L68" s="1635"/>
      <c r="X68" s="1627"/>
      <c r="Y68" s="1627"/>
      <c r="Z68" s="1627"/>
    </row>
    <row r="69" spans="1:26">
      <c r="A69" s="1561" t="s">
        <v>1097</v>
      </c>
      <c r="B69" s="1637">
        <f t="shared" si="77"/>
        <v>104</v>
      </c>
      <c r="C69" s="1637">
        <f t="shared" si="77"/>
        <v>105</v>
      </c>
      <c r="D69" s="1637">
        <f t="shared" si="39"/>
        <v>105</v>
      </c>
      <c r="E69" s="1637">
        <f t="shared" si="78"/>
        <v>104</v>
      </c>
      <c r="F69" s="1637">
        <f t="shared" si="78"/>
        <v>101</v>
      </c>
      <c r="G69" s="3100">
        <v>2002</v>
      </c>
      <c r="H69" s="1565">
        <v>2</v>
      </c>
      <c r="I69" s="1635"/>
      <c r="J69" s="1635"/>
      <c r="K69" s="1635"/>
      <c r="L69" s="1635"/>
      <c r="X69" s="1627"/>
      <c r="Y69" s="1627"/>
      <c r="Z69" s="1627"/>
    </row>
    <row r="70" spans="1:26" s="1599" customFormat="1" ht="13.5" thickBot="1">
      <c r="A70" s="1595" t="s">
        <v>1098</v>
      </c>
      <c r="B70" s="1641">
        <f t="shared" si="77"/>
        <v>103</v>
      </c>
      <c r="C70" s="1641">
        <f t="shared" si="77"/>
        <v>104</v>
      </c>
      <c r="D70" s="1641">
        <f t="shared" si="39"/>
        <v>104</v>
      </c>
      <c r="E70" s="1641">
        <f t="shared" si="78"/>
        <v>103.5</v>
      </c>
      <c r="F70" s="1641">
        <f t="shared" si="78"/>
        <v>100.5</v>
      </c>
      <c r="G70" s="3101">
        <v>2002</v>
      </c>
      <c r="H70" s="1642">
        <v>1</v>
      </c>
      <c r="I70" s="1643"/>
      <c r="J70" s="1643"/>
      <c r="K70" s="1643"/>
      <c r="L70" s="1643"/>
      <c r="N70" s="1644"/>
      <c r="S70" s="1644"/>
      <c r="X70" s="1645"/>
      <c r="Y70" s="1645"/>
      <c r="Z70" s="1645"/>
    </row>
    <row r="71" spans="1:26" ht="13.5" thickBot="1">
      <c r="B71" s="1646">
        <v>102</v>
      </c>
      <c r="C71" s="1647">
        <v>103</v>
      </c>
      <c r="D71" s="1647">
        <f t="shared" si="39"/>
        <v>103</v>
      </c>
      <c r="E71" s="1647">
        <v>103</v>
      </c>
      <c r="F71" s="1648">
        <v>100</v>
      </c>
      <c r="I71" s="1635"/>
      <c r="J71" s="1635"/>
      <c r="K71" s="1635"/>
      <c r="L71" s="1635"/>
      <c r="N71" s="1636"/>
      <c r="O71" s="1635"/>
      <c r="P71" s="1635"/>
      <c r="Q71" s="1635"/>
      <c r="S71" s="1636"/>
      <c r="T71" s="1635"/>
      <c r="U71" s="1635"/>
      <c r="V71" s="1635"/>
      <c r="X71" s="1577"/>
      <c r="Y71" s="1577"/>
      <c r="Z71" s="1577"/>
    </row>
    <row r="73" spans="1:26" s="1650" customFormat="1">
      <c r="A73" s="1649" t="s">
        <v>1099</v>
      </c>
      <c r="G73" s="1651"/>
      <c r="N73" s="1651"/>
      <c r="S73" s="1651"/>
    </row>
    <row r="74" spans="1:26" s="1650" customFormat="1">
      <c r="A74" s="1650" t="s">
        <v>1100</v>
      </c>
      <c r="G74" s="1651"/>
      <c r="N74" s="1651"/>
      <c r="S74" s="1651"/>
    </row>
    <row r="75" spans="1:26" s="1650" customFormat="1">
      <c r="A75" s="1650" t="s">
        <v>1101</v>
      </c>
      <c r="G75" s="1651"/>
      <c r="I75" s="1652"/>
      <c r="J75" s="1652"/>
      <c r="K75" s="1652"/>
      <c r="L75" s="1652"/>
      <c r="N75" s="1653"/>
      <c r="O75" s="1652"/>
      <c r="P75" s="1652"/>
      <c r="Q75" s="1652"/>
      <c r="S75" s="1653"/>
      <c r="T75" s="1652"/>
      <c r="U75" s="1652"/>
      <c r="V75" s="1652"/>
    </row>
    <row r="76" spans="1:26" s="1650" customFormat="1">
      <c r="A76" s="1650" t="s">
        <v>1102</v>
      </c>
      <c r="G76" s="1651"/>
      <c r="N76" s="1651"/>
      <c r="S76" s="1651"/>
    </row>
    <row r="83" spans="7:22" ht="13.5" thickBot="1"/>
    <row r="84" spans="7:22">
      <c r="G84" s="1572"/>
      <c r="S84" s="1654" t="s">
        <v>1103</v>
      </c>
      <c r="T84" s="1655" t="s">
        <v>1104</v>
      </c>
      <c r="U84" s="1655" t="s">
        <v>1105</v>
      </c>
      <c r="V84" s="1655" t="s">
        <v>1106</v>
      </c>
    </row>
    <row r="85" spans="7:22">
      <c r="G85" s="1572"/>
      <c r="N85" s="1576"/>
      <c r="O85" s="1577"/>
      <c r="P85" s="1577"/>
      <c r="Q85" s="1577"/>
      <c r="S85" s="1656">
        <v>2006</v>
      </c>
      <c r="T85" s="1657">
        <v>15.1</v>
      </c>
      <c r="U85" s="1657">
        <v>7.43</v>
      </c>
      <c r="V85" s="1657">
        <v>26.26</v>
      </c>
    </row>
    <row r="86" spans="7:22">
      <c r="G86" s="1572"/>
      <c r="N86" s="1576"/>
      <c r="O86" s="1577"/>
      <c r="P86" s="1577"/>
      <c r="Q86" s="1577"/>
      <c r="S86" s="1658">
        <v>2005</v>
      </c>
      <c r="T86" s="1659">
        <v>13.9</v>
      </c>
      <c r="U86" s="1659">
        <v>7.49</v>
      </c>
      <c r="V86" s="1659">
        <v>24.92</v>
      </c>
    </row>
    <row r="87" spans="7:22">
      <c r="G87" s="1572"/>
      <c r="N87" s="1576"/>
      <c r="O87" s="1577"/>
      <c r="P87" s="1577"/>
      <c r="Q87" s="1577"/>
      <c r="S87" s="1656">
        <v>2004</v>
      </c>
      <c r="T87" s="1657">
        <v>9.48</v>
      </c>
      <c r="U87" s="1657">
        <v>7.2</v>
      </c>
      <c r="V87" s="1657">
        <v>14.68</v>
      </c>
    </row>
    <row r="88" spans="7:22">
      <c r="G88" s="1572"/>
      <c r="N88" s="1576"/>
      <c r="O88" s="1577"/>
      <c r="P88" s="1577"/>
      <c r="Q88" s="1577"/>
      <c r="S88" s="1658">
        <v>2003</v>
      </c>
      <c r="T88" s="1659">
        <v>4.5</v>
      </c>
      <c r="U88" s="1659">
        <v>6.12</v>
      </c>
      <c r="V88" s="1659">
        <v>2.34</v>
      </c>
    </row>
    <row r="89" spans="7:22" ht="13.5" thickBot="1">
      <c r="G89" s="1572"/>
      <c r="N89" s="1576"/>
      <c r="O89" s="1577"/>
      <c r="P89" s="1577"/>
      <c r="Q89" s="1577"/>
      <c r="S89" s="1660">
        <v>2002</v>
      </c>
      <c r="T89" s="1661">
        <v>3.59</v>
      </c>
      <c r="U89" s="1661">
        <v>4.54</v>
      </c>
      <c r="V89" s="1661">
        <v>2.5499999999999998</v>
      </c>
    </row>
    <row r="90" spans="7:22">
      <c r="G90" s="1572"/>
      <c r="N90" s="1576"/>
      <c r="O90" s="1577"/>
      <c r="P90" s="1577"/>
      <c r="Q90" s="1577"/>
    </row>
    <row r="91" spans="7:22">
      <c r="G91" s="1572"/>
      <c r="N91" s="1576"/>
      <c r="O91" s="1577"/>
      <c r="P91" s="1577"/>
      <c r="Q91" s="1577"/>
    </row>
    <row r="92" spans="7:22">
      <c r="G92" s="1572"/>
      <c r="N92" s="1576"/>
      <c r="O92" s="1577"/>
      <c r="P92" s="1577"/>
      <c r="Q92" s="1577"/>
    </row>
    <row r="93" spans="7:22">
      <c r="G93" s="1572"/>
      <c r="N93" s="1576"/>
      <c r="O93" s="1577"/>
      <c r="P93" s="1577"/>
      <c r="Q93" s="1577"/>
    </row>
    <row r="94" spans="7:22">
      <c r="G94" s="1572"/>
      <c r="N94" s="1576"/>
      <c r="O94" s="1577"/>
      <c r="P94" s="1577"/>
      <c r="Q94" s="1577"/>
    </row>
    <row r="95" spans="7:22">
      <c r="G95" s="1572"/>
      <c r="N95" s="1576"/>
      <c r="O95" s="1577"/>
      <c r="P95" s="1577"/>
      <c r="Q95" s="1577"/>
    </row>
    <row r="96" spans="7:22">
      <c r="G96" s="1572"/>
      <c r="N96" s="1576"/>
      <c r="O96" s="1577"/>
      <c r="P96" s="1577"/>
      <c r="Q96" s="1577"/>
    </row>
    <row r="97" spans="7:19">
      <c r="G97" s="1572"/>
      <c r="N97" s="1576"/>
      <c r="O97" s="1577"/>
      <c r="P97" s="1577"/>
      <c r="Q97" s="1577"/>
    </row>
    <row r="98" spans="7:19">
      <c r="G98" s="1572"/>
      <c r="N98" s="1576"/>
      <c r="O98" s="1577"/>
      <c r="P98" s="1577"/>
      <c r="Q98" s="1577"/>
    </row>
    <row r="99" spans="7:19">
      <c r="G99" s="1572"/>
      <c r="N99" s="1576"/>
      <c r="O99" s="1577"/>
      <c r="P99" s="1577"/>
      <c r="Q99" s="1577"/>
    </row>
    <row r="100" spans="7:19">
      <c r="G100" s="1572"/>
      <c r="N100" s="1576"/>
      <c r="O100" s="1577"/>
      <c r="P100" s="1577"/>
      <c r="Q100" s="1577"/>
      <c r="S100" s="1572"/>
    </row>
    <row r="101" spans="7:19">
      <c r="G101" s="1572"/>
      <c r="N101" s="1576"/>
      <c r="O101" s="1577"/>
      <c r="P101" s="1577"/>
      <c r="Q101" s="1577"/>
      <c r="S101" s="1572"/>
    </row>
    <row r="102" spans="7:19">
      <c r="G102" s="1572"/>
      <c r="N102" s="1576"/>
      <c r="O102" s="1577"/>
      <c r="P102" s="1577"/>
      <c r="Q102" s="1577"/>
      <c r="S102" s="1572"/>
    </row>
    <row r="103" spans="7:19">
      <c r="G103" s="1572"/>
      <c r="N103" s="1576"/>
      <c r="O103" s="1577"/>
      <c r="P103" s="1577"/>
      <c r="Q103" s="1577"/>
      <c r="S103" s="1572"/>
    </row>
    <row r="104" spans="7:19">
      <c r="G104" s="1572"/>
      <c r="N104" s="1576"/>
      <c r="O104" s="1577"/>
      <c r="P104" s="1577"/>
      <c r="Q104" s="1577"/>
      <c r="S104" s="1572"/>
    </row>
    <row r="105" spans="7:19">
      <c r="G105" s="1572"/>
      <c r="N105" s="1576"/>
      <c r="O105" s="1577"/>
      <c r="P105" s="1577"/>
      <c r="Q105" s="1577"/>
      <c r="S105" s="1572"/>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4" customWidth="1"/>
    <col min="2" max="2" width="13.25" style="1750" customWidth="1"/>
    <col min="3" max="3" width="15.625" style="1750" customWidth="1"/>
    <col min="4" max="4" width="9.375" style="1750" bestFit="1" customWidth="1"/>
    <col min="5" max="5" width="13.5" style="1750" customWidth="1"/>
    <col min="6" max="6" width="9" style="1750"/>
    <col min="7" max="7" width="9.375" style="1750" bestFit="1" customWidth="1"/>
    <col min="8" max="8" width="11.5" style="1750" customWidth="1"/>
    <col min="9" max="9" width="9" style="1750"/>
    <col min="10" max="10" width="9.375" style="1750" bestFit="1" customWidth="1"/>
    <col min="11" max="11" width="4" style="1744" customWidth="1"/>
    <col min="12" max="12" width="5.125" style="1750" customWidth="1"/>
    <col min="13" max="13" width="13.75" style="1750" customWidth="1"/>
    <col min="14" max="256" width="9" style="1750"/>
    <col min="257" max="257" width="4.875" style="1741" customWidth="1"/>
    <col min="258" max="258" width="13.25" style="1741" customWidth="1"/>
    <col min="259" max="259" width="15.625" style="1741" customWidth="1"/>
    <col min="260" max="260" width="9.375" style="1741" bestFit="1" customWidth="1"/>
    <col min="261" max="261" width="13.5" style="1741" customWidth="1"/>
    <col min="262" max="262" width="9" style="1741"/>
    <col min="263" max="263" width="9.375" style="1741" bestFit="1" customWidth="1"/>
    <col min="264" max="265" width="9" style="1741"/>
    <col min="266" max="266" width="9.375" style="1741" bestFit="1" customWidth="1"/>
    <col min="267" max="267" width="4" style="1741" customWidth="1"/>
    <col min="268" max="268" width="5.125" style="1741" customWidth="1"/>
    <col min="269" max="269" width="13.75" style="1741" customWidth="1"/>
    <col min="270" max="512" width="9" style="1741"/>
    <col min="513" max="513" width="4.875" style="1741" customWidth="1"/>
    <col min="514" max="514" width="13.25" style="1741" customWidth="1"/>
    <col min="515" max="515" width="15.625" style="1741" customWidth="1"/>
    <col min="516" max="516" width="9.375" style="1741" bestFit="1" customWidth="1"/>
    <col min="517" max="517" width="13.5" style="1741" customWidth="1"/>
    <col min="518" max="518" width="9" style="1741"/>
    <col min="519" max="519" width="9.375" style="1741" bestFit="1" customWidth="1"/>
    <col min="520" max="521" width="9" style="1741"/>
    <col min="522" max="522" width="9.375" style="1741" bestFit="1" customWidth="1"/>
    <col min="523" max="523" width="4" style="1741" customWidth="1"/>
    <col min="524" max="524" width="5.125" style="1741" customWidth="1"/>
    <col min="525" max="525" width="13.75" style="1741" customWidth="1"/>
    <col min="526" max="768" width="9" style="1741"/>
    <col min="769" max="769" width="4.875" style="1741" customWidth="1"/>
    <col min="770" max="770" width="13.25" style="1741" customWidth="1"/>
    <col min="771" max="771" width="15.625" style="1741" customWidth="1"/>
    <col min="772" max="772" width="9.375" style="1741" bestFit="1" customWidth="1"/>
    <col min="773" max="773" width="13.5" style="1741" customWidth="1"/>
    <col min="774" max="774" width="9" style="1741"/>
    <col min="775" max="775" width="9.375" style="1741" bestFit="1" customWidth="1"/>
    <col min="776" max="777" width="9" style="1741"/>
    <col min="778" max="778" width="9.375" style="1741" bestFit="1" customWidth="1"/>
    <col min="779" max="779" width="4" style="1741" customWidth="1"/>
    <col min="780" max="780" width="5.125" style="1741" customWidth="1"/>
    <col min="781" max="781" width="13.75" style="1741" customWidth="1"/>
    <col min="782" max="1024" width="9" style="1741"/>
    <col min="1025" max="1025" width="4.875" style="1741" customWidth="1"/>
    <col min="1026" max="1026" width="13.25" style="1741" customWidth="1"/>
    <col min="1027" max="1027" width="15.625" style="1741" customWidth="1"/>
    <col min="1028" max="1028" width="9.375" style="1741" bestFit="1" customWidth="1"/>
    <col min="1029" max="1029" width="13.5" style="1741" customWidth="1"/>
    <col min="1030" max="1030" width="9" style="1741"/>
    <col min="1031" max="1031" width="9.375" style="1741" bestFit="1" customWidth="1"/>
    <col min="1032" max="1033" width="9" style="1741"/>
    <col min="1034" max="1034" width="9.375" style="1741" bestFit="1" customWidth="1"/>
    <col min="1035" max="1035" width="4" style="1741" customWidth="1"/>
    <col min="1036" max="1036" width="5.125" style="1741" customWidth="1"/>
    <col min="1037" max="1037" width="13.75" style="1741" customWidth="1"/>
    <col min="1038" max="1280" width="9" style="1741"/>
    <col min="1281" max="1281" width="4.875" style="1741" customWidth="1"/>
    <col min="1282" max="1282" width="13.25" style="1741" customWidth="1"/>
    <col min="1283" max="1283" width="15.625" style="1741" customWidth="1"/>
    <col min="1284" max="1284" width="9.375" style="1741" bestFit="1" customWidth="1"/>
    <col min="1285" max="1285" width="13.5" style="1741" customWidth="1"/>
    <col min="1286" max="1286" width="9" style="1741"/>
    <col min="1287" max="1287" width="9.375" style="1741" bestFit="1" customWidth="1"/>
    <col min="1288" max="1289" width="9" style="1741"/>
    <col min="1290" max="1290" width="9.375" style="1741" bestFit="1" customWidth="1"/>
    <col min="1291" max="1291" width="4" style="1741" customWidth="1"/>
    <col min="1292" max="1292" width="5.125" style="1741" customWidth="1"/>
    <col min="1293" max="1293" width="13.75" style="1741" customWidth="1"/>
    <col min="1294" max="1536" width="9" style="1741"/>
    <col min="1537" max="1537" width="4.875" style="1741" customWidth="1"/>
    <col min="1538" max="1538" width="13.25" style="1741" customWidth="1"/>
    <col min="1539" max="1539" width="15.625" style="1741" customWidth="1"/>
    <col min="1540" max="1540" width="9.375" style="1741" bestFit="1" customWidth="1"/>
    <col min="1541" max="1541" width="13.5" style="1741" customWidth="1"/>
    <col min="1542" max="1542" width="9" style="1741"/>
    <col min="1543" max="1543" width="9.375" style="1741" bestFit="1" customWidth="1"/>
    <col min="1544" max="1545" width="9" style="1741"/>
    <col min="1546" max="1546" width="9.375" style="1741" bestFit="1" customWidth="1"/>
    <col min="1547" max="1547" width="4" style="1741" customWidth="1"/>
    <col min="1548" max="1548" width="5.125" style="1741" customWidth="1"/>
    <col min="1549" max="1549" width="13.75" style="1741" customWidth="1"/>
    <col min="1550" max="1792" width="9" style="1741"/>
    <col min="1793" max="1793" width="4.875" style="1741" customWidth="1"/>
    <col min="1794" max="1794" width="13.25" style="1741" customWidth="1"/>
    <col min="1795" max="1795" width="15.625" style="1741" customWidth="1"/>
    <col min="1796" max="1796" width="9.375" style="1741" bestFit="1" customWidth="1"/>
    <col min="1797" max="1797" width="13.5" style="1741" customWidth="1"/>
    <col min="1798" max="1798" width="9" style="1741"/>
    <col min="1799" max="1799" width="9.375" style="1741" bestFit="1" customWidth="1"/>
    <col min="1800" max="1801" width="9" style="1741"/>
    <col min="1802" max="1802" width="9.375" style="1741" bestFit="1" customWidth="1"/>
    <col min="1803" max="1803" width="4" style="1741" customWidth="1"/>
    <col min="1804" max="1804" width="5.125" style="1741" customWidth="1"/>
    <col min="1805" max="1805" width="13.75" style="1741" customWidth="1"/>
    <col min="1806" max="2048" width="9" style="1741"/>
    <col min="2049" max="2049" width="4.875" style="1741" customWidth="1"/>
    <col min="2050" max="2050" width="13.25" style="1741" customWidth="1"/>
    <col min="2051" max="2051" width="15.625" style="1741" customWidth="1"/>
    <col min="2052" max="2052" width="9.375" style="1741" bestFit="1" customWidth="1"/>
    <col min="2053" max="2053" width="13.5" style="1741" customWidth="1"/>
    <col min="2054" max="2054" width="9" style="1741"/>
    <col min="2055" max="2055" width="9.375" style="1741" bestFit="1" customWidth="1"/>
    <col min="2056" max="2057" width="9" style="1741"/>
    <col min="2058" max="2058" width="9.375" style="1741" bestFit="1" customWidth="1"/>
    <col min="2059" max="2059" width="4" style="1741" customWidth="1"/>
    <col min="2060" max="2060" width="5.125" style="1741" customWidth="1"/>
    <col min="2061" max="2061" width="13.75" style="1741" customWidth="1"/>
    <col min="2062" max="2304" width="9" style="1741"/>
    <col min="2305" max="2305" width="4.875" style="1741" customWidth="1"/>
    <col min="2306" max="2306" width="13.25" style="1741" customWidth="1"/>
    <col min="2307" max="2307" width="15.625" style="1741" customWidth="1"/>
    <col min="2308" max="2308" width="9.375" style="1741" bestFit="1" customWidth="1"/>
    <col min="2309" max="2309" width="13.5" style="1741" customWidth="1"/>
    <col min="2310" max="2310" width="9" style="1741"/>
    <col min="2311" max="2311" width="9.375" style="1741" bestFit="1" customWidth="1"/>
    <col min="2312" max="2313" width="9" style="1741"/>
    <col min="2314" max="2314" width="9.375" style="1741" bestFit="1" customWidth="1"/>
    <col min="2315" max="2315" width="4" style="1741" customWidth="1"/>
    <col min="2316" max="2316" width="5.125" style="1741" customWidth="1"/>
    <col min="2317" max="2317" width="13.75" style="1741" customWidth="1"/>
    <col min="2318" max="2560" width="9" style="1741"/>
    <col min="2561" max="2561" width="4.875" style="1741" customWidth="1"/>
    <col min="2562" max="2562" width="13.25" style="1741" customWidth="1"/>
    <col min="2563" max="2563" width="15.625" style="1741" customWidth="1"/>
    <col min="2564" max="2564" width="9.375" style="1741" bestFit="1" customWidth="1"/>
    <col min="2565" max="2565" width="13.5" style="1741" customWidth="1"/>
    <col min="2566" max="2566" width="9" style="1741"/>
    <col min="2567" max="2567" width="9.375" style="1741" bestFit="1" customWidth="1"/>
    <col min="2568" max="2569" width="9" style="1741"/>
    <col min="2570" max="2570" width="9.375" style="1741" bestFit="1" customWidth="1"/>
    <col min="2571" max="2571" width="4" style="1741" customWidth="1"/>
    <col min="2572" max="2572" width="5.125" style="1741" customWidth="1"/>
    <col min="2573" max="2573" width="13.75" style="1741" customWidth="1"/>
    <col min="2574" max="2816" width="9" style="1741"/>
    <col min="2817" max="2817" width="4.875" style="1741" customWidth="1"/>
    <col min="2818" max="2818" width="13.25" style="1741" customWidth="1"/>
    <col min="2819" max="2819" width="15.625" style="1741" customWidth="1"/>
    <col min="2820" max="2820" width="9.375" style="1741" bestFit="1" customWidth="1"/>
    <col min="2821" max="2821" width="13.5" style="1741" customWidth="1"/>
    <col min="2822" max="2822" width="9" style="1741"/>
    <col min="2823" max="2823" width="9.375" style="1741" bestFit="1" customWidth="1"/>
    <col min="2824" max="2825" width="9" style="1741"/>
    <col min="2826" max="2826" width="9.375" style="1741" bestFit="1" customWidth="1"/>
    <col min="2827" max="2827" width="4" style="1741" customWidth="1"/>
    <col min="2828" max="2828" width="5.125" style="1741" customWidth="1"/>
    <col min="2829" max="2829" width="13.75" style="1741" customWidth="1"/>
    <col min="2830" max="3072" width="9" style="1741"/>
    <col min="3073" max="3073" width="4.875" style="1741" customWidth="1"/>
    <col min="3074" max="3074" width="13.25" style="1741" customWidth="1"/>
    <col min="3075" max="3075" width="15.625" style="1741" customWidth="1"/>
    <col min="3076" max="3076" width="9.375" style="1741" bestFit="1" customWidth="1"/>
    <col min="3077" max="3077" width="13.5" style="1741" customWidth="1"/>
    <col min="3078" max="3078" width="9" style="1741"/>
    <col min="3079" max="3079" width="9.375" style="1741" bestFit="1" customWidth="1"/>
    <col min="3080" max="3081" width="9" style="1741"/>
    <col min="3082" max="3082" width="9.375" style="1741" bestFit="1" customWidth="1"/>
    <col min="3083" max="3083" width="4" style="1741" customWidth="1"/>
    <col min="3084" max="3084" width="5.125" style="1741" customWidth="1"/>
    <col min="3085" max="3085" width="13.75" style="1741" customWidth="1"/>
    <col min="3086" max="3328" width="9" style="1741"/>
    <col min="3329" max="3329" width="4.875" style="1741" customWidth="1"/>
    <col min="3330" max="3330" width="13.25" style="1741" customWidth="1"/>
    <col min="3331" max="3331" width="15.625" style="1741" customWidth="1"/>
    <col min="3332" max="3332" width="9.375" style="1741" bestFit="1" customWidth="1"/>
    <col min="3333" max="3333" width="13.5" style="1741" customWidth="1"/>
    <col min="3334" max="3334" width="9" style="1741"/>
    <col min="3335" max="3335" width="9.375" style="1741" bestFit="1" customWidth="1"/>
    <col min="3336" max="3337" width="9" style="1741"/>
    <col min="3338" max="3338" width="9.375" style="1741" bestFit="1" customWidth="1"/>
    <col min="3339" max="3339" width="4" style="1741" customWidth="1"/>
    <col min="3340" max="3340" width="5.125" style="1741" customWidth="1"/>
    <col min="3341" max="3341" width="13.75" style="1741" customWidth="1"/>
    <col min="3342" max="3584" width="9" style="1741"/>
    <col min="3585" max="3585" width="4.875" style="1741" customWidth="1"/>
    <col min="3586" max="3586" width="13.25" style="1741" customWidth="1"/>
    <col min="3587" max="3587" width="15.625" style="1741" customWidth="1"/>
    <col min="3588" max="3588" width="9.375" style="1741" bestFit="1" customWidth="1"/>
    <col min="3589" max="3589" width="13.5" style="1741" customWidth="1"/>
    <col min="3590" max="3590" width="9" style="1741"/>
    <col min="3591" max="3591" width="9.375" style="1741" bestFit="1" customWidth="1"/>
    <col min="3592" max="3593" width="9" style="1741"/>
    <col min="3594" max="3594" width="9.375" style="1741" bestFit="1" customWidth="1"/>
    <col min="3595" max="3595" width="4" style="1741" customWidth="1"/>
    <col min="3596" max="3596" width="5.125" style="1741" customWidth="1"/>
    <col min="3597" max="3597" width="13.75" style="1741" customWidth="1"/>
    <col min="3598" max="3840" width="9" style="1741"/>
    <col min="3841" max="3841" width="4.875" style="1741" customWidth="1"/>
    <col min="3842" max="3842" width="13.25" style="1741" customWidth="1"/>
    <col min="3843" max="3843" width="15.625" style="1741" customWidth="1"/>
    <col min="3844" max="3844" width="9.375" style="1741" bestFit="1" customWidth="1"/>
    <col min="3845" max="3845" width="13.5" style="1741" customWidth="1"/>
    <col min="3846" max="3846" width="9" style="1741"/>
    <col min="3847" max="3847" width="9.375" style="1741" bestFit="1" customWidth="1"/>
    <col min="3848" max="3849" width="9" style="1741"/>
    <col min="3850" max="3850" width="9.375" style="1741" bestFit="1" customWidth="1"/>
    <col min="3851" max="3851" width="4" style="1741" customWidth="1"/>
    <col min="3852" max="3852" width="5.125" style="1741" customWidth="1"/>
    <col min="3853" max="3853" width="13.75" style="1741" customWidth="1"/>
    <col min="3854" max="4096" width="9" style="1741"/>
    <col min="4097" max="4097" width="4.875" style="1741" customWidth="1"/>
    <col min="4098" max="4098" width="13.25" style="1741" customWidth="1"/>
    <col min="4099" max="4099" width="15.625" style="1741" customWidth="1"/>
    <col min="4100" max="4100" width="9.375" style="1741" bestFit="1" customWidth="1"/>
    <col min="4101" max="4101" width="13.5" style="1741" customWidth="1"/>
    <col min="4102" max="4102" width="9" style="1741"/>
    <col min="4103" max="4103" width="9.375" style="1741" bestFit="1" customWidth="1"/>
    <col min="4104" max="4105" width="9" style="1741"/>
    <col min="4106" max="4106" width="9.375" style="1741" bestFit="1" customWidth="1"/>
    <col min="4107" max="4107" width="4" style="1741" customWidth="1"/>
    <col min="4108" max="4108" width="5.125" style="1741" customWidth="1"/>
    <col min="4109" max="4109" width="13.75" style="1741" customWidth="1"/>
    <col min="4110" max="4352" width="9" style="1741"/>
    <col min="4353" max="4353" width="4.875" style="1741" customWidth="1"/>
    <col min="4354" max="4354" width="13.25" style="1741" customWidth="1"/>
    <col min="4355" max="4355" width="15.625" style="1741" customWidth="1"/>
    <col min="4356" max="4356" width="9.375" style="1741" bestFit="1" customWidth="1"/>
    <col min="4357" max="4357" width="13.5" style="1741" customWidth="1"/>
    <col min="4358" max="4358" width="9" style="1741"/>
    <col min="4359" max="4359" width="9.375" style="1741" bestFit="1" customWidth="1"/>
    <col min="4360" max="4361" width="9" style="1741"/>
    <col min="4362" max="4362" width="9.375" style="1741" bestFit="1" customWidth="1"/>
    <col min="4363" max="4363" width="4" style="1741" customWidth="1"/>
    <col min="4364" max="4364" width="5.125" style="1741" customWidth="1"/>
    <col min="4365" max="4365" width="13.75" style="1741" customWidth="1"/>
    <col min="4366" max="4608" width="9" style="1741"/>
    <col min="4609" max="4609" width="4.875" style="1741" customWidth="1"/>
    <col min="4610" max="4610" width="13.25" style="1741" customWidth="1"/>
    <col min="4611" max="4611" width="15.625" style="1741" customWidth="1"/>
    <col min="4612" max="4612" width="9.375" style="1741" bestFit="1" customWidth="1"/>
    <col min="4613" max="4613" width="13.5" style="1741" customWidth="1"/>
    <col min="4614" max="4614" width="9" style="1741"/>
    <col min="4615" max="4615" width="9.375" style="1741" bestFit="1" customWidth="1"/>
    <col min="4616" max="4617" width="9" style="1741"/>
    <col min="4618" max="4618" width="9.375" style="1741" bestFit="1" customWidth="1"/>
    <col min="4619" max="4619" width="4" style="1741" customWidth="1"/>
    <col min="4620" max="4620" width="5.125" style="1741" customWidth="1"/>
    <col min="4621" max="4621" width="13.75" style="1741" customWidth="1"/>
    <col min="4622" max="4864" width="9" style="1741"/>
    <col min="4865" max="4865" width="4.875" style="1741" customWidth="1"/>
    <col min="4866" max="4866" width="13.25" style="1741" customWidth="1"/>
    <col min="4867" max="4867" width="15.625" style="1741" customWidth="1"/>
    <col min="4868" max="4868" width="9.375" style="1741" bestFit="1" customWidth="1"/>
    <col min="4869" max="4869" width="13.5" style="1741" customWidth="1"/>
    <col min="4870" max="4870" width="9" style="1741"/>
    <col min="4871" max="4871" width="9.375" style="1741" bestFit="1" customWidth="1"/>
    <col min="4872" max="4873" width="9" style="1741"/>
    <col min="4874" max="4874" width="9.375" style="1741" bestFit="1" customWidth="1"/>
    <col min="4875" max="4875" width="4" style="1741" customWidth="1"/>
    <col min="4876" max="4876" width="5.125" style="1741" customWidth="1"/>
    <col min="4877" max="4877" width="13.75" style="1741" customWidth="1"/>
    <col min="4878" max="5120" width="9" style="1741"/>
    <col min="5121" max="5121" width="4.875" style="1741" customWidth="1"/>
    <col min="5122" max="5122" width="13.25" style="1741" customWidth="1"/>
    <col min="5123" max="5123" width="15.625" style="1741" customWidth="1"/>
    <col min="5124" max="5124" width="9.375" style="1741" bestFit="1" customWidth="1"/>
    <col min="5125" max="5125" width="13.5" style="1741" customWidth="1"/>
    <col min="5126" max="5126" width="9" style="1741"/>
    <col min="5127" max="5127" width="9.375" style="1741" bestFit="1" customWidth="1"/>
    <col min="5128" max="5129" width="9" style="1741"/>
    <col min="5130" max="5130" width="9.375" style="1741" bestFit="1" customWidth="1"/>
    <col min="5131" max="5131" width="4" style="1741" customWidth="1"/>
    <col min="5132" max="5132" width="5.125" style="1741" customWidth="1"/>
    <col min="5133" max="5133" width="13.75" style="1741" customWidth="1"/>
    <col min="5134" max="5376" width="9" style="1741"/>
    <col min="5377" max="5377" width="4.875" style="1741" customWidth="1"/>
    <col min="5378" max="5378" width="13.25" style="1741" customWidth="1"/>
    <col min="5379" max="5379" width="15.625" style="1741" customWidth="1"/>
    <col min="5380" max="5380" width="9.375" style="1741" bestFit="1" customWidth="1"/>
    <col min="5381" max="5381" width="13.5" style="1741" customWidth="1"/>
    <col min="5382" max="5382" width="9" style="1741"/>
    <col min="5383" max="5383" width="9.375" style="1741" bestFit="1" customWidth="1"/>
    <col min="5384" max="5385" width="9" style="1741"/>
    <col min="5386" max="5386" width="9.375" style="1741" bestFit="1" customWidth="1"/>
    <col min="5387" max="5387" width="4" style="1741" customWidth="1"/>
    <col min="5388" max="5388" width="5.125" style="1741" customWidth="1"/>
    <col min="5389" max="5389" width="13.75" style="1741" customWidth="1"/>
    <col min="5390" max="5632" width="9" style="1741"/>
    <col min="5633" max="5633" width="4.875" style="1741" customWidth="1"/>
    <col min="5634" max="5634" width="13.25" style="1741" customWidth="1"/>
    <col min="5635" max="5635" width="15.625" style="1741" customWidth="1"/>
    <col min="5636" max="5636" width="9.375" style="1741" bestFit="1" customWidth="1"/>
    <col min="5637" max="5637" width="13.5" style="1741" customWidth="1"/>
    <col min="5638" max="5638" width="9" style="1741"/>
    <col min="5639" max="5639" width="9.375" style="1741" bestFit="1" customWidth="1"/>
    <col min="5640" max="5641" width="9" style="1741"/>
    <col min="5642" max="5642" width="9.375" style="1741" bestFit="1" customWidth="1"/>
    <col min="5643" max="5643" width="4" style="1741" customWidth="1"/>
    <col min="5644" max="5644" width="5.125" style="1741" customWidth="1"/>
    <col min="5645" max="5645" width="13.75" style="1741" customWidth="1"/>
    <col min="5646" max="5888" width="9" style="1741"/>
    <col min="5889" max="5889" width="4.875" style="1741" customWidth="1"/>
    <col min="5890" max="5890" width="13.25" style="1741" customWidth="1"/>
    <col min="5891" max="5891" width="15.625" style="1741" customWidth="1"/>
    <col min="5892" max="5892" width="9.375" style="1741" bestFit="1" customWidth="1"/>
    <col min="5893" max="5893" width="13.5" style="1741" customWidth="1"/>
    <col min="5894" max="5894" width="9" style="1741"/>
    <col min="5895" max="5895" width="9.375" style="1741" bestFit="1" customWidth="1"/>
    <col min="5896" max="5897" width="9" style="1741"/>
    <col min="5898" max="5898" width="9.375" style="1741" bestFit="1" customWidth="1"/>
    <col min="5899" max="5899" width="4" style="1741" customWidth="1"/>
    <col min="5900" max="5900" width="5.125" style="1741" customWidth="1"/>
    <col min="5901" max="5901" width="13.75" style="1741" customWidth="1"/>
    <col min="5902" max="6144" width="9" style="1741"/>
    <col min="6145" max="6145" width="4.875" style="1741" customWidth="1"/>
    <col min="6146" max="6146" width="13.25" style="1741" customWidth="1"/>
    <col min="6147" max="6147" width="15.625" style="1741" customWidth="1"/>
    <col min="6148" max="6148" width="9.375" style="1741" bestFit="1" customWidth="1"/>
    <col min="6149" max="6149" width="13.5" style="1741" customWidth="1"/>
    <col min="6150" max="6150" width="9" style="1741"/>
    <col min="6151" max="6151" width="9.375" style="1741" bestFit="1" customWidth="1"/>
    <col min="6152" max="6153" width="9" style="1741"/>
    <col min="6154" max="6154" width="9.375" style="1741" bestFit="1" customWidth="1"/>
    <col min="6155" max="6155" width="4" style="1741" customWidth="1"/>
    <col min="6156" max="6156" width="5.125" style="1741" customWidth="1"/>
    <col min="6157" max="6157" width="13.75" style="1741" customWidth="1"/>
    <col min="6158" max="6400" width="9" style="1741"/>
    <col min="6401" max="6401" width="4.875" style="1741" customWidth="1"/>
    <col min="6402" max="6402" width="13.25" style="1741" customWidth="1"/>
    <col min="6403" max="6403" width="15.625" style="1741" customWidth="1"/>
    <col min="6404" max="6404" width="9.375" style="1741" bestFit="1" customWidth="1"/>
    <col min="6405" max="6405" width="13.5" style="1741" customWidth="1"/>
    <col min="6406" max="6406" width="9" style="1741"/>
    <col min="6407" max="6407" width="9.375" style="1741" bestFit="1" customWidth="1"/>
    <col min="6408" max="6409" width="9" style="1741"/>
    <col min="6410" max="6410" width="9.375" style="1741" bestFit="1" customWidth="1"/>
    <col min="6411" max="6411" width="4" style="1741" customWidth="1"/>
    <col min="6412" max="6412" width="5.125" style="1741" customWidth="1"/>
    <col min="6413" max="6413" width="13.75" style="1741" customWidth="1"/>
    <col min="6414" max="6656" width="9" style="1741"/>
    <col min="6657" max="6657" width="4.875" style="1741" customWidth="1"/>
    <col min="6658" max="6658" width="13.25" style="1741" customWidth="1"/>
    <col min="6659" max="6659" width="15.625" style="1741" customWidth="1"/>
    <col min="6660" max="6660" width="9.375" style="1741" bestFit="1" customWidth="1"/>
    <col min="6661" max="6661" width="13.5" style="1741" customWidth="1"/>
    <col min="6662" max="6662" width="9" style="1741"/>
    <col min="6663" max="6663" width="9.375" style="1741" bestFit="1" customWidth="1"/>
    <col min="6664" max="6665" width="9" style="1741"/>
    <col min="6666" max="6666" width="9.375" style="1741" bestFit="1" customWidth="1"/>
    <col min="6667" max="6667" width="4" style="1741" customWidth="1"/>
    <col min="6668" max="6668" width="5.125" style="1741" customWidth="1"/>
    <col min="6669" max="6669" width="13.75" style="1741" customWidth="1"/>
    <col min="6670" max="6912" width="9" style="1741"/>
    <col min="6913" max="6913" width="4.875" style="1741" customWidth="1"/>
    <col min="6914" max="6914" width="13.25" style="1741" customWidth="1"/>
    <col min="6915" max="6915" width="15.625" style="1741" customWidth="1"/>
    <col min="6916" max="6916" width="9.375" style="1741" bestFit="1" customWidth="1"/>
    <col min="6917" max="6917" width="13.5" style="1741" customWidth="1"/>
    <col min="6918" max="6918" width="9" style="1741"/>
    <col min="6919" max="6919" width="9.375" style="1741" bestFit="1" customWidth="1"/>
    <col min="6920" max="6921" width="9" style="1741"/>
    <col min="6922" max="6922" width="9.375" style="1741" bestFit="1" customWidth="1"/>
    <col min="6923" max="6923" width="4" style="1741" customWidth="1"/>
    <col min="6924" max="6924" width="5.125" style="1741" customWidth="1"/>
    <col min="6925" max="6925" width="13.75" style="1741" customWidth="1"/>
    <col min="6926" max="7168" width="9" style="1741"/>
    <col min="7169" max="7169" width="4.875" style="1741" customWidth="1"/>
    <col min="7170" max="7170" width="13.25" style="1741" customWidth="1"/>
    <col min="7171" max="7171" width="15.625" style="1741" customWidth="1"/>
    <col min="7172" max="7172" width="9.375" style="1741" bestFit="1" customWidth="1"/>
    <col min="7173" max="7173" width="13.5" style="1741" customWidth="1"/>
    <col min="7174" max="7174" width="9" style="1741"/>
    <col min="7175" max="7175" width="9.375" style="1741" bestFit="1" customWidth="1"/>
    <col min="7176" max="7177" width="9" style="1741"/>
    <col min="7178" max="7178" width="9.375" style="1741" bestFit="1" customWidth="1"/>
    <col min="7179" max="7179" width="4" style="1741" customWidth="1"/>
    <col min="7180" max="7180" width="5.125" style="1741" customWidth="1"/>
    <col min="7181" max="7181" width="13.75" style="1741" customWidth="1"/>
    <col min="7182" max="7424" width="9" style="1741"/>
    <col min="7425" max="7425" width="4.875" style="1741" customWidth="1"/>
    <col min="7426" max="7426" width="13.25" style="1741" customWidth="1"/>
    <col min="7427" max="7427" width="15.625" style="1741" customWidth="1"/>
    <col min="7428" max="7428" width="9.375" style="1741" bestFit="1" customWidth="1"/>
    <col min="7429" max="7429" width="13.5" style="1741" customWidth="1"/>
    <col min="7430" max="7430" width="9" style="1741"/>
    <col min="7431" max="7431" width="9.375" style="1741" bestFit="1" customWidth="1"/>
    <col min="7432" max="7433" width="9" style="1741"/>
    <col min="7434" max="7434" width="9.375" style="1741" bestFit="1" customWidth="1"/>
    <col min="7435" max="7435" width="4" style="1741" customWidth="1"/>
    <col min="7436" max="7436" width="5.125" style="1741" customWidth="1"/>
    <col min="7437" max="7437" width="13.75" style="1741" customWidth="1"/>
    <col min="7438" max="7680" width="9" style="1741"/>
    <col min="7681" max="7681" width="4.875" style="1741" customWidth="1"/>
    <col min="7682" max="7682" width="13.25" style="1741" customWidth="1"/>
    <col min="7683" max="7683" width="15.625" style="1741" customWidth="1"/>
    <col min="7684" max="7684" width="9.375" style="1741" bestFit="1" customWidth="1"/>
    <col min="7685" max="7685" width="13.5" style="1741" customWidth="1"/>
    <col min="7686" max="7686" width="9" style="1741"/>
    <col min="7687" max="7687" width="9.375" style="1741" bestFit="1" customWidth="1"/>
    <col min="7688" max="7689" width="9" style="1741"/>
    <col min="7690" max="7690" width="9.375" style="1741" bestFit="1" customWidth="1"/>
    <col min="7691" max="7691" width="4" style="1741" customWidth="1"/>
    <col min="7692" max="7692" width="5.125" style="1741" customWidth="1"/>
    <col min="7693" max="7693" width="13.75" style="1741" customWidth="1"/>
    <col min="7694" max="7936" width="9" style="1741"/>
    <col min="7937" max="7937" width="4.875" style="1741" customWidth="1"/>
    <col min="7938" max="7938" width="13.25" style="1741" customWidth="1"/>
    <col min="7939" max="7939" width="15.625" style="1741" customWidth="1"/>
    <col min="7940" max="7940" width="9.375" style="1741" bestFit="1" customWidth="1"/>
    <col min="7941" max="7941" width="13.5" style="1741" customWidth="1"/>
    <col min="7942" max="7942" width="9" style="1741"/>
    <col min="7943" max="7943" width="9.375" style="1741" bestFit="1" customWidth="1"/>
    <col min="7944" max="7945" width="9" style="1741"/>
    <col min="7946" max="7946" width="9.375" style="1741" bestFit="1" customWidth="1"/>
    <col min="7947" max="7947" width="4" style="1741" customWidth="1"/>
    <col min="7948" max="7948" width="5.125" style="1741" customWidth="1"/>
    <col min="7949" max="7949" width="13.75" style="1741" customWidth="1"/>
    <col min="7950" max="8192" width="9" style="1741"/>
    <col min="8193" max="8193" width="4.875" style="1741" customWidth="1"/>
    <col min="8194" max="8194" width="13.25" style="1741" customWidth="1"/>
    <col min="8195" max="8195" width="15.625" style="1741" customWidth="1"/>
    <col min="8196" max="8196" width="9.375" style="1741" bestFit="1" customWidth="1"/>
    <col min="8197" max="8197" width="13.5" style="1741" customWidth="1"/>
    <col min="8198" max="8198" width="9" style="1741"/>
    <col min="8199" max="8199" width="9.375" style="1741" bestFit="1" customWidth="1"/>
    <col min="8200" max="8201" width="9" style="1741"/>
    <col min="8202" max="8202" width="9.375" style="1741" bestFit="1" customWidth="1"/>
    <col min="8203" max="8203" width="4" style="1741" customWidth="1"/>
    <col min="8204" max="8204" width="5.125" style="1741" customWidth="1"/>
    <col min="8205" max="8205" width="13.75" style="1741" customWidth="1"/>
    <col min="8206" max="8448" width="9" style="1741"/>
    <col min="8449" max="8449" width="4.875" style="1741" customWidth="1"/>
    <col min="8450" max="8450" width="13.25" style="1741" customWidth="1"/>
    <col min="8451" max="8451" width="15.625" style="1741" customWidth="1"/>
    <col min="8452" max="8452" width="9.375" style="1741" bestFit="1" customWidth="1"/>
    <col min="8453" max="8453" width="13.5" style="1741" customWidth="1"/>
    <col min="8454" max="8454" width="9" style="1741"/>
    <col min="8455" max="8455" width="9.375" style="1741" bestFit="1" customWidth="1"/>
    <col min="8456" max="8457" width="9" style="1741"/>
    <col min="8458" max="8458" width="9.375" style="1741" bestFit="1" customWidth="1"/>
    <col min="8459" max="8459" width="4" style="1741" customWidth="1"/>
    <col min="8460" max="8460" width="5.125" style="1741" customWidth="1"/>
    <col min="8461" max="8461" width="13.75" style="1741" customWidth="1"/>
    <col min="8462" max="8704" width="9" style="1741"/>
    <col min="8705" max="8705" width="4.875" style="1741" customWidth="1"/>
    <col min="8706" max="8706" width="13.25" style="1741" customWidth="1"/>
    <col min="8707" max="8707" width="15.625" style="1741" customWidth="1"/>
    <col min="8708" max="8708" width="9.375" style="1741" bestFit="1" customWidth="1"/>
    <col min="8709" max="8709" width="13.5" style="1741" customWidth="1"/>
    <col min="8710" max="8710" width="9" style="1741"/>
    <col min="8711" max="8711" width="9.375" style="1741" bestFit="1" customWidth="1"/>
    <col min="8712" max="8713" width="9" style="1741"/>
    <col min="8714" max="8714" width="9.375" style="1741" bestFit="1" customWidth="1"/>
    <col min="8715" max="8715" width="4" style="1741" customWidth="1"/>
    <col min="8716" max="8716" width="5.125" style="1741" customWidth="1"/>
    <col min="8717" max="8717" width="13.75" style="1741" customWidth="1"/>
    <col min="8718" max="8960" width="9" style="1741"/>
    <col min="8961" max="8961" width="4.875" style="1741" customWidth="1"/>
    <col min="8962" max="8962" width="13.25" style="1741" customWidth="1"/>
    <col min="8963" max="8963" width="15.625" style="1741" customWidth="1"/>
    <col min="8964" max="8964" width="9.375" style="1741" bestFit="1" customWidth="1"/>
    <col min="8965" max="8965" width="13.5" style="1741" customWidth="1"/>
    <col min="8966" max="8966" width="9" style="1741"/>
    <col min="8967" max="8967" width="9.375" style="1741" bestFit="1" customWidth="1"/>
    <col min="8968" max="8969" width="9" style="1741"/>
    <col min="8970" max="8970" width="9.375" style="1741" bestFit="1" customWidth="1"/>
    <col min="8971" max="8971" width="4" style="1741" customWidth="1"/>
    <col min="8972" max="8972" width="5.125" style="1741" customWidth="1"/>
    <col min="8973" max="8973" width="13.75" style="1741" customWidth="1"/>
    <col min="8974" max="9216" width="9" style="1741"/>
    <col min="9217" max="9217" width="4.875" style="1741" customWidth="1"/>
    <col min="9218" max="9218" width="13.25" style="1741" customWidth="1"/>
    <col min="9219" max="9219" width="15.625" style="1741" customWidth="1"/>
    <col min="9220" max="9220" width="9.375" style="1741" bestFit="1" customWidth="1"/>
    <col min="9221" max="9221" width="13.5" style="1741" customWidth="1"/>
    <col min="9222" max="9222" width="9" style="1741"/>
    <col min="9223" max="9223" width="9.375" style="1741" bestFit="1" customWidth="1"/>
    <col min="9224" max="9225" width="9" style="1741"/>
    <col min="9226" max="9226" width="9.375" style="1741" bestFit="1" customWidth="1"/>
    <col min="9227" max="9227" width="4" style="1741" customWidth="1"/>
    <col min="9228" max="9228" width="5.125" style="1741" customWidth="1"/>
    <col min="9229" max="9229" width="13.75" style="1741" customWidth="1"/>
    <col min="9230" max="9472" width="9" style="1741"/>
    <col min="9473" max="9473" width="4.875" style="1741" customWidth="1"/>
    <col min="9474" max="9474" width="13.25" style="1741" customWidth="1"/>
    <col min="9475" max="9475" width="15.625" style="1741" customWidth="1"/>
    <col min="9476" max="9476" width="9.375" style="1741" bestFit="1" customWidth="1"/>
    <col min="9477" max="9477" width="13.5" style="1741" customWidth="1"/>
    <col min="9478" max="9478" width="9" style="1741"/>
    <col min="9479" max="9479" width="9.375" style="1741" bestFit="1" customWidth="1"/>
    <col min="9480" max="9481" width="9" style="1741"/>
    <col min="9482" max="9482" width="9.375" style="1741" bestFit="1" customWidth="1"/>
    <col min="9483" max="9483" width="4" style="1741" customWidth="1"/>
    <col min="9484" max="9484" width="5.125" style="1741" customWidth="1"/>
    <col min="9485" max="9485" width="13.75" style="1741" customWidth="1"/>
    <col min="9486" max="9728" width="9" style="1741"/>
    <col min="9729" max="9729" width="4.875" style="1741" customWidth="1"/>
    <col min="9730" max="9730" width="13.25" style="1741" customWidth="1"/>
    <col min="9731" max="9731" width="15.625" style="1741" customWidth="1"/>
    <col min="9732" max="9732" width="9.375" style="1741" bestFit="1" customWidth="1"/>
    <col min="9733" max="9733" width="13.5" style="1741" customWidth="1"/>
    <col min="9734" max="9734" width="9" style="1741"/>
    <col min="9735" max="9735" width="9.375" style="1741" bestFit="1" customWidth="1"/>
    <col min="9736" max="9737" width="9" style="1741"/>
    <col min="9738" max="9738" width="9.375" style="1741" bestFit="1" customWidth="1"/>
    <col min="9739" max="9739" width="4" style="1741" customWidth="1"/>
    <col min="9740" max="9740" width="5.125" style="1741" customWidth="1"/>
    <col min="9741" max="9741" width="13.75" style="1741" customWidth="1"/>
    <col min="9742" max="9984" width="9" style="1741"/>
    <col min="9985" max="9985" width="4.875" style="1741" customWidth="1"/>
    <col min="9986" max="9986" width="13.25" style="1741" customWidth="1"/>
    <col min="9987" max="9987" width="15.625" style="1741" customWidth="1"/>
    <col min="9988" max="9988" width="9.375" style="1741" bestFit="1" customWidth="1"/>
    <col min="9989" max="9989" width="13.5" style="1741" customWidth="1"/>
    <col min="9990" max="9990" width="9" style="1741"/>
    <col min="9991" max="9991" width="9.375" style="1741" bestFit="1" customWidth="1"/>
    <col min="9992" max="9993" width="9" style="1741"/>
    <col min="9994" max="9994" width="9.375" style="1741" bestFit="1" customWidth="1"/>
    <col min="9995" max="9995" width="4" style="1741" customWidth="1"/>
    <col min="9996" max="9996" width="5.125" style="1741" customWidth="1"/>
    <col min="9997" max="9997" width="13.75" style="1741" customWidth="1"/>
    <col min="9998" max="10240" width="9" style="1741"/>
    <col min="10241" max="10241" width="4.875" style="1741" customWidth="1"/>
    <col min="10242" max="10242" width="13.25" style="1741" customWidth="1"/>
    <col min="10243" max="10243" width="15.625" style="1741" customWidth="1"/>
    <col min="10244" max="10244" width="9.375" style="1741" bestFit="1" customWidth="1"/>
    <col min="10245" max="10245" width="13.5" style="1741" customWidth="1"/>
    <col min="10246" max="10246" width="9" style="1741"/>
    <col min="10247" max="10247" width="9.375" style="1741" bestFit="1" customWidth="1"/>
    <col min="10248" max="10249" width="9" style="1741"/>
    <col min="10250" max="10250" width="9.375" style="1741" bestFit="1" customWidth="1"/>
    <col min="10251" max="10251" width="4" style="1741" customWidth="1"/>
    <col min="10252" max="10252" width="5.125" style="1741" customWidth="1"/>
    <col min="10253" max="10253" width="13.75" style="1741" customWidth="1"/>
    <col min="10254" max="10496" width="9" style="1741"/>
    <col min="10497" max="10497" width="4.875" style="1741" customWidth="1"/>
    <col min="10498" max="10498" width="13.25" style="1741" customWidth="1"/>
    <col min="10499" max="10499" width="15.625" style="1741" customWidth="1"/>
    <col min="10500" max="10500" width="9.375" style="1741" bestFit="1" customWidth="1"/>
    <col min="10501" max="10501" width="13.5" style="1741" customWidth="1"/>
    <col min="10502" max="10502" width="9" style="1741"/>
    <col min="10503" max="10503" width="9.375" style="1741" bestFit="1" customWidth="1"/>
    <col min="10504" max="10505" width="9" style="1741"/>
    <col min="10506" max="10506" width="9.375" style="1741" bestFit="1" customWidth="1"/>
    <col min="10507" max="10507" width="4" style="1741" customWidth="1"/>
    <col min="10508" max="10508" width="5.125" style="1741" customWidth="1"/>
    <col min="10509" max="10509" width="13.75" style="1741" customWidth="1"/>
    <col min="10510" max="10752" width="9" style="1741"/>
    <col min="10753" max="10753" width="4.875" style="1741" customWidth="1"/>
    <col min="10754" max="10754" width="13.25" style="1741" customWidth="1"/>
    <col min="10755" max="10755" width="15.625" style="1741" customWidth="1"/>
    <col min="10756" max="10756" width="9.375" style="1741" bestFit="1" customWidth="1"/>
    <col min="10757" max="10757" width="13.5" style="1741" customWidth="1"/>
    <col min="10758" max="10758" width="9" style="1741"/>
    <col min="10759" max="10759" width="9.375" style="1741" bestFit="1" customWidth="1"/>
    <col min="10760" max="10761" width="9" style="1741"/>
    <col min="10762" max="10762" width="9.375" style="1741" bestFit="1" customWidth="1"/>
    <col min="10763" max="10763" width="4" style="1741" customWidth="1"/>
    <col min="10764" max="10764" width="5.125" style="1741" customWidth="1"/>
    <col min="10765" max="10765" width="13.75" style="1741" customWidth="1"/>
    <col min="10766" max="11008" width="9" style="1741"/>
    <col min="11009" max="11009" width="4.875" style="1741" customWidth="1"/>
    <col min="11010" max="11010" width="13.25" style="1741" customWidth="1"/>
    <col min="11011" max="11011" width="15.625" style="1741" customWidth="1"/>
    <col min="11012" max="11012" width="9.375" style="1741" bestFit="1" customWidth="1"/>
    <col min="11013" max="11013" width="13.5" style="1741" customWidth="1"/>
    <col min="11014" max="11014" width="9" style="1741"/>
    <col min="11015" max="11015" width="9.375" style="1741" bestFit="1" customWidth="1"/>
    <col min="11016" max="11017" width="9" style="1741"/>
    <col min="11018" max="11018" width="9.375" style="1741" bestFit="1" customWidth="1"/>
    <col min="11019" max="11019" width="4" style="1741" customWidth="1"/>
    <col min="11020" max="11020" width="5.125" style="1741" customWidth="1"/>
    <col min="11021" max="11021" width="13.75" style="1741" customWidth="1"/>
    <col min="11022" max="11264" width="9" style="1741"/>
    <col min="11265" max="11265" width="4.875" style="1741" customWidth="1"/>
    <col min="11266" max="11266" width="13.25" style="1741" customWidth="1"/>
    <col min="11267" max="11267" width="15.625" style="1741" customWidth="1"/>
    <col min="11268" max="11268" width="9.375" style="1741" bestFit="1" customWidth="1"/>
    <col min="11269" max="11269" width="13.5" style="1741" customWidth="1"/>
    <col min="11270" max="11270" width="9" style="1741"/>
    <col min="11271" max="11271" width="9.375" style="1741" bestFit="1" customWidth="1"/>
    <col min="11272" max="11273" width="9" style="1741"/>
    <col min="11274" max="11274" width="9.375" style="1741" bestFit="1" customWidth="1"/>
    <col min="11275" max="11275" width="4" style="1741" customWidth="1"/>
    <col min="11276" max="11276" width="5.125" style="1741" customWidth="1"/>
    <col min="11277" max="11277" width="13.75" style="1741" customWidth="1"/>
    <col min="11278" max="11520" width="9" style="1741"/>
    <col min="11521" max="11521" width="4.875" style="1741" customWidth="1"/>
    <col min="11522" max="11522" width="13.25" style="1741" customWidth="1"/>
    <col min="11523" max="11523" width="15.625" style="1741" customWidth="1"/>
    <col min="11524" max="11524" width="9.375" style="1741" bestFit="1" customWidth="1"/>
    <col min="11525" max="11525" width="13.5" style="1741" customWidth="1"/>
    <col min="11526" max="11526" width="9" style="1741"/>
    <col min="11527" max="11527" width="9.375" style="1741" bestFit="1" customWidth="1"/>
    <col min="11528" max="11529" width="9" style="1741"/>
    <col min="11530" max="11530" width="9.375" style="1741" bestFit="1" customWidth="1"/>
    <col min="11531" max="11531" width="4" style="1741" customWidth="1"/>
    <col min="11532" max="11532" width="5.125" style="1741" customWidth="1"/>
    <col min="11533" max="11533" width="13.75" style="1741" customWidth="1"/>
    <col min="11534" max="11776" width="9" style="1741"/>
    <col min="11777" max="11777" width="4.875" style="1741" customWidth="1"/>
    <col min="11778" max="11778" width="13.25" style="1741" customWidth="1"/>
    <col min="11779" max="11779" width="15.625" style="1741" customWidth="1"/>
    <col min="11780" max="11780" width="9.375" style="1741" bestFit="1" customWidth="1"/>
    <col min="11781" max="11781" width="13.5" style="1741" customWidth="1"/>
    <col min="11782" max="11782" width="9" style="1741"/>
    <col min="11783" max="11783" width="9.375" style="1741" bestFit="1" customWidth="1"/>
    <col min="11784" max="11785" width="9" style="1741"/>
    <col min="11786" max="11786" width="9.375" style="1741" bestFit="1" customWidth="1"/>
    <col min="11787" max="11787" width="4" style="1741" customWidth="1"/>
    <col min="11788" max="11788" width="5.125" style="1741" customWidth="1"/>
    <col min="11789" max="11789" width="13.75" style="1741" customWidth="1"/>
    <col min="11790" max="12032" width="9" style="1741"/>
    <col min="12033" max="12033" width="4.875" style="1741" customWidth="1"/>
    <col min="12034" max="12034" width="13.25" style="1741" customWidth="1"/>
    <col min="12035" max="12035" width="15.625" style="1741" customWidth="1"/>
    <col min="12036" max="12036" width="9.375" style="1741" bestFit="1" customWidth="1"/>
    <col min="12037" max="12037" width="13.5" style="1741" customWidth="1"/>
    <col min="12038" max="12038" width="9" style="1741"/>
    <col min="12039" max="12039" width="9.375" style="1741" bestFit="1" customWidth="1"/>
    <col min="12040" max="12041" width="9" style="1741"/>
    <col min="12042" max="12042" width="9.375" style="1741" bestFit="1" customWidth="1"/>
    <col min="12043" max="12043" width="4" style="1741" customWidth="1"/>
    <col min="12044" max="12044" width="5.125" style="1741" customWidth="1"/>
    <col min="12045" max="12045" width="13.75" style="1741" customWidth="1"/>
    <col min="12046" max="12288" width="9" style="1741"/>
    <col min="12289" max="12289" width="4.875" style="1741" customWidth="1"/>
    <col min="12290" max="12290" width="13.25" style="1741" customWidth="1"/>
    <col min="12291" max="12291" width="15.625" style="1741" customWidth="1"/>
    <col min="12292" max="12292" width="9.375" style="1741" bestFit="1" customWidth="1"/>
    <col min="12293" max="12293" width="13.5" style="1741" customWidth="1"/>
    <col min="12294" max="12294" width="9" style="1741"/>
    <col min="12295" max="12295" width="9.375" style="1741" bestFit="1" customWidth="1"/>
    <col min="12296" max="12297" width="9" style="1741"/>
    <col min="12298" max="12298" width="9.375" style="1741" bestFit="1" customWidth="1"/>
    <col min="12299" max="12299" width="4" style="1741" customWidth="1"/>
    <col min="12300" max="12300" width="5.125" style="1741" customWidth="1"/>
    <col min="12301" max="12301" width="13.75" style="1741" customWidth="1"/>
    <col min="12302" max="12544" width="9" style="1741"/>
    <col min="12545" max="12545" width="4.875" style="1741" customWidth="1"/>
    <col min="12546" max="12546" width="13.25" style="1741" customWidth="1"/>
    <col min="12547" max="12547" width="15.625" style="1741" customWidth="1"/>
    <col min="12548" max="12548" width="9.375" style="1741" bestFit="1" customWidth="1"/>
    <col min="12549" max="12549" width="13.5" style="1741" customWidth="1"/>
    <col min="12550" max="12550" width="9" style="1741"/>
    <col min="12551" max="12551" width="9.375" style="1741" bestFit="1" customWidth="1"/>
    <col min="12552" max="12553" width="9" style="1741"/>
    <col min="12554" max="12554" width="9.375" style="1741" bestFit="1" customWidth="1"/>
    <col min="12555" max="12555" width="4" style="1741" customWidth="1"/>
    <col min="12556" max="12556" width="5.125" style="1741" customWidth="1"/>
    <col min="12557" max="12557" width="13.75" style="1741" customWidth="1"/>
    <col min="12558" max="12800" width="9" style="1741"/>
    <col min="12801" max="12801" width="4.875" style="1741" customWidth="1"/>
    <col min="12802" max="12802" width="13.25" style="1741" customWidth="1"/>
    <col min="12803" max="12803" width="15.625" style="1741" customWidth="1"/>
    <col min="12804" max="12804" width="9.375" style="1741" bestFit="1" customWidth="1"/>
    <col min="12805" max="12805" width="13.5" style="1741" customWidth="1"/>
    <col min="12806" max="12806" width="9" style="1741"/>
    <col min="12807" max="12807" width="9.375" style="1741" bestFit="1" customWidth="1"/>
    <col min="12808" max="12809" width="9" style="1741"/>
    <col min="12810" max="12810" width="9.375" style="1741" bestFit="1" customWidth="1"/>
    <col min="12811" max="12811" width="4" style="1741" customWidth="1"/>
    <col min="12812" max="12812" width="5.125" style="1741" customWidth="1"/>
    <col min="12813" max="12813" width="13.75" style="1741" customWidth="1"/>
    <col min="12814" max="13056" width="9" style="1741"/>
    <col min="13057" max="13057" width="4.875" style="1741" customWidth="1"/>
    <col min="13058" max="13058" width="13.25" style="1741" customWidth="1"/>
    <col min="13059" max="13059" width="15.625" style="1741" customWidth="1"/>
    <col min="13060" max="13060" width="9.375" style="1741" bestFit="1" customWidth="1"/>
    <col min="13061" max="13061" width="13.5" style="1741" customWidth="1"/>
    <col min="13062" max="13062" width="9" style="1741"/>
    <col min="13063" max="13063" width="9.375" style="1741" bestFit="1" customWidth="1"/>
    <col min="13064" max="13065" width="9" style="1741"/>
    <col min="13066" max="13066" width="9.375" style="1741" bestFit="1" customWidth="1"/>
    <col min="13067" max="13067" width="4" style="1741" customWidth="1"/>
    <col min="13068" max="13068" width="5.125" style="1741" customWidth="1"/>
    <col min="13069" max="13069" width="13.75" style="1741" customWidth="1"/>
    <col min="13070" max="13312" width="9" style="1741"/>
    <col min="13313" max="13313" width="4.875" style="1741" customWidth="1"/>
    <col min="13314" max="13314" width="13.25" style="1741" customWidth="1"/>
    <col min="13315" max="13315" width="15.625" style="1741" customWidth="1"/>
    <col min="13316" max="13316" width="9.375" style="1741" bestFit="1" customWidth="1"/>
    <col min="13317" max="13317" width="13.5" style="1741" customWidth="1"/>
    <col min="13318" max="13318" width="9" style="1741"/>
    <col min="13319" max="13319" width="9.375" style="1741" bestFit="1" customWidth="1"/>
    <col min="13320" max="13321" width="9" style="1741"/>
    <col min="13322" max="13322" width="9.375" style="1741" bestFit="1" customWidth="1"/>
    <col min="13323" max="13323" width="4" style="1741" customWidth="1"/>
    <col min="13324" max="13324" width="5.125" style="1741" customWidth="1"/>
    <col min="13325" max="13325" width="13.75" style="1741" customWidth="1"/>
    <col min="13326" max="13568" width="9" style="1741"/>
    <col min="13569" max="13569" width="4.875" style="1741" customWidth="1"/>
    <col min="13570" max="13570" width="13.25" style="1741" customWidth="1"/>
    <col min="13571" max="13571" width="15.625" style="1741" customWidth="1"/>
    <col min="13572" max="13572" width="9.375" style="1741" bestFit="1" customWidth="1"/>
    <col min="13573" max="13573" width="13.5" style="1741" customWidth="1"/>
    <col min="13574" max="13574" width="9" style="1741"/>
    <col min="13575" max="13575" width="9.375" style="1741" bestFit="1" customWidth="1"/>
    <col min="13576" max="13577" width="9" style="1741"/>
    <col min="13578" max="13578" width="9.375" style="1741" bestFit="1" customWidth="1"/>
    <col min="13579" max="13579" width="4" style="1741" customWidth="1"/>
    <col min="13580" max="13580" width="5.125" style="1741" customWidth="1"/>
    <col min="13581" max="13581" width="13.75" style="1741" customWidth="1"/>
    <col min="13582" max="13824" width="9" style="1741"/>
    <col min="13825" max="13825" width="4.875" style="1741" customWidth="1"/>
    <col min="13826" max="13826" width="13.25" style="1741" customWidth="1"/>
    <col min="13827" max="13827" width="15.625" style="1741" customWidth="1"/>
    <col min="13828" max="13828" width="9.375" style="1741" bestFit="1" customWidth="1"/>
    <col min="13829" max="13829" width="13.5" style="1741" customWidth="1"/>
    <col min="13830" max="13830" width="9" style="1741"/>
    <col min="13831" max="13831" width="9.375" style="1741" bestFit="1" customWidth="1"/>
    <col min="13832" max="13833" width="9" style="1741"/>
    <col min="13834" max="13834" width="9.375" style="1741" bestFit="1" customWidth="1"/>
    <col min="13835" max="13835" width="4" style="1741" customWidth="1"/>
    <col min="13836" max="13836" width="5.125" style="1741" customWidth="1"/>
    <col min="13837" max="13837" width="13.75" style="1741" customWidth="1"/>
    <col min="13838" max="14080" width="9" style="1741"/>
    <col min="14081" max="14081" width="4.875" style="1741" customWidth="1"/>
    <col min="14082" max="14082" width="13.25" style="1741" customWidth="1"/>
    <col min="14083" max="14083" width="15.625" style="1741" customWidth="1"/>
    <col min="14084" max="14084" width="9.375" style="1741" bestFit="1" customWidth="1"/>
    <col min="14085" max="14085" width="13.5" style="1741" customWidth="1"/>
    <col min="14086" max="14086" width="9" style="1741"/>
    <col min="14087" max="14087" width="9.375" style="1741" bestFit="1" customWidth="1"/>
    <col min="14088" max="14089" width="9" style="1741"/>
    <col min="14090" max="14090" width="9.375" style="1741" bestFit="1" customWidth="1"/>
    <col min="14091" max="14091" width="4" style="1741" customWidth="1"/>
    <col min="14092" max="14092" width="5.125" style="1741" customWidth="1"/>
    <col min="14093" max="14093" width="13.75" style="1741" customWidth="1"/>
    <col min="14094" max="14336" width="9" style="1741"/>
    <col min="14337" max="14337" width="4.875" style="1741" customWidth="1"/>
    <col min="14338" max="14338" width="13.25" style="1741" customWidth="1"/>
    <col min="14339" max="14339" width="15.625" style="1741" customWidth="1"/>
    <col min="14340" max="14340" width="9.375" style="1741" bestFit="1" customWidth="1"/>
    <col min="14341" max="14341" width="13.5" style="1741" customWidth="1"/>
    <col min="14342" max="14342" width="9" style="1741"/>
    <col min="14343" max="14343" width="9.375" style="1741" bestFit="1" customWidth="1"/>
    <col min="14344" max="14345" width="9" style="1741"/>
    <col min="14346" max="14346" width="9.375" style="1741" bestFit="1" customWidth="1"/>
    <col min="14347" max="14347" width="4" style="1741" customWidth="1"/>
    <col min="14348" max="14348" width="5.125" style="1741" customWidth="1"/>
    <col min="14349" max="14349" width="13.75" style="1741" customWidth="1"/>
    <col min="14350" max="14592" width="9" style="1741"/>
    <col min="14593" max="14593" width="4.875" style="1741" customWidth="1"/>
    <col min="14594" max="14594" width="13.25" style="1741" customWidth="1"/>
    <col min="14595" max="14595" width="15.625" style="1741" customWidth="1"/>
    <col min="14596" max="14596" width="9.375" style="1741" bestFit="1" customWidth="1"/>
    <col min="14597" max="14597" width="13.5" style="1741" customWidth="1"/>
    <col min="14598" max="14598" width="9" style="1741"/>
    <col min="14599" max="14599" width="9.375" style="1741" bestFit="1" customWidth="1"/>
    <col min="14600" max="14601" width="9" style="1741"/>
    <col min="14602" max="14602" width="9.375" style="1741" bestFit="1" customWidth="1"/>
    <col min="14603" max="14603" width="4" style="1741" customWidth="1"/>
    <col min="14604" max="14604" width="5.125" style="1741" customWidth="1"/>
    <col min="14605" max="14605" width="13.75" style="1741" customWidth="1"/>
    <col min="14606" max="14848" width="9" style="1741"/>
    <col min="14849" max="14849" width="4.875" style="1741" customWidth="1"/>
    <col min="14850" max="14850" width="13.25" style="1741" customWidth="1"/>
    <col min="14851" max="14851" width="15.625" style="1741" customWidth="1"/>
    <col min="14852" max="14852" width="9.375" style="1741" bestFit="1" customWidth="1"/>
    <col min="14853" max="14853" width="13.5" style="1741" customWidth="1"/>
    <col min="14854" max="14854" width="9" style="1741"/>
    <col min="14855" max="14855" width="9.375" style="1741" bestFit="1" customWidth="1"/>
    <col min="14856" max="14857" width="9" style="1741"/>
    <col min="14858" max="14858" width="9.375" style="1741" bestFit="1" customWidth="1"/>
    <col min="14859" max="14859" width="4" style="1741" customWidth="1"/>
    <col min="14860" max="14860" width="5.125" style="1741" customWidth="1"/>
    <col min="14861" max="14861" width="13.75" style="1741" customWidth="1"/>
    <col min="14862" max="15104" width="9" style="1741"/>
    <col min="15105" max="15105" width="4.875" style="1741" customWidth="1"/>
    <col min="15106" max="15106" width="13.25" style="1741" customWidth="1"/>
    <col min="15107" max="15107" width="15.625" style="1741" customWidth="1"/>
    <col min="15108" max="15108" width="9.375" style="1741" bestFit="1" customWidth="1"/>
    <col min="15109" max="15109" width="13.5" style="1741" customWidth="1"/>
    <col min="15110" max="15110" width="9" style="1741"/>
    <col min="15111" max="15111" width="9.375" style="1741" bestFit="1" customWidth="1"/>
    <col min="15112" max="15113" width="9" style="1741"/>
    <col min="15114" max="15114" width="9.375" style="1741" bestFit="1" customWidth="1"/>
    <col min="15115" max="15115" width="4" style="1741" customWidth="1"/>
    <col min="15116" max="15116" width="5.125" style="1741" customWidth="1"/>
    <col min="15117" max="15117" width="13.75" style="1741" customWidth="1"/>
    <col min="15118" max="15360" width="9" style="1741"/>
    <col min="15361" max="15361" width="4.875" style="1741" customWidth="1"/>
    <col min="15362" max="15362" width="13.25" style="1741" customWidth="1"/>
    <col min="15363" max="15363" width="15.625" style="1741" customWidth="1"/>
    <col min="15364" max="15364" width="9.375" style="1741" bestFit="1" customWidth="1"/>
    <col min="15365" max="15365" width="13.5" style="1741" customWidth="1"/>
    <col min="15366" max="15366" width="9" style="1741"/>
    <col min="15367" max="15367" width="9.375" style="1741" bestFit="1" customWidth="1"/>
    <col min="15368" max="15369" width="9" style="1741"/>
    <col min="15370" max="15370" width="9.375" style="1741" bestFit="1" customWidth="1"/>
    <col min="15371" max="15371" width="4" style="1741" customWidth="1"/>
    <col min="15372" max="15372" width="5.125" style="1741" customWidth="1"/>
    <col min="15373" max="15373" width="13.75" style="1741" customWidth="1"/>
    <col min="15374" max="15616" width="9" style="1741"/>
    <col min="15617" max="15617" width="4.875" style="1741" customWidth="1"/>
    <col min="15618" max="15618" width="13.25" style="1741" customWidth="1"/>
    <col min="15619" max="15619" width="15.625" style="1741" customWidth="1"/>
    <col min="15620" max="15620" width="9.375" style="1741" bestFit="1" customWidth="1"/>
    <col min="15621" max="15621" width="13.5" style="1741" customWidth="1"/>
    <col min="15622" max="15622" width="9" style="1741"/>
    <col min="15623" max="15623" width="9.375" style="1741" bestFit="1" customWidth="1"/>
    <col min="15624" max="15625" width="9" style="1741"/>
    <col min="15626" max="15626" width="9.375" style="1741" bestFit="1" customWidth="1"/>
    <col min="15627" max="15627" width="4" style="1741" customWidth="1"/>
    <col min="15628" max="15628" width="5.125" style="1741" customWidth="1"/>
    <col min="15629" max="15629" width="13.75" style="1741" customWidth="1"/>
    <col min="15630" max="15872" width="9" style="1741"/>
    <col min="15873" max="15873" width="4.875" style="1741" customWidth="1"/>
    <col min="15874" max="15874" width="13.25" style="1741" customWidth="1"/>
    <col min="15875" max="15875" width="15.625" style="1741" customWidth="1"/>
    <col min="15876" max="15876" width="9.375" style="1741" bestFit="1" customWidth="1"/>
    <col min="15877" max="15877" width="13.5" style="1741" customWidth="1"/>
    <col min="15878" max="15878" width="9" style="1741"/>
    <col min="15879" max="15879" width="9.375" style="1741" bestFit="1" customWidth="1"/>
    <col min="15880" max="15881" width="9" style="1741"/>
    <col min="15882" max="15882" width="9.375" style="1741" bestFit="1" customWidth="1"/>
    <col min="15883" max="15883" width="4" style="1741" customWidth="1"/>
    <col min="15884" max="15884" width="5.125" style="1741" customWidth="1"/>
    <col min="15885" max="15885" width="13.75" style="1741" customWidth="1"/>
    <col min="15886" max="16128" width="9" style="1741"/>
    <col min="16129" max="16129" width="4.875" style="1741" customWidth="1"/>
    <col min="16130" max="16130" width="13.25" style="1741" customWidth="1"/>
    <col min="16131" max="16131" width="15.625" style="1741" customWidth="1"/>
    <col min="16132" max="16132" width="9.375" style="1741" bestFit="1" customWidth="1"/>
    <col min="16133" max="16133" width="13.5" style="1741" customWidth="1"/>
    <col min="16134" max="16134" width="9" style="1741"/>
    <col min="16135" max="16135" width="9.375" style="1741" bestFit="1" customWidth="1"/>
    <col min="16136" max="16137" width="9" style="1741"/>
    <col min="16138" max="16138" width="9.375" style="1741" bestFit="1" customWidth="1"/>
    <col min="16139" max="16139" width="4" style="1741" customWidth="1"/>
    <col min="16140" max="16140" width="5.125" style="1741" customWidth="1"/>
    <col min="16141" max="16141" width="13.75" style="1741" customWidth="1"/>
    <col min="16142" max="16384" width="9" style="1741"/>
  </cols>
  <sheetData>
    <row r="1" spans="1:257" s="1804" customFormat="1" ht="14.25" thickBot="1">
      <c r="A1" s="1799"/>
      <c r="B1" s="1800" t="s">
        <v>1185</v>
      </c>
      <c r="C1" s="1805">
        <f>项目基本情况!D2</f>
        <v>43257</v>
      </c>
      <c r="D1" s="1800" t="s">
        <v>1186</v>
      </c>
      <c r="E1" s="1806">
        <f>'数据-取费表'!B23</f>
        <v>2</v>
      </c>
      <c r="F1" s="1800" t="s">
        <v>1187</v>
      </c>
      <c r="G1" s="1807">
        <f ca="1">INDIRECT("d"&amp;$K$1)/100</f>
        <v>4.7500000000000001E-2</v>
      </c>
      <c r="H1" s="1800" t="s">
        <v>1217</v>
      </c>
      <c r="I1" s="1807">
        <f ca="1">F4/100</f>
        <v>1.4999999999999999E-2</v>
      </c>
      <c r="J1" s="1801">
        <f>IF(C1&gt;C13,0,MATCH(C1,C$13:C$100,-1))+IF(SUMIF(C13:C100,C1,D13:D100)=0,13,12)</f>
        <v>13</v>
      </c>
      <c r="K1" s="1801">
        <f>MATCH(E1,C3:C7,1)+IF(SUMIF(C3:C7,E1,D3:D7)=0,2,1)</f>
        <v>5</v>
      </c>
      <c r="L1" s="1801">
        <f>IF(C1&gt;M13,0,MATCH(C1,M$13:M$100,-1))+IF(SUMIF(M13:M100,C1,N13:N100)=0,13,12)</f>
        <v>13</v>
      </c>
      <c r="M1" s="1799"/>
      <c r="N1" s="1799"/>
      <c r="O1" s="1799"/>
      <c r="P1" s="1799"/>
      <c r="Q1" s="1799"/>
      <c r="R1" s="1799"/>
      <c r="S1" s="1799"/>
      <c r="T1" s="1799"/>
      <c r="U1" s="1799"/>
      <c r="V1" s="1799"/>
      <c r="W1" s="1799"/>
      <c r="X1" s="1799"/>
      <c r="Y1" s="1799"/>
      <c r="Z1" s="1799"/>
      <c r="AA1" s="1802"/>
      <c r="AB1" s="1802"/>
      <c r="AC1" s="1802"/>
      <c r="AD1" s="1802"/>
      <c r="AE1" s="1802"/>
      <c r="AF1" s="1802"/>
      <c r="AG1" s="1802"/>
      <c r="AH1" s="1802"/>
      <c r="AI1" s="1802"/>
      <c r="AJ1" s="1802"/>
      <c r="AK1" s="1802"/>
      <c r="AL1" s="1802"/>
      <c r="AM1" s="1802"/>
      <c r="AN1" s="1802"/>
      <c r="AO1" s="1802"/>
      <c r="AP1" s="1802"/>
      <c r="AQ1" s="1802"/>
      <c r="AR1" s="1802"/>
      <c r="AS1" s="1802"/>
      <c r="AT1" s="1802"/>
      <c r="AU1" s="1802"/>
      <c r="AV1" s="1802"/>
      <c r="AW1" s="1802"/>
      <c r="AX1" s="1802"/>
      <c r="AY1" s="1802"/>
      <c r="AZ1" s="1802"/>
      <c r="BA1" s="1802"/>
      <c r="BB1" s="1802"/>
      <c r="BC1" s="1802"/>
      <c r="BD1" s="1802"/>
      <c r="BE1" s="1802"/>
      <c r="BF1" s="1802"/>
      <c r="BG1" s="1802"/>
      <c r="BH1" s="1802"/>
      <c r="BI1" s="1802"/>
      <c r="BJ1" s="1802"/>
      <c r="BK1" s="1802"/>
      <c r="BL1" s="1802"/>
      <c r="BM1" s="1802"/>
      <c r="BN1" s="1802"/>
      <c r="BO1" s="1802"/>
      <c r="BP1" s="1802"/>
      <c r="BQ1" s="1802"/>
      <c r="BR1" s="1802"/>
      <c r="BS1" s="1802"/>
      <c r="BT1" s="1802"/>
      <c r="BU1" s="1802"/>
      <c r="BV1" s="1802"/>
      <c r="BW1" s="1802"/>
      <c r="BX1" s="1802"/>
      <c r="BY1" s="1802"/>
      <c r="BZ1" s="1802"/>
      <c r="CA1" s="1802"/>
      <c r="CB1" s="1802"/>
      <c r="CC1" s="1802"/>
      <c r="CD1" s="1802"/>
      <c r="CE1" s="1802"/>
      <c r="CF1" s="1802"/>
      <c r="CG1" s="1802"/>
      <c r="CH1" s="1802"/>
      <c r="CI1" s="1802"/>
      <c r="CJ1" s="1802"/>
      <c r="CK1" s="1802"/>
      <c r="CL1" s="1802"/>
      <c r="CM1" s="1802"/>
      <c r="CN1" s="1802"/>
      <c r="CO1" s="1802"/>
      <c r="CP1" s="1802"/>
      <c r="CQ1" s="1802"/>
      <c r="CR1" s="1802"/>
      <c r="CS1" s="1802"/>
      <c r="CT1" s="1802"/>
      <c r="CU1" s="1802"/>
      <c r="CV1" s="1802"/>
      <c r="CW1" s="1802"/>
      <c r="CX1" s="1802"/>
      <c r="CY1" s="1802"/>
      <c r="CZ1" s="1802"/>
      <c r="DA1" s="1802"/>
      <c r="DB1" s="1802"/>
      <c r="DC1" s="1802"/>
      <c r="DD1" s="1802"/>
      <c r="DE1" s="1802"/>
      <c r="DF1" s="1802"/>
      <c r="DG1" s="1802"/>
      <c r="DH1" s="1802"/>
      <c r="DI1" s="1802"/>
      <c r="DJ1" s="1802"/>
      <c r="DK1" s="1802"/>
      <c r="DL1" s="1802"/>
      <c r="DM1" s="1802"/>
      <c r="DN1" s="1802"/>
      <c r="DO1" s="1802"/>
      <c r="DP1" s="1802"/>
      <c r="DQ1" s="1802"/>
      <c r="DR1" s="1802"/>
      <c r="DS1" s="1802"/>
      <c r="DT1" s="1802"/>
      <c r="DU1" s="1802"/>
      <c r="DV1" s="1802"/>
      <c r="DW1" s="1802"/>
      <c r="DX1" s="1802"/>
      <c r="DY1" s="1802"/>
      <c r="DZ1" s="1802"/>
      <c r="EA1" s="1802"/>
      <c r="EB1" s="1802"/>
      <c r="EC1" s="1802"/>
      <c r="ED1" s="1802"/>
      <c r="EE1" s="1802"/>
      <c r="EF1" s="1802"/>
      <c r="EG1" s="1802"/>
      <c r="EH1" s="1802"/>
      <c r="EI1" s="1802"/>
      <c r="EJ1" s="1802"/>
      <c r="EK1" s="1802"/>
      <c r="EL1" s="1802"/>
      <c r="EM1" s="1802"/>
      <c r="EN1" s="1802"/>
      <c r="EO1" s="1802"/>
      <c r="EP1" s="1802"/>
      <c r="EQ1" s="1802"/>
      <c r="ER1" s="1802"/>
      <c r="ES1" s="1802"/>
      <c r="ET1" s="1802"/>
      <c r="EU1" s="1802"/>
      <c r="EV1" s="1802"/>
      <c r="EW1" s="1802"/>
      <c r="EX1" s="1802"/>
      <c r="EY1" s="1802"/>
      <c r="EZ1" s="1802"/>
      <c r="FA1" s="1802"/>
      <c r="FB1" s="1802"/>
      <c r="FC1" s="1802"/>
      <c r="FD1" s="1802"/>
      <c r="FE1" s="1802"/>
      <c r="FF1" s="1802"/>
      <c r="FG1" s="1802"/>
      <c r="FH1" s="1802"/>
      <c r="FI1" s="1802"/>
      <c r="FJ1" s="1802"/>
      <c r="FK1" s="1802"/>
      <c r="FL1" s="1802"/>
      <c r="FM1" s="1802"/>
      <c r="FN1" s="1802"/>
      <c r="FO1" s="1802"/>
      <c r="FP1" s="1802"/>
      <c r="FQ1" s="1802"/>
      <c r="FR1" s="1802"/>
      <c r="FS1" s="1802"/>
      <c r="FT1" s="1802"/>
      <c r="FU1" s="1802"/>
      <c r="FV1" s="1802"/>
      <c r="FW1" s="1802"/>
      <c r="FX1" s="1802"/>
      <c r="FY1" s="1802"/>
      <c r="FZ1" s="1802"/>
      <c r="GA1" s="1802"/>
      <c r="GB1" s="1802"/>
      <c r="GC1" s="1802"/>
      <c r="GD1" s="1802"/>
      <c r="GE1" s="1802"/>
      <c r="GF1" s="1802"/>
      <c r="GG1" s="1802"/>
      <c r="GH1" s="1802"/>
      <c r="GI1" s="1802"/>
      <c r="GJ1" s="1802"/>
      <c r="GK1" s="1802"/>
      <c r="GL1" s="1802"/>
      <c r="GM1" s="1802"/>
      <c r="GN1" s="1802"/>
      <c r="GO1" s="1802"/>
      <c r="GP1" s="1802"/>
      <c r="GQ1" s="1802"/>
      <c r="GR1" s="1802"/>
      <c r="GS1" s="1802"/>
      <c r="GT1" s="1802"/>
      <c r="GU1" s="1802"/>
      <c r="GV1" s="1802"/>
      <c r="GW1" s="1802"/>
      <c r="GX1" s="1802"/>
      <c r="GY1" s="1802"/>
      <c r="GZ1" s="1802"/>
      <c r="HA1" s="1802"/>
      <c r="HB1" s="1802"/>
      <c r="HC1" s="1802"/>
      <c r="HD1" s="1802"/>
      <c r="HE1" s="1802"/>
      <c r="HF1" s="1802"/>
      <c r="HG1" s="1802"/>
      <c r="HH1" s="1802"/>
      <c r="HI1" s="1802"/>
      <c r="HJ1" s="1802"/>
      <c r="HK1" s="1802"/>
      <c r="HL1" s="1802"/>
      <c r="HM1" s="1802"/>
      <c r="HN1" s="1802"/>
      <c r="HO1" s="1802"/>
      <c r="HP1" s="1802"/>
      <c r="HQ1" s="1802"/>
      <c r="HR1" s="1802"/>
      <c r="HS1" s="1802"/>
      <c r="HT1" s="1802"/>
      <c r="HU1" s="1802"/>
      <c r="HV1" s="1802"/>
      <c r="HW1" s="1802"/>
      <c r="HX1" s="1802"/>
      <c r="HY1" s="1802"/>
      <c r="HZ1" s="1802"/>
      <c r="IA1" s="1802"/>
      <c r="IB1" s="1802"/>
      <c r="IC1" s="1802"/>
      <c r="ID1" s="1802"/>
      <c r="IE1" s="1802"/>
      <c r="IF1" s="1802"/>
      <c r="IG1" s="1802"/>
      <c r="IH1" s="1802"/>
      <c r="II1" s="1802"/>
      <c r="IJ1" s="1802"/>
      <c r="IK1" s="1802"/>
      <c r="IL1" s="1802"/>
      <c r="IM1" s="1802"/>
      <c r="IN1" s="1802"/>
      <c r="IO1" s="1802"/>
      <c r="IP1" s="1802"/>
      <c r="IQ1" s="1802"/>
      <c r="IR1" s="1802"/>
      <c r="IS1" s="1802"/>
      <c r="IT1" s="1802"/>
      <c r="IU1" s="1802"/>
      <c r="IV1" s="1802"/>
      <c r="IW1" s="1803"/>
    </row>
    <row r="2" spans="1:257" ht="15" thickTop="1" thickBot="1">
      <c r="A2" s="1742"/>
      <c r="B2" s="1742"/>
      <c r="C2" s="1742"/>
      <c r="D2" s="1742" t="s">
        <v>1188</v>
      </c>
      <c r="E2" s="1742"/>
      <c r="F2" s="1742" t="s">
        <v>1189</v>
      </c>
      <c r="G2" s="1743"/>
      <c r="H2" s="1742"/>
      <c r="I2" s="1742"/>
      <c r="J2" s="1742"/>
      <c r="K2" s="1742"/>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c r="BP2" s="1742"/>
      <c r="BQ2" s="1742"/>
      <c r="BR2" s="1742"/>
      <c r="BS2" s="1742"/>
      <c r="BT2" s="1742"/>
      <c r="BU2" s="1742"/>
      <c r="BV2" s="1742"/>
      <c r="BW2" s="1742"/>
      <c r="BX2" s="1742"/>
      <c r="BY2" s="1742"/>
      <c r="BZ2" s="1742"/>
      <c r="CA2" s="1742"/>
      <c r="CB2" s="1742"/>
      <c r="CC2" s="1742"/>
      <c r="CD2" s="1742"/>
      <c r="CE2" s="1742"/>
      <c r="CF2" s="1742"/>
      <c r="CG2" s="1742"/>
      <c r="CH2" s="1742"/>
      <c r="CI2" s="1742"/>
      <c r="CJ2" s="1742"/>
      <c r="CK2" s="1742"/>
      <c r="CL2" s="1742"/>
      <c r="CM2" s="1742"/>
      <c r="CN2" s="1742"/>
      <c r="CO2" s="1742"/>
      <c r="CP2" s="1742"/>
      <c r="CQ2" s="1742"/>
      <c r="CR2" s="1742"/>
      <c r="CS2" s="1742"/>
      <c r="CT2" s="1742"/>
      <c r="CU2" s="1742"/>
      <c r="CV2" s="1742"/>
      <c r="CW2" s="1742"/>
      <c r="CX2" s="1742"/>
      <c r="CY2" s="1742"/>
      <c r="CZ2" s="1742"/>
      <c r="DA2" s="1742"/>
      <c r="DB2" s="1742"/>
      <c r="DC2" s="1742"/>
      <c r="DD2" s="1742"/>
      <c r="DE2" s="1742"/>
      <c r="DF2" s="1742"/>
      <c r="DG2" s="1742"/>
      <c r="DH2" s="1742"/>
      <c r="DI2" s="1742"/>
      <c r="DJ2" s="1742"/>
      <c r="DK2" s="1742"/>
      <c r="DL2" s="1742"/>
      <c r="DM2" s="1742"/>
      <c r="DN2" s="1742"/>
      <c r="DO2" s="1742"/>
      <c r="DP2" s="1742"/>
      <c r="DQ2" s="1742"/>
      <c r="DR2" s="1742"/>
      <c r="DS2" s="1742"/>
      <c r="DT2" s="1742"/>
      <c r="DU2" s="1742"/>
      <c r="DV2" s="1742"/>
      <c r="DW2" s="1742"/>
      <c r="DX2" s="1742"/>
      <c r="DY2" s="1742"/>
      <c r="DZ2" s="1742"/>
      <c r="EA2" s="1742"/>
      <c r="EB2" s="1742"/>
      <c r="EC2" s="1742"/>
      <c r="ED2" s="1742"/>
      <c r="EE2" s="1742"/>
      <c r="EF2" s="1742"/>
      <c r="EG2" s="1742"/>
      <c r="EH2" s="1742"/>
      <c r="EI2" s="1742"/>
      <c r="EJ2" s="1742"/>
      <c r="EK2" s="1742"/>
      <c r="EL2" s="1742"/>
      <c r="EM2" s="1742"/>
      <c r="EN2" s="1742"/>
      <c r="EO2" s="1742"/>
      <c r="EP2" s="1742"/>
      <c r="EQ2" s="1742"/>
      <c r="ER2" s="1742"/>
      <c r="ES2" s="1742"/>
      <c r="ET2" s="1742"/>
      <c r="EU2" s="1742"/>
      <c r="EV2" s="1742"/>
      <c r="EW2" s="1742"/>
      <c r="EX2" s="1742"/>
      <c r="EY2" s="1742"/>
      <c r="EZ2" s="1742"/>
      <c r="FA2" s="1742"/>
      <c r="FB2" s="1742"/>
      <c r="FC2" s="1742"/>
      <c r="FD2" s="1742"/>
      <c r="FE2" s="1742"/>
      <c r="FF2" s="1742"/>
      <c r="FG2" s="1742"/>
      <c r="FH2" s="1742"/>
      <c r="FI2" s="1742"/>
      <c r="FJ2" s="1742"/>
      <c r="FK2" s="1742"/>
      <c r="FL2" s="1742"/>
      <c r="FM2" s="1742"/>
      <c r="FN2" s="1742"/>
      <c r="FO2" s="1742"/>
      <c r="FP2" s="1742"/>
      <c r="FQ2" s="1742"/>
      <c r="FR2" s="1742"/>
      <c r="FS2" s="1742"/>
      <c r="FT2" s="1742"/>
      <c r="FU2" s="1742"/>
      <c r="FV2" s="1742"/>
      <c r="FW2" s="1742"/>
      <c r="FX2" s="1742"/>
      <c r="FY2" s="1742"/>
      <c r="FZ2" s="1742"/>
      <c r="GA2" s="1742"/>
      <c r="GB2" s="1742"/>
      <c r="GC2" s="1742"/>
      <c r="GD2" s="1742"/>
      <c r="GE2" s="1742"/>
      <c r="GF2" s="1742"/>
      <c r="GG2" s="1742"/>
      <c r="GH2" s="1742"/>
      <c r="GI2" s="1742"/>
      <c r="GJ2" s="1742"/>
      <c r="GK2" s="1742"/>
      <c r="GL2" s="1742"/>
      <c r="GM2" s="1742"/>
      <c r="GN2" s="1742"/>
      <c r="GO2" s="1742"/>
      <c r="GP2" s="1742"/>
      <c r="GQ2" s="1742"/>
      <c r="GR2" s="1742"/>
      <c r="GS2" s="1742"/>
      <c r="GT2" s="1742"/>
      <c r="GU2" s="1742"/>
      <c r="GV2" s="1742"/>
      <c r="GW2" s="1742"/>
      <c r="GX2" s="1742"/>
      <c r="GY2" s="1742"/>
      <c r="GZ2" s="1742"/>
      <c r="HA2" s="1742"/>
      <c r="HB2" s="1742"/>
      <c r="HC2" s="1742"/>
      <c r="HD2" s="1742"/>
      <c r="HE2" s="1742"/>
      <c r="HF2" s="1742"/>
      <c r="HG2" s="1742"/>
      <c r="HH2" s="1742"/>
      <c r="HI2" s="1742"/>
      <c r="HJ2" s="1742"/>
      <c r="HK2" s="1742"/>
      <c r="HL2" s="1742"/>
      <c r="HM2" s="1742"/>
      <c r="HN2" s="1742"/>
      <c r="HO2" s="1742"/>
      <c r="HP2" s="1742"/>
      <c r="HQ2" s="1742"/>
      <c r="HR2" s="1742"/>
      <c r="HS2" s="1742"/>
      <c r="HT2" s="1742"/>
      <c r="HU2" s="1742"/>
      <c r="HV2" s="1742"/>
      <c r="HW2" s="1742"/>
      <c r="HX2" s="1742"/>
      <c r="HY2" s="1742"/>
      <c r="HZ2" s="1742"/>
      <c r="IA2" s="1742"/>
      <c r="IB2" s="1742"/>
      <c r="IC2" s="1742"/>
      <c r="ID2" s="1742"/>
      <c r="IE2" s="1742"/>
      <c r="IF2" s="1742"/>
      <c r="IG2" s="1742"/>
      <c r="IH2" s="1742"/>
      <c r="II2" s="1742"/>
      <c r="IJ2" s="1742"/>
      <c r="IK2" s="1742"/>
      <c r="IL2" s="1742"/>
      <c r="IM2" s="1742"/>
      <c r="IN2" s="1742"/>
      <c r="IO2" s="1742"/>
      <c r="IP2" s="1742"/>
      <c r="IQ2" s="1742"/>
      <c r="IR2" s="1742"/>
      <c r="IS2" s="1742"/>
      <c r="IT2" s="1742"/>
      <c r="IU2" s="1742"/>
      <c r="IV2" s="1742"/>
      <c r="IW2" s="1742"/>
    </row>
    <row r="3" spans="1:257">
      <c r="B3" s="1745" t="s">
        <v>1190</v>
      </c>
      <c r="C3" s="1746">
        <v>0</v>
      </c>
      <c r="D3" s="1747">
        <f ca="1">INDIRECT("d"&amp;$J$1)</f>
        <v>4.3499999999999996</v>
      </c>
      <c r="E3" s="1748">
        <v>0.5</v>
      </c>
      <c r="F3" s="1749">
        <f ca="1">INDIRECT("p"&amp;$L$1)</f>
        <v>1.3</v>
      </c>
      <c r="G3" s="1744"/>
      <c r="H3" s="1744"/>
      <c r="I3" s="1744"/>
      <c r="J3" s="1744"/>
      <c r="L3" s="1744"/>
      <c r="M3" s="1744"/>
      <c r="N3" s="1744"/>
      <c r="O3" s="1744"/>
      <c r="P3" s="1744"/>
      <c r="Q3" s="1744"/>
      <c r="R3" s="1744"/>
      <c r="S3" s="1744"/>
      <c r="T3" s="1744"/>
      <c r="U3" s="1744"/>
      <c r="V3" s="1744"/>
      <c r="W3" s="1744"/>
      <c r="X3" s="1744"/>
      <c r="Y3" s="1744"/>
      <c r="Z3" s="1744"/>
    </row>
    <row r="4" spans="1:257">
      <c r="B4" s="1751" t="s">
        <v>1191</v>
      </c>
      <c r="C4" s="1752">
        <v>0.5</v>
      </c>
      <c r="D4" s="1753">
        <f ca="1">INDIRECT("e"&amp;$J$1)</f>
        <v>4.3499999999999996</v>
      </c>
      <c r="E4" s="1754">
        <v>1</v>
      </c>
      <c r="F4" s="1755">
        <f ca="1">INDIRECT("q"&amp;$L$1)</f>
        <v>1.5</v>
      </c>
      <c r="G4" s="1744"/>
      <c r="H4" s="1744"/>
      <c r="I4" s="1744"/>
      <c r="J4" s="1744"/>
      <c r="L4" s="1744"/>
      <c r="M4" s="1744"/>
      <c r="N4" s="1744"/>
      <c r="O4" s="1744"/>
      <c r="P4" s="1744"/>
      <c r="Q4" s="1744"/>
      <c r="R4" s="1744"/>
      <c r="S4" s="1744"/>
      <c r="T4" s="1744"/>
      <c r="U4" s="1744"/>
      <c r="V4" s="1744"/>
      <c r="W4" s="1744"/>
      <c r="X4" s="1744"/>
      <c r="Y4" s="1744"/>
      <c r="Z4" s="1744"/>
    </row>
    <row r="5" spans="1:257">
      <c r="B5" s="1751" t="s">
        <v>1192</v>
      </c>
      <c r="C5" s="1752">
        <v>1</v>
      </c>
      <c r="D5" s="1753">
        <f ca="1">INDIRECT("f"&amp;$J$1)</f>
        <v>4.75</v>
      </c>
      <c r="E5" s="1754">
        <v>2</v>
      </c>
      <c r="F5" s="1755">
        <f ca="1">INDIRECT("r"&amp;$L$1)</f>
        <v>2.1</v>
      </c>
      <c r="G5" s="1744"/>
      <c r="H5" s="1744"/>
      <c r="I5" s="1744"/>
      <c r="J5" s="1744"/>
      <c r="L5" s="1744"/>
      <c r="M5" s="1744"/>
      <c r="N5" s="1744"/>
      <c r="O5" s="1744"/>
      <c r="P5" s="1744"/>
      <c r="Q5" s="1744"/>
      <c r="R5" s="1744"/>
      <c r="S5" s="1744"/>
      <c r="T5" s="1744"/>
      <c r="U5" s="1744"/>
      <c r="V5" s="1744"/>
      <c r="W5" s="1744"/>
      <c r="X5" s="1744"/>
      <c r="Y5" s="1744"/>
      <c r="Z5" s="1744"/>
    </row>
    <row r="6" spans="1:257">
      <c r="B6" s="1751" t="s">
        <v>1193</v>
      </c>
      <c r="C6" s="1752">
        <v>3</v>
      </c>
      <c r="D6" s="1753">
        <f ca="1">INDIRECT("g"&amp;$J$1)</f>
        <v>4.75</v>
      </c>
      <c r="E6" s="1754">
        <v>3</v>
      </c>
      <c r="F6" s="1755">
        <f ca="1">INDIRECT("s"&amp;$L$1)</f>
        <v>2.75</v>
      </c>
      <c r="G6" s="1744"/>
      <c r="H6" s="1744"/>
      <c r="I6" s="1744"/>
      <c r="J6" s="1744"/>
      <c r="L6" s="1744"/>
      <c r="M6" s="1744"/>
      <c r="N6" s="1744"/>
      <c r="O6" s="1744"/>
      <c r="P6" s="1744"/>
      <c r="Q6" s="1744"/>
      <c r="R6" s="1744"/>
      <c r="S6" s="1744"/>
      <c r="T6" s="1744"/>
      <c r="U6" s="1744"/>
      <c r="V6" s="1744"/>
      <c r="W6" s="1744"/>
      <c r="X6" s="1744"/>
      <c r="Y6" s="1744"/>
      <c r="Z6" s="1744"/>
    </row>
    <row r="7" spans="1:257" ht="14.25" thickBot="1">
      <c r="B7" s="1756" t="s">
        <v>1194</v>
      </c>
      <c r="C7" s="1757">
        <v>5</v>
      </c>
      <c r="D7" s="1758">
        <f ca="1">INDIRECT("h"&amp;$J$1)</f>
        <v>4.9000000000000004</v>
      </c>
      <c r="E7" s="1759">
        <v>5</v>
      </c>
      <c r="F7" s="1760">
        <f ca="1">INDIRECT("t"&amp;$L$1)</f>
        <v>0</v>
      </c>
      <c r="G7" s="1744"/>
      <c r="H7" s="1744"/>
      <c r="I7" s="1744"/>
      <c r="J7" s="1744"/>
      <c r="L7" s="1744"/>
      <c r="M7" s="1744"/>
      <c r="N7" s="1744"/>
      <c r="O7" s="1744"/>
      <c r="P7" s="1744"/>
      <c r="Q7" s="1744"/>
      <c r="R7" s="1744"/>
      <c r="S7" s="1744"/>
      <c r="T7" s="1744"/>
      <c r="U7" s="1744"/>
      <c r="V7" s="1744"/>
      <c r="W7" s="1744"/>
      <c r="X7" s="1744"/>
      <c r="Y7" s="1744"/>
      <c r="Z7" s="1744"/>
    </row>
    <row r="8" spans="1:257">
      <c r="A8" s="1761"/>
      <c r="B8" s="1762"/>
      <c r="C8" s="1763"/>
      <c r="D8" s="1744"/>
      <c r="E8" s="1744"/>
      <c r="F8" s="1744"/>
      <c r="G8" s="1744"/>
      <c r="H8" s="1744"/>
      <c r="I8" s="1744"/>
      <c r="J8" s="1744"/>
      <c r="L8" s="1744"/>
      <c r="M8" s="1744"/>
      <c r="N8" s="1744"/>
      <c r="O8" s="1744"/>
      <c r="P8" s="1744"/>
      <c r="Q8" s="1744"/>
      <c r="R8" s="1744"/>
      <c r="S8" s="1744"/>
      <c r="T8" s="1744"/>
      <c r="U8" s="1744"/>
      <c r="V8" s="1744"/>
      <c r="W8" s="1744"/>
      <c r="X8" s="1744"/>
      <c r="Y8" s="1744"/>
      <c r="Z8" s="1744"/>
    </row>
    <row r="9" spans="1:257" ht="20.25">
      <c r="A9" s="1764"/>
      <c r="B9" s="1765" t="s">
        <v>1195</v>
      </c>
      <c r="C9" s="1766"/>
      <c r="D9" s="1767"/>
      <c r="E9" s="1767"/>
      <c r="F9" s="1767"/>
      <c r="G9" s="1767"/>
      <c r="H9" s="1767"/>
      <c r="I9" s="1767"/>
      <c r="J9" s="1767"/>
      <c r="K9" s="1767"/>
      <c r="L9" s="1767"/>
      <c r="M9" s="1767"/>
      <c r="N9" s="1767"/>
      <c r="O9" s="1767"/>
      <c r="P9" s="1767"/>
      <c r="Q9" s="1767"/>
      <c r="R9" s="1767"/>
      <c r="S9" s="1767"/>
      <c r="T9" s="1767"/>
      <c r="U9" s="1767"/>
      <c r="V9" s="1767"/>
      <c r="W9" s="1767"/>
      <c r="X9" s="1767"/>
      <c r="Y9" s="1767"/>
      <c r="Z9" s="1767"/>
      <c r="AA9" s="1768"/>
      <c r="AB9" s="1768"/>
      <c r="AC9" s="1768"/>
      <c r="AD9" s="1768"/>
      <c r="AE9" s="1768"/>
      <c r="AF9" s="1768"/>
      <c r="AG9" s="1768"/>
      <c r="AH9" s="1768"/>
      <c r="AI9" s="1768"/>
      <c r="AJ9" s="1768"/>
      <c r="AK9" s="1768"/>
      <c r="AL9" s="1768"/>
      <c r="AM9" s="1768"/>
      <c r="AN9" s="1768"/>
      <c r="AO9" s="1768"/>
      <c r="AP9" s="1768"/>
      <c r="AQ9" s="1768"/>
      <c r="AR9" s="1768"/>
      <c r="AS9" s="1768"/>
      <c r="AT9" s="1768"/>
      <c r="AU9" s="1768"/>
      <c r="AV9" s="1768"/>
      <c r="AW9" s="1768"/>
      <c r="AX9" s="1768"/>
      <c r="AY9" s="1768"/>
      <c r="AZ9" s="1768"/>
      <c r="BA9" s="1768"/>
      <c r="BB9" s="1768"/>
      <c r="BC9" s="1768"/>
      <c r="BD9" s="1768"/>
      <c r="BE9" s="1768"/>
      <c r="BF9" s="1768"/>
      <c r="BG9" s="1768"/>
      <c r="BH9" s="1768"/>
      <c r="BI9" s="1768"/>
      <c r="BJ9" s="1768"/>
      <c r="BK9" s="1768"/>
      <c r="BL9" s="1768"/>
      <c r="BM9" s="1768"/>
      <c r="BN9" s="1768"/>
      <c r="BO9" s="1768"/>
      <c r="BP9" s="1768"/>
      <c r="BQ9" s="1768"/>
      <c r="BR9" s="1768"/>
      <c r="BS9" s="1768"/>
      <c r="BT9" s="1768"/>
      <c r="BU9" s="1768"/>
      <c r="BV9" s="1768"/>
      <c r="BW9" s="1768"/>
      <c r="BX9" s="1768"/>
      <c r="BY9" s="1768"/>
      <c r="BZ9" s="1768"/>
      <c r="CA9" s="1768"/>
      <c r="CB9" s="1768"/>
      <c r="CC9" s="1768"/>
      <c r="CD9" s="1768"/>
      <c r="CE9" s="1768"/>
      <c r="CF9" s="1768"/>
      <c r="CG9" s="1768"/>
      <c r="CH9" s="1768"/>
      <c r="CI9" s="1768"/>
      <c r="CJ9" s="1768"/>
      <c r="CK9" s="1768"/>
      <c r="CL9" s="1768"/>
      <c r="CM9" s="1768"/>
      <c r="CN9" s="1768"/>
      <c r="CO9" s="1768"/>
      <c r="CP9" s="1768"/>
      <c r="CQ9" s="1768"/>
      <c r="CR9" s="1768"/>
      <c r="CS9" s="1768"/>
      <c r="CT9" s="1768"/>
      <c r="CU9" s="1768"/>
      <c r="CV9" s="1768"/>
      <c r="CW9" s="1768"/>
      <c r="CX9" s="1768"/>
      <c r="CY9" s="1768"/>
      <c r="CZ9" s="1768"/>
      <c r="DA9" s="1768"/>
      <c r="DB9" s="1768"/>
      <c r="DC9" s="1768"/>
      <c r="DD9" s="1768"/>
      <c r="DE9" s="1768"/>
      <c r="DF9" s="1768"/>
      <c r="DG9" s="1768"/>
      <c r="DH9" s="1768"/>
      <c r="DI9" s="1768"/>
      <c r="DJ9" s="1768"/>
      <c r="DK9" s="1768"/>
      <c r="DL9" s="1768"/>
      <c r="DM9" s="1768"/>
      <c r="DN9" s="1768"/>
      <c r="DO9" s="1768"/>
      <c r="DP9" s="1768"/>
      <c r="DQ9" s="1768"/>
      <c r="DR9" s="1768"/>
      <c r="DS9" s="1768"/>
      <c r="DT9" s="1768"/>
      <c r="DU9" s="1768"/>
      <c r="DV9" s="1768"/>
      <c r="DW9" s="1768"/>
      <c r="DX9" s="1768"/>
      <c r="DY9" s="1768"/>
      <c r="DZ9" s="1768"/>
      <c r="EA9" s="1768"/>
      <c r="EB9" s="1768"/>
      <c r="EC9" s="1768"/>
      <c r="ED9" s="1768"/>
      <c r="EE9" s="1768"/>
      <c r="EF9" s="1768"/>
      <c r="EG9" s="1768"/>
      <c r="EH9" s="1768"/>
      <c r="EI9" s="1768"/>
      <c r="EJ9" s="1768"/>
      <c r="EK9" s="1768"/>
      <c r="EL9" s="1768"/>
      <c r="EM9" s="1768"/>
      <c r="EN9" s="1768"/>
      <c r="EO9" s="1768"/>
      <c r="EP9" s="1768"/>
      <c r="EQ9" s="1768"/>
      <c r="ER9" s="1768"/>
      <c r="ES9" s="1768"/>
      <c r="ET9" s="1768"/>
      <c r="EU9" s="1768"/>
      <c r="EV9" s="1768"/>
      <c r="EW9" s="1768"/>
      <c r="EX9" s="1768"/>
      <c r="EY9" s="1768"/>
      <c r="EZ9" s="1768"/>
      <c r="FA9" s="1768"/>
      <c r="FB9" s="1768"/>
      <c r="FC9" s="1768"/>
      <c r="FD9" s="1768"/>
      <c r="FE9" s="1768"/>
      <c r="FF9" s="1768"/>
      <c r="FG9" s="1768"/>
      <c r="FH9" s="1768"/>
      <c r="FI9" s="1768"/>
      <c r="FJ9" s="1768"/>
      <c r="FK9" s="1768"/>
      <c r="FL9" s="1768"/>
      <c r="FM9" s="1768"/>
      <c r="FN9" s="1768"/>
      <c r="FO9" s="1768"/>
      <c r="FP9" s="1768"/>
      <c r="FQ9" s="1768"/>
      <c r="FR9" s="1768"/>
      <c r="FS9" s="1768"/>
      <c r="FT9" s="1768"/>
      <c r="FU9" s="1768"/>
      <c r="FV9" s="1768"/>
      <c r="FW9" s="1768"/>
      <c r="FX9" s="1768"/>
      <c r="FY9" s="1768"/>
      <c r="FZ9" s="1768"/>
      <c r="GA9" s="1768"/>
      <c r="GB9" s="1768"/>
      <c r="GC9" s="1768"/>
      <c r="GD9" s="1768"/>
      <c r="GE9" s="1768"/>
      <c r="GF9" s="1768"/>
      <c r="GG9" s="1768"/>
      <c r="GH9" s="1768"/>
      <c r="GI9" s="1768"/>
      <c r="GJ9" s="1768"/>
      <c r="GK9" s="1768"/>
      <c r="GL9" s="1768"/>
      <c r="GM9" s="1768"/>
      <c r="GN9" s="1768"/>
      <c r="GO9" s="1768"/>
      <c r="GP9" s="1768"/>
      <c r="GQ9" s="1768"/>
      <c r="GR9" s="1768"/>
      <c r="GS9" s="1768"/>
      <c r="GT9" s="1768"/>
      <c r="GU9" s="1768"/>
      <c r="GV9" s="1768"/>
      <c r="GW9" s="1768"/>
      <c r="GX9" s="1768"/>
      <c r="GY9" s="1768"/>
      <c r="GZ9" s="1768"/>
      <c r="HA9" s="1768"/>
      <c r="HB9" s="1768"/>
      <c r="HC9" s="1768"/>
      <c r="HD9" s="1768"/>
      <c r="HE9" s="1768"/>
      <c r="HF9" s="1768"/>
      <c r="HG9" s="1768"/>
      <c r="HH9" s="1768"/>
      <c r="HI9" s="1768"/>
      <c r="HJ9" s="1768"/>
      <c r="HK9" s="1768"/>
      <c r="HL9" s="1768"/>
      <c r="HM9" s="1768"/>
      <c r="HN9" s="1768"/>
      <c r="HO9" s="1768"/>
      <c r="HP9" s="1768"/>
      <c r="HQ9" s="1768"/>
      <c r="HR9" s="1768"/>
      <c r="HS9" s="1768"/>
      <c r="HT9" s="1768"/>
      <c r="HU9" s="1768"/>
      <c r="HV9" s="1768"/>
      <c r="HW9" s="1768"/>
      <c r="HX9" s="1768"/>
      <c r="HY9" s="1768"/>
      <c r="HZ9" s="1768"/>
      <c r="IA9" s="1768"/>
      <c r="IB9" s="1768"/>
      <c r="IC9" s="1768"/>
      <c r="ID9" s="1768"/>
      <c r="IE9" s="1768"/>
      <c r="IF9" s="1768"/>
      <c r="IG9" s="1768"/>
      <c r="IH9" s="1768"/>
      <c r="II9" s="1768"/>
      <c r="IJ9" s="1768"/>
      <c r="IK9" s="1768"/>
      <c r="IL9" s="1768"/>
      <c r="IM9" s="1768"/>
      <c r="IN9" s="1768"/>
      <c r="IO9" s="1768"/>
      <c r="IP9" s="1768"/>
      <c r="IQ9" s="1768"/>
      <c r="IR9" s="1768"/>
      <c r="IS9" s="1768"/>
      <c r="IT9" s="1768"/>
      <c r="IU9" s="1768"/>
      <c r="IV9" s="1768"/>
      <c r="IW9" s="1769"/>
    </row>
    <row r="10" spans="1:257" ht="22.5">
      <c r="A10" s="1770"/>
      <c r="B10" s="1771" t="s">
        <v>1196</v>
      </c>
      <c r="C10" s="1770"/>
      <c r="D10" s="1770"/>
      <c r="E10" s="1770"/>
      <c r="F10" s="1770"/>
      <c r="G10" s="1770"/>
      <c r="H10" s="1770"/>
      <c r="I10" s="1744"/>
      <c r="J10" s="1744"/>
      <c r="K10" s="1770"/>
      <c r="L10" s="1771" t="s">
        <v>1197</v>
      </c>
      <c r="M10" s="1770"/>
      <c r="N10" s="1770"/>
      <c r="O10" s="1770"/>
      <c r="P10" s="1770"/>
      <c r="Q10" s="1770"/>
      <c r="R10" s="1770"/>
      <c r="S10" s="1770"/>
      <c r="T10" s="1770"/>
      <c r="U10" s="1770"/>
      <c r="V10" s="1770"/>
      <c r="W10" s="1770"/>
      <c r="X10" s="1770"/>
      <c r="Y10" s="1770"/>
      <c r="Z10" s="1770"/>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2"/>
      <c r="BW10" s="1772"/>
      <c r="BX10" s="1772"/>
      <c r="BY10" s="1772"/>
      <c r="BZ10" s="1772"/>
      <c r="CA10" s="1772"/>
      <c r="CB10" s="1772"/>
      <c r="CC10" s="1772"/>
      <c r="CD10" s="1772"/>
      <c r="CE10" s="1772"/>
      <c r="CF10" s="1772"/>
      <c r="CG10" s="1772"/>
      <c r="CH10" s="1772"/>
      <c r="CI10" s="1772"/>
      <c r="CJ10" s="1772"/>
      <c r="CK10" s="1772"/>
      <c r="CL10" s="1772"/>
      <c r="CM10" s="1772"/>
      <c r="CN10" s="1772"/>
      <c r="CO10" s="1772"/>
      <c r="CP10" s="1772"/>
      <c r="CQ10" s="1772"/>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2"/>
      <c r="DN10" s="1772"/>
      <c r="DO10" s="1772"/>
      <c r="DP10" s="1772"/>
      <c r="DQ10" s="1772"/>
      <c r="DR10" s="1772"/>
      <c r="DS10" s="1772"/>
      <c r="DT10" s="1772"/>
      <c r="DU10" s="1772"/>
      <c r="DV10" s="1772"/>
      <c r="DW10" s="1772"/>
      <c r="DX10" s="1772"/>
      <c r="DY10" s="1772"/>
      <c r="DZ10" s="1772"/>
      <c r="EA10" s="1772"/>
      <c r="EB10" s="1772"/>
      <c r="EC10" s="1772"/>
      <c r="ED10" s="1772"/>
      <c r="EE10" s="1772"/>
      <c r="EF10" s="1772"/>
      <c r="EG10" s="1772"/>
      <c r="EH10" s="1772"/>
      <c r="EI10" s="1772"/>
      <c r="EJ10" s="1772"/>
      <c r="EK10" s="1772"/>
      <c r="EL10" s="1772"/>
      <c r="EM10" s="1772"/>
      <c r="EN10" s="1772"/>
      <c r="EO10" s="1772"/>
      <c r="EP10" s="1772"/>
      <c r="EQ10" s="1772"/>
      <c r="ER10" s="1772"/>
      <c r="ES10" s="1772"/>
      <c r="ET10" s="1772"/>
      <c r="EU10" s="1772"/>
      <c r="EV10" s="1772"/>
      <c r="EW10" s="1772"/>
      <c r="EX10" s="1772"/>
      <c r="EY10" s="1772"/>
      <c r="EZ10" s="1772"/>
      <c r="FA10" s="1772"/>
      <c r="FB10" s="1772"/>
      <c r="FC10" s="1772"/>
      <c r="FD10" s="1772"/>
      <c r="FE10" s="1772"/>
      <c r="FF10" s="1772"/>
      <c r="FG10" s="1772"/>
      <c r="FH10" s="1772"/>
      <c r="FI10" s="1772"/>
      <c r="FJ10" s="1772"/>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2"/>
      <c r="GG10" s="1772"/>
      <c r="GH10" s="1772"/>
      <c r="GI10" s="1772"/>
      <c r="GJ10" s="1772"/>
      <c r="GK10" s="1772"/>
      <c r="GL10" s="1772"/>
      <c r="GM10" s="1772"/>
      <c r="GN10" s="1772"/>
      <c r="GO10" s="1772"/>
      <c r="GP10" s="1772"/>
      <c r="GQ10" s="1772"/>
      <c r="GR10" s="1772"/>
      <c r="GS10" s="1772"/>
      <c r="GT10" s="1772"/>
      <c r="GU10" s="1772"/>
      <c r="GV10" s="1772"/>
      <c r="GW10" s="1772"/>
      <c r="GX10" s="1772"/>
      <c r="GY10" s="1772"/>
      <c r="GZ10" s="1772"/>
      <c r="HA10" s="1772"/>
      <c r="HB10" s="1772"/>
      <c r="HC10" s="1772"/>
      <c r="HD10" s="1772"/>
      <c r="HE10" s="1772"/>
      <c r="HF10" s="1772"/>
      <c r="HG10" s="1772"/>
      <c r="HH10" s="1772"/>
      <c r="HI10" s="1772"/>
      <c r="HJ10" s="1772"/>
      <c r="HK10" s="1772"/>
      <c r="HL10" s="1772"/>
      <c r="HM10" s="1772"/>
      <c r="HN10" s="1772"/>
      <c r="HO10" s="1772"/>
      <c r="HP10" s="1772"/>
      <c r="HQ10" s="1772"/>
      <c r="HR10" s="1772"/>
      <c r="HS10" s="1772"/>
      <c r="HT10" s="1772"/>
      <c r="HU10" s="1772"/>
      <c r="HV10" s="1772"/>
      <c r="HW10" s="1772"/>
      <c r="HX10" s="1772"/>
      <c r="HY10" s="1772"/>
      <c r="HZ10" s="1772"/>
      <c r="IA10" s="1772"/>
      <c r="IB10" s="1772"/>
      <c r="IC10" s="1772"/>
      <c r="ID10" s="1772"/>
      <c r="IE10" s="1772"/>
      <c r="IF10" s="1772"/>
      <c r="IG10" s="1772"/>
      <c r="IH10" s="1772"/>
      <c r="II10" s="1772"/>
      <c r="IJ10" s="1772"/>
      <c r="IK10" s="1772"/>
      <c r="IL10" s="1772"/>
      <c r="IM10" s="1772"/>
      <c r="IN10" s="1772"/>
      <c r="IO10" s="1772"/>
      <c r="IP10" s="1772"/>
      <c r="IQ10" s="1772"/>
      <c r="IR10" s="1772"/>
      <c r="IS10" s="1772"/>
      <c r="IT10" s="1772"/>
      <c r="IU10" s="1772"/>
      <c r="IV10" s="1772"/>
    </row>
    <row r="11" spans="1:257">
      <c r="A11" s="1773"/>
      <c r="B11" s="1774" t="s">
        <v>1198</v>
      </c>
      <c r="C11" s="1775" t="s">
        <v>1199</v>
      </c>
      <c r="D11" s="1776" t="s">
        <v>1200</v>
      </c>
      <c r="E11" s="1777"/>
      <c r="F11" s="1776" t="s">
        <v>1201</v>
      </c>
      <c r="G11" s="1778"/>
      <c r="H11" s="1777"/>
      <c r="I11" s="1776" t="s">
        <v>1202</v>
      </c>
      <c r="J11" s="1777"/>
      <c r="K11" s="1773"/>
      <c r="L11" s="1774" t="s">
        <v>1198</v>
      </c>
      <c r="M11" s="1775" t="s">
        <v>1199</v>
      </c>
      <c r="N11" s="1774" t="s">
        <v>1203</v>
      </c>
      <c r="O11" s="1776" t="s">
        <v>1204</v>
      </c>
      <c r="P11" s="1778"/>
      <c r="Q11" s="1778"/>
      <c r="R11" s="1778"/>
      <c r="S11" s="1778"/>
      <c r="T11" s="1777"/>
      <c r="U11" s="1776" t="s">
        <v>1205</v>
      </c>
      <c r="V11" s="1778"/>
      <c r="W11" s="1777"/>
      <c r="X11" s="1774" t="s">
        <v>1206</v>
      </c>
      <c r="Y11" s="1774" t="s">
        <v>1207</v>
      </c>
      <c r="Z11" s="1774" t="s">
        <v>1208</v>
      </c>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79"/>
      <c r="CG11" s="1779"/>
      <c r="CH11" s="1779"/>
      <c r="CI11" s="1779"/>
      <c r="CJ11" s="1779"/>
      <c r="CK11" s="1779"/>
      <c r="CL11" s="1779"/>
      <c r="CM11" s="1779"/>
      <c r="CN11" s="1779"/>
      <c r="CO11" s="1779"/>
      <c r="CP11" s="1779"/>
      <c r="CQ11" s="1779"/>
      <c r="CR11" s="1779"/>
      <c r="CS11" s="1779"/>
      <c r="CT11" s="1779"/>
      <c r="CU11" s="1779"/>
      <c r="CV11" s="1779"/>
      <c r="CW11" s="1779"/>
      <c r="CX11" s="1779"/>
      <c r="CY11" s="1779"/>
      <c r="CZ11" s="1779"/>
      <c r="DA11" s="1779"/>
      <c r="DB11" s="1779"/>
      <c r="DC11" s="1779"/>
      <c r="DD11" s="1779"/>
      <c r="DE11" s="1779"/>
      <c r="DF11" s="1779"/>
      <c r="DG11" s="1779"/>
      <c r="DH11" s="1779"/>
      <c r="DI11" s="1779"/>
      <c r="DJ11" s="1779"/>
      <c r="DK11" s="1779"/>
      <c r="DL11" s="1779"/>
      <c r="DM11" s="1779"/>
      <c r="DN11" s="1779"/>
      <c r="DO11" s="1779"/>
      <c r="DP11" s="1779"/>
      <c r="DQ11" s="1779"/>
      <c r="DR11" s="1779"/>
      <c r="DS11" s="1779"/>
      <c r="DT11" s="1779"/>
      <c r="DU11" s="1779"/>
      <c r="DV11" s="1779"/>
      <c r="DW11" s="1779"/>
      <c r="DX11" s="1779"/>
      <c r="DY11" s="1779"/>
      <c r="DZ11" s="1779"/>
      <c r="EA11" s="1779"/>
      <c r="EB11" s="1779"/>
      <c r="EC11" s="1779"/>
      <c r="ED11" s="1779"/>
      <c r="EE11" s="1779"/>
      <c r="EF11" s="1779"/>
      <c r="EG11" s="1779"/>
      <c r="EH11" s="1779"/>
      <c r="EI11" s="1779"/>
      <c r="EJ11" s="1779"/>
      <c r="EK11" s="1779"/>
      <c r="EL11" s="1779"/>
      <c r="EM11" s="1779"/>
      <c r="EN11" s="1779"/>
      <c r="EO11" s="1779"/>
      <c r="EP11" s="1779"/>
      <c r="EQ11" s="1779"/>
      <c r="ER11" s="1779"/>
      <c r="ES11" s="1779"/>
      <c r="ET11" s="1779"/>
      <c r="EU11" s="1779"/>
      <c r="EV11" s="1779"/>
      <c r="EW11" s="1779"/>
      <c r="EX11" s="1779"/>
      <c r="EY11" s="1779"/>
      <c r="EZ11" s="1779"/>
      <c r="FA11" s="1779"/>
      <c r="FB11" s="1779"/>
      <c r="FC11" s="1779"/>
      <c r="FD11" s="1779"/>
      <c r="FE11" s="1779"/>
      <c r="FF11" s="1779"/>
      <c r="FG11" s="1779"/>
      <c r="FH11" s="1779"/>
      <c r="FI11" s="1779"/>
      <c r="FJ11" s="1779"/>
      <c r="FK11" s="1779"/>
      <c r="FL11" s="1779"/>
      <c r="FM11" s="1779"/>
      <c r="FN11" s="1779"/>
      <c r="FO11" s="1779"/>
      <c r="FP11" s="1779"/>
      <c r="FQ11" s="1779"/>
      <c r="FR11" s="1779"/>
      <c r="FS11" s="1779"/>
      <c r="FT11" s="1779"/>
      <c r="FU11" s="1779"/>
      <c r="FV11" s="1779"/>
      <c r="FW11" s="1779"/>
      <c r="FX11" s="1779"/>
      <c r="FY11" s="1779"/>
      <c r="FZ11" s="1779"/>
      <c r="GA11" s="1779"/>
      <c r="GB11" s="1779"/>
      <c r="GC11" s="1779"/>
      <c r="GD11" s="1779"/>
      <c r="GE11" s="1779"/>
      <c r="GF11" s="1779"/>
      <c r="GG11" s="1779"/>
      <c r="GH11" s="1779"/>
      <c r="GI11" s="1779"/>
      <c r="GJ11" s="1779"/>
      <c r="GK11" s="1779"/>
      <c r="GL11" s="1779"/>
      <c r="GM11" s="1779"/>
      <c r="GN11" s="1779"/>
      <c r="GO11" s="1779"/>
      <c r="GP11" s="1779"/>
      <c r="GQ11" s="1779"/>
      <c r="GR11" s="1779"/>
      <c r="GS11" s="1779"/>
      <c r="GT11" s="1779"/>
      <c r="GU11" s="1779"/>
      <c r="GV11" s="1779"/>
      <c r="GW11" s="1779"/>
      <c r="GX11" s="1779"/>
      <c r="GY11" s="1779"/>
      <c r="GZ11" s="1779"/>
      <c r="HA11" s="1779"/>
      <c r="HB11" s="1779"/>
      <c r="HC11" s="1779"/>
      <c r="HD11" s="1779"/>
      <c r="HE11" s="1779"/>
      <c r="HF11" s="1779"/>
      <c r="HG11" s="1779"/>
      <c r="HH11" s="1779"/>
      <c r="HI11" s="1779"/>
      <c r="HJ11" s="1779"/>
      <c r="HK11" s="1779"/>
      <c r="HL11" s="1779"/>
      <c r="HM11" s="1779"/>
      <c r="HN11" s="1779"/>
      <c r="HO11" s="1779"/>
      <c r="HP11" s="1779"/>
      <c r="HQ11" s="1779"/>
      <c r="HR11" s="1779"/>
      <c r="HS11" s="1779"/>
      <c r="HT11" s="1779"/>
      <c r="HU11" s="1779"/>
      <c r="HV11" s="1779"/>
      <c r="HW11" s="1779"/>
      <c r="HX11" s="1779"/>
      <c r="HY11" s="1779"/>
      <c r="HZ11" s="1779"/>
      <c r="IA11" s="1779"/>
      <c r="IB11" s="1779"/>
      <c r="IC11" s="1779"/>
      <c r="ID11" s="1779"/>
      <c r="IE11" s="1779"/>
      <c r="IF11" s="1779"/>
      <c r="IG11" s="1779"/>
      <c r="IH11" s="1779"/>
      <c r="II11" s="1779"/>
      <c r="IJ11" s="1779"/>
      <c r="IK11" s="1779"/>
      <c r="IL11" s="1779"/>
      <c r="IM11" s="1779"/>
      <c r="IN11" s="1779"/>
      <c r="IO11" s="1779"/>
      <c r="IP11" s="1779"/>
      <c r="IQ11" s="1779"/>
      <c r="IR11" s="1779"/>
      <c r="IS11" s="1779"/>
      <c r="IT11" s="1779"/>
      <c r="IU11" s="1779"/>
      <c r="IV11" s="1779"/>
    </row>
    <row r="12" spans="1:257">
      <c r="A12" s="1780"/>
      <c r="B12" s="1781"/>
      <c r="C12" s="1782"/>
      <c r="D12" s="1783" t="s">
        <v>1209</v>
      </c>
      <c r="E12" s="1783" t="s">
        <v>1210</v>
      </c>
      <c r="F12" s="1783" t="s">
        <v>1211</v>
      </c>
      <c r="G12" s="1783" t="s">
        <v>1212</v>
      </c>
      <c r="H12" s="1783" t="s">
        <v>1194</v>
      </c>
      <c r="I12" s="1784" t="s">
        <v>1213</v>
      </c>
      <c r="J12" s="1784" t="s">
        <v>1213</v>
      </c>
      <c r="K12" s="1780"/>
      <c r="L12" s="1781"/>
      <c r="M12" s="1782"/>
      <c r="N12" s="1781"/>
      <c r="O12" s="1784" t="s">
        <v>1214</v>
      </c>
      <c r="P12" s="1784">
        <v>0.5</v>
      </c>
      <c r="Q12" s="1784">
        <v>1</v>
      </c>
      <c r="R12" s="1784">
        <v>2</v>
      </c>
      <c r="S12" s="1784">
        <v>3</v>
      </c>
      <c r="T12" s="1784">
        <v>5</v>
      </c>
      <c r="U12" s="1784">
        <v>1</v>
      </c>
      <c r="V12" s="1784">
        <v>3</v>
      </c>
      <c r="W12" s="1784">
        <v>5</v>
      </c>
      <c r="X12" s="1781"/>
      <c r="Y12" s="1781"/>
      <c r="Z12" s="1781"/>
      <c r="AA12" s="1785"/>
      <c r="AB12" s="1785"/>
      <c r="AC12" s="1785"/>
      <c r="AD12" s="1785"/>
      <c r="AE12" s="1785"/>
      <c r="AF12" s="1785"/>
      <c r="AG12" s="1785"/>
      <c r="AH12" s="1785"/>
      <c r="AI12" s="1785"/>
      <c r="AJ12" s="1785"/>
      <c r="AK12" s="1785"/>
      <c r="AL12" s="1785"/>
      <c r="AM12" s="1785"/>
      <c r="AN12" s="1785"/>
      <c r="AO12" s="1785"/>
      <c r="AP12" s="1785"/>
      <c r="AQ12" s="1785"/>
      <c r="AR12" s="1785"/>
      <c r="AS12" s="1785"/>
      <c r="AT12" s="1785"/>
      <c r="AU12" s="1785"/>
      <c r="AV12" s="1785"/>
      <c r="AW12" s="1785"/>
      <c r="AX12" s="1785"/>
      <c r="AY12" s="1785"/>
      <c r="AZ12" s="1785"/>
      <c r="BA12" s="1785"/>
      <c r="BB12" s="1785"/>
      <c r="BC12" s="1785"/>
      <c r="BD12" s="1785"/>
      <c r="BE12" s="1785"/>
      <c r="BF12" s="1785"/>
      <c r="BG12" s="1785"/>
      <c r="BH12" s="1785"/>
      <c r="BI12" s="1785"/>
      <c r="BJ12" s="1785"/>
      <c r="BK12" s="1785"/>
      <c r="BL12" s="1785"/>
      <c r="BM12" s="1785"/>
      <c r="BN12" s="1785"/>
      <c r="BO12" s="1785"/>
      <c r="BP12" s="1785"/>
      <c r="BQ12" s="1785"/>
      <c r="BR12" s="1785"/>
      <c r="BS12" s="1785"/>
      <c r="BT12" s="1785"/>
      <c r="BU12" s="1785"/>
      <c r="BV12" s="1785"/>
      <c r="BW12" s="1785"/>
      <c r="BX12" s="1785"/>
      <c r="BY12" s="1785"/>
      <c r="BZ12" s="1785"/>
      <c r="CA12" s="1785"/>
      <c r="CB12" s="1785"/>
      <c r="CC12" s="1785"/>
      <c r="CD12" s="1785"/>
      <c r="CE12" s="1785"/>
      <c r="CF12" s="1785"/>
      <c r="CG12" s="1785"/>
      <c r="CH12" s="1785"/>
      <c r="CI12" s="1785"/>
      <c r="CJ12" s="1785"/>
      <c r="CK12" s="1785"/>
      <c r="CL12" s="1785"/>
      <c r="CM12" s="1785"/>
      <c r="CN12" s="1785"/>
      <c r="CO12" s="1785"/>
      <c r="CP12" s="1785"/>
      <c r="CQ12" s="1785"/>
      <c r="CR12" s="1785"/>
      <c r="CS12" s="1785"/>
      <c r="CT12" s="1785"/>
      <c r="CU12" s="1785"/>
      <c r="CV12" s="1785"/>
      <c r="CW12" s="1785"/>
      <c r="CX12" s="1785"/>
      <c r="CY12" s="1785"/>
      <c r="CZ12" s="1785"/>
      <c r="DA12" s="1785"/>
      <c r="DB12" s="1785"/>
      <c r="DC12" s="1785"/>
      <c r="DD12" s="1785"/>
      <c r="DE12" s="1785"/>
      <c r="DF12" s="1785"/>
      <c r="DG12" s="1785"/>
      <c r="DH12" s="1785"/>
      <c r="DI12" s="1785"/>
      <c r="DJ12" s="1785"/>
      <c r="DK12" s="1785"/>
      <c r="DL12" s="1785"/>
      <c r="DM12" s="1785"/>
      <c r="DN12" s="1785"/>
      <c r="DO12" s="1785"/>
      <c r="DP12" s="1785"/>
      <c r="DQ12" s="1785"/>
      <c r="DR12" s="1785"/>
      <c r="DS12" s="1785"/>
      <c r="DT12" s="1785"/>
      <c r="DU12" s="1785"/>
      <c r="DV12" s="1785"/>
      <c r="DW12" s="1785"/>
      <c r="DX12" s="1785"/>
      <c r="DY12" s="1785"/>
      <c r="DZ12" s="1785"/>
      <c r="EA12" s="1785"/>
      <c r="EB12" s="1785"/>
      <c r="EC12" s="1785"/>
      <c r="ED12" s="1785"/>
      <c r="EE12" s="1785"/>
      <c r="EF12" s="1785"/>
      <c r="EG12" s="1785"/>
      <c r="EH12" s="1785"/>
      <c r="EI12" s="1785"/>
      <c r="EJ12" s="1785"/>
      <c r="EK12" s="1785"/>
      <c r="EL12" s="1785"/>
      <c r="EM12" s="1785"/>
      <c r="EN12" s="1785"/>
      <c r="EO12" s="1785"/>
      <c r="EP12" s="1785"/>
      <c r="EQ12" s="1785"/>
      <c r="ER12" s="1785"/>
      <c r="ES12" s="1785"/>
      <c r="ET12" s="1785"/>
      <c r="EU12" s="1785"/>
      <c r="EV12" s="1785"/>
      <c r="EW12" s="1785"/>
      <c r="EX12" s="1785"/>
      <c r="EY12" s="1785"/>
      <c r="EZ12" s="1785"/>
      <c r="FA12" s="1785"/>
      <c r="FB12" s="1785"/>
      <c r="FC12" s="1785"/>
      <c r="FD12" s="1785"/>
      <c r="FE12" s="1785"/>
      <c r="FF12" s="1785"/>
      <c r="FG12" s="1785"/>
      <c r="FH12" s="1785"/>
      <c r="FI12" s="1785"/>
      <c r="FJ12" s="1785"/>
      <c r="FK12" s="1785"/>
      <c r="FL12" s="1785"/>
      <c r="FM12" s="1785"/>
      <c r="FN12" s="1785"/>
      <c r="FO12" s="1785"/>
      <c r="FP12" s="1785"/>
      <c r="FQ12" s="1785"/>
      <c r="FR12" s="1785"/>
      <c r="FS12" s="1785"/>
      <c r="FT12" s="1785"/>
      <c r="FU12" s="1785"/>
      <c r="FV12" s="1785"/>
      <c r="FW12" s="1785"/>
      <c r="FX12" s="1785"/>
      <c r="FY12" s="1785"/>
      <c r="FZ12" s="1785"/>
      <c r="GA12" s="1785"/>
      <c r="GB12" s="1785"/>
      <c r="GC12" s="1785"/>
      <c r="GD12" s="1785"/>
      <c r="GE12" s="1785"/>
      <c r="GF12" s="1785"/>
      <c r="GG12" s="1785"/>
      <c r="GH12" s="1785"/>
      <c r="GI12" s="1785"/>
      <c r="GJ12" s="1785"/>
      <c r="GK12" s="1785"/>
      <c r="GL12" s="1785"/>
      <c r="GM12" s="1785"/>
      <c r="GN12" s="1785"/>
      <c r="GO12" s="1785"/>
      <c r="GP12" s="1785"/>
      <c r="GQ12" s="1785"/>
      <c r="GR12" s="1785"/>
      <c r="GS12" s="1785"/>
      <c r="GT12" s="1785"/>
      <c r="GU12" s="1785"/>
      <c r="GV12" s="1785"/>
      <c r="GW12" s="1785"/>
      <c r="GX12" s="1785"/>
      <c r="GY12" s="1785"/>
      <c r="GZ12" s="1785"/>
      <c r="HA12" s="1785"/>
      <c r="HB12" s="1785"/>
      <c r="HC12" s="1785"/>
      <c r="HD12" s="1785"/>
      <c r="HE12" s="1785"/>
      <c r="HF12" s="1785"/>
      <c r="HG12" s="1785"/>
      <c r="HH12" s="1785"/>
      <c r="HI12" s="1785"/>
      <c r="HJ12" s="1785"/>
      <c r="HK12" s="1785"/>
      <c r="HL12" s="1785"/>
      <c r="HM12" s="1785"/>
      <c r="HN12" s="1785"/>
      <c r="HO12" s="1785"/>
      <c r="HP12" s="1785"/>
      <c r="HQ12" s="1785"/>
      <c r="HR12" s="1785"/>
      <c r="HS12" s="1785"/>
      <c r="HT12" s="1785"/>
      <c r="HU12" s="1785"/>
      <c r="HV12" s="1785"/>
      <c r="HW12" s="1785"/>
      <c r="HX12" s="1785"/>
      <c r="HY12" s="1785"/>
      <c r="HZ12" s="1785"/>
      <c r="IA12" s="1785"/>
      <c r="IB12" s="1785"/>
      <c r="IC12" s="1785"/>
      <c r="ID12" s="1785"/>
      <c r="IE12" s="1785"/>
      <c r="IF12" s="1785"/>
      <c r="IG12" s="1785"/>
      <c r="IH12" s="1785"/>
      <c r="II12" s="1785"/>
      <c r="IJ12" s="1785"/>
      <c r="IK12" s="1785"/>
      <c r="IL12" s="1785"/>
      <c r="IM12" s="1785"/>
      <c r="IN12" s="1785"/>
      <c r="IO12" s="1785"/>
      <c r="IP12" s="1785"/>
      <c r="IQ12" s="1785"/>
      <c r="IR12" s="1785"/>
      <c r="IS12" s="1785"/>
      <c r="IT12" s="1785"/>
      <c r="IU12" s="1785"/>
      <c r="IV12" s="1785"/>
    </row>
    <row r="13" spans="1:257" ht="14.25">
      <c r="A13" s="1786"/>
      <c r="B13" s="1787" t="s">
        <v>1215</v>
      </c>
      <c r="C13" s="1788">
        <v>42301</v>
      </c>
      <c r="D13" s="1789">
        <v>4.3499999999999996</v>
      </c>
      <c r="E13" s="1789">
        <v>4.3499999999999996</v>
      </c>
      <c r="F13" s="1789">
        <v>4.75</v>
      </c>
      <c r="G13" s="1789">
        <v>4.75</v>
      </c>
      <c r="H13" s="1789">
        <v>4.9000000000000004</v>
      </c>
      <c r="I13" s="1789">
        <v>2.75</v>
      </c>
      <c r="J13" s="1789">
        <v>3.25</v>
      </c>
      <c r="K13" s="1786"/>
      <c r="L13" s="1787" t="s">
        <v>1215</v>
      </c>
      <c r="M13" s="1790">
        <v>42301</v>
      </c>
      <c r="N13" s="1789">
        <v>0.35</v>
      </c>
      <c r="O13" s="1789">
        <v>1.1000000000000001</v>
      </c>
      <c r="P13" s="1789">
        <v>1.3</v>
      </c>
      <c r="Q13" s="1789">
        <v>1.5</v>
      </c>
      <c r="R13" s="1789">
        <v>2.1</v>
      </c>
      <c r="S13" s="1789">
        <v>2.75</v>
      </c>
      <c r="T13" s="1789"/>
      <c r="U13" s="1789"/>
      <c r="V13" s="1789"/>
      <c r="W13" s="1789"/>
      <c r="X13" s="1789"/>
      <c r="Y13" s="1789"/>
      <c r="Z13" s="1789"/>
      <c r="AA13" s="1791"/>
      <c r="AB13" s="1791"/>
      <c r="AC13" s="1791"/>
      <c r="AD13" s="1791"/>
      <c r="AE13" s="1791"/>
      <c r="AF13" s="1791"/>
      <c r="AG13" s="1791"/>
      <c r="AH13" s="1791"/>
      <c r="AI13" s="1791"/>
      <c r="AJ13" s="1791"/>
      <c r="AK13" s="1791"/>
      <c r="AL13" s="1791"/>
      <c r="AM13" s="1791"/>
      <c r="AN13" s="1791"/>
      <c r="AO13" s="1791"/>
      <c r="AP13" s="1791"/>
      <c r="AQ13" s="1791"/>
      <c r="AR13" s="1791"/>
      <c r="AS13" s="1791"/>
      <c r="AT13" s="1791"/>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91"/>
      <c r="BW13" s="1791"/>
      <c r="BX13" s="1791"/>
      <c r="BY13" s="1791"/>
      <c r="BZ13" s="1791"/>
      <c r="CA13" s="1791"/>
      <c r="CB13" s="1791"/>
      <c r="CC13" s="1791"/>
      <c r="CD13" s="1791"/>
      <c r="CE13" s="1791"/>
      <c r="CF13" s="1791"/>
      <c r="CG13" s="1791"/>
      <c r="CH13" s="1791"/>
      <c r="CI13" s="1791"/>
      <c r="CJ13" s="1791"/>
      <c r="CK13" s="1791"/>
      <c r="CL13" s="1791"/>
      <c r="CM13" s="1791"/>
      <c r="CN13" s="1791"/>
      <c r="CO13" s="1791"/>
      <c r="CP13" s="1791"/>
      <c r="CQ13" s="1791"/>
      <c r="CR13" s="1791"/>
      <c r="CS13" s="1791"/>
      <c r="CT13" s="1791"/>
      <c r="CU13" s="1791"/>
      <c r="CV13" s="1791"/>
      <c r="CW13" s="1791"/>
      <c r="CX13" s="1791"/>
      <c r="CY13" s="1791"/>
      <c r="CZ13" s="1791"/>
      <c r="DA13" s="1791"/>
      <c r="DB13" s="1791"/>
      <c r="DC13" s="1791"/>
      <c r="DD13" s="1791"/>
      <c r="DE13" s="1791"/>
      <c r="DF13" s="1791"/>
      <c r="DG13" s="1791"/>
      <c r="DH13" s="1791"/>
      <c r="DI13" s="1791"/>
      <c r="DJ13" s="1791"/>
      <c r="DK13" s="1791"/>
      <c r="DL13" s="1791"/>
      <c r="DM13" s="1791"/>
      <c r="DN13" s="1791"/>
      <c r="DO13" s="1791"/>
      <c r="DP13" s="1791"/>
      <c r="DQ13" s="1791"/>
      <c r="DR13" s="1791"/>
      <c r="DS13" s="1791"/>
      <c r="DT13" s="1791"/>
      <c r="DU13" s="1791"/>
      <c r="DV13" s="1791"/>
      <c r="DW13" s="1791"/>
      <c r="DX13" s="1791"/>
      <c r="DY13" s="1791"/>
      <c r="DZ13" s="1791"/>
      <c r="EA13" s="1791"/>
      <c r="EB13" s="1791"/>
      <c r="EC13" s="1791"/>
      <c r="ED13" s="1791"/>
      <c r="EE13" s="1791"/>
      <c r="EF13" s="1791"/>
      <c r="EG13" s="1791"/>
      <c r="EH13" s="1791"/>
      <c r="EI13" s="1791"/>
      <c r="EJ13" s="1791"/>
      <c r="EK13" s="1791"/>
      <c r="EL13" s="1791"/>
      <c r="EM13" s="1791"/>
      <c r="EN13" s="1791"/>
      <c r="EO13" s="1791"/>
      <c r="EP13" s="1791"/>
      <c r="EQ13" s="1791"/>
      <c r="ER13" s="1791"/>
      <c r="ES13" s="1791"/>
      <c r="ET13" s="1791"/>
      <c r="EU13" s="1791"/>
      <c r="EV13" s="1791"/>
      <c r="EW13" s="1791"/>
      <c r="EX13" s="1791"/>
      <c r="EY13" s="1791"/>
      <c r="EZ13" s="1791"/>
      <c r="FA13" s="1791"/>
      <c r="FB13" s="1791"/>
      <c r="FC13" s="1791"/>
      <c r="FD13" s="1791"/>
      <c r="FE13" s="1791"/>
      <c r="FF13" s="1791"/>
      <c r="FG13" s="1791"/>
      <c r="FH13" s="1791"/>
      <c r="FI13" s="1791"/>
      <c r="FJ13" s="1791"/>
      <c r="FK13" s="1791"/>
      <c r="FL13" s="1791"/>
      <c r="FM13" s="1791"/>
      <c r="FN13" s="1791"/>
      <c r="FO13" s="1791"/>
      <c r="FP13" s="1791"/>
      <c r="FQ13" s="1791"/>
      <c r="FR13" s="1791"/>
      <c r="FS13" s="1791"/>
      <c r="FT13" s="1791"/>
      <c r="FU13" s="1791"/>
      <c r="FV13" s="1791"/>
      <c r="FW13" s="1791"/>
      <c r="FX13" s="1791"/>
      <c r="FY13" s="1791"/>
      <c r="FZ13" s="1791"/>
      <c r="GA13" s="1791"/>
      <c r="GB13" s="1791"/>
      <c r="GC13" s="1791"/>
      <c r="GD13" s="1791"/>
      <c r="GE13" s="1791"/>
      <c r="GF13" s="1791"/>
      <c r="GG13" s="1791"/>
      <c r="GH13" s="1791"/>
      <c r="GI13" s="1791"/>
      <c r="GJ13" s="1791"/>
      <c r="GK13" s="1791"/>
      <c r="GL13" s="1791"/>
      <c r="GM13" s="1791"/>
      <c r="GN13" s="1791"/>
      <c r="GO13" s="1791"/>
      <c r="GP13" s="1791"/>
      <c r="GQ13" s="1791"/>
      <c r="GR13" s="1791"/>
      <c r="GS13" s="1791"/>
      <c r="GT13" s="1791"/>
      <c r="GU13" s="1791"/>
      <c r="GV13" s="1791"/>
      <c r="GW13" s="1791"/>
      <c r="GX13" s="1791"/>
      <c r="GY13" s="1791"/>
      <c r="GZ13" s="1791"/>
      <c r="HA13" s="1791"/>
      <c r="HB13" s="1791"/>
      <c r="HC13" s="1791"/>
      <c r="HD13" s="1791"/>
      <c r="HE13" s="1791"/>
      <c r="HF13" s="1791"/>
      <c r="HG13" s="1791"/>
      <c r="HH13" s="1791"/>
      <c r="HI13" s="1791"/>
      <c r="HJ13" s="1791"/>
      <c r="HK13" s="1791"/>
      <c r="HL13" s="1791"/>
      <c r="HM13" s="1791"/>
      <c r="HN13" s="1791"/>
      <c r="HO13" s="1791"/>
      <c r="HP13" s="1791"/>
      <c r="HQ13" s="1791"/>
      <c r="HR13" s="1791"/>
      <c r="HS13" s="1791"/>
      <c r="HT13" s="1791"/>
      <c r="HU13" s="1791"/>
      <c r="HV13" s="1791"/>
      <c r="HW13" s="1791"/>
      <c r="HX13" s="1791"/>
      <c r="HY13" s="1791"/>
      <c r="HZ13" s="1791"/>
      <c r="IA13" s="1791"/>
      <c r="IB13" s="1791"/>
      <c r="IC13" s="1791"/>
      <c r="ID13" s="1791"/>
      <c r="IE13" s="1791"/>
      <c r="IF13" s="1791"/>
      <c r="IG13" s="1791"/>
      <c r="IH13" s="1791"/>
      <c r="II13" s="1791"/>
      <c r="IJ13" s="1791"/>
      <c r="IK13" s="1791"/>
      <c r="IL13" s="1791"/>
      <c r="IM13" s="1791"/>
      <c r="IN13" s="1791"/>
      <c r="IO13" s="1791"/>
      <c r="IP13" s="1791"/>
      <c r="IQ13" s="1791"/>
      <c r="IR13" s="1791"/>
      <c r="IS13" s="1791"/>
      <c r="IT13" s="1791"/>
      <c r="IU13" s="1791"/>
      <c r="IV13" s="1791"/>
      <c r="IW13" s="1792"/>
    </row>
    <row r="14" spans="1:257">
      <c r="B14" s="1793"/>
      <c r="C14" s="1794">
        <v>42242</v>
      </c>
      <c r="D14" s="1793">
        <v>4.5999999999999996</v>
      </c>
      <c r="E14" s="1793">
        <v>4.5999999999999996</v>
      </c>
      <c r="F14" s="1793">
        <v>5</v>
      </c>
      <c r="G14" s="1793">
        <v>5</v>
      </c>
      <c r="H14" s="1793">
        <v>5.15</v>
      </c>
      <c r="I14" s="1793">
        <v>2.75</v>
      </c>
      <c r="J14" s="1793">
        <v>3.25</v>
      </c>
      <c r="L14" s="1793"/>
      <c r="M14" s="1794">
        <v>42242</v>
      </c>
      <c r="N14" s="1793">
        <v>0.35</v>
      </c>
      <c r="O14" s="1793">
        <v>1.35</v>
      </c>
      <c r="P14" s="1793">
        <v>1.55</v>
      </c>
      <c r="Q14" s="1793">
        <v>1.75</v>
      </c>
      <c r="R14" s="1793">
        <v>2.35</v>
      </c>
      <c r="S14" s="1793">
        <v>3</v>
      </c>
      <c r="T14" s="1793"/>
      <c r="U14" s="1793"/>
      <c r="V14" s="1793"/>
      <c r="W14" s="1793"/>
      <c r="X14" s="1793"/>
      <c r="Y14" s="1793"/>
      <c r="Z14" s="1793"/>
    </row>
    <row r="15" spans="1:257">
      <c r="B15" s="1793"/>
      <c r="C15" s="1794">
        <v>42183</v>
      </c>
      <c r="D15" s="1793">
        <v>4.8499999999999996</v>
      </c>
      <c r="E15" s="1793">
        <v>4.8499999999999996</v>
      </c>
      <c r="F15" s="1793">
        <v>5.25</v>
      </c>
      <c r="G15" s="1793">
        <v>5.25</v>
      </c>
      <c r="H15" s="1793">
        <v>5.4</v>
      </c>
      <c r="I15" s="1793">
        <v>3</v>
      </c>
      <c r="J15" s="1793">
        <v>3.5</v>
      </c>
      <c r="L15" s="1793"/>
      <c r="M15" s="1794">
        <v>42183</v>
      </c>
      <c r="N15" s="1793">
        <v>0.35</v>
      </c>
      <c r="O15" s="1793">
        <v>1.6</v>
      </c>
      <c r="P15" s="1793">
        <v>1.8</v>
      </c>
      <c r="Q15" s="1793">
        <v>2</v>
      </c>
      <c r="R15" s="1793">
        <v>2.6</v>
      </c>
      <c r="S15" s="1793">
        <v>3.25</v>
      </c>
      <c r="T15" s="1793"/>
      <c r="U15" s="1793"/>
      <c r="V15" s="1793"/>
      <c r="W15" s="1793"/>
      <c r="X15" s="1793"/>
      <c r="Y15" s="1793"/>
      <c r="Z15" s="1793"/>
    </row>
    <row r="16" spans="1:257">
      <c r="B16" s="1793"/>
      <c r="C16" s="1794">
        <v>42135</v>
      </c>
      <c r="D16" s="1793">
        <v>5.0999999999999996</v>
      </c>
      <c r="E16" s="1793">
        <v>5.0999999999999996</v>
      </c>
      <c r="F16" s="1793">
        <v>5.5</v>
      </c>
      <c r="G16" s="1793">
        <v>5.5</v>
      </c>
      <c r="H16" s="1793">
        <v>5.65</v>
      </c>
      <c r="I16" s="1793">
        <v>3.25</v>
      </c>
      <c r="J16" s="1793">
        <v>3.75</v>
      </c>
      <c r="L16" s="1793"/>
      <c r="M16" s="1794">
        <v>42135</v>
      </c>
      <c r="N16" s="1793">
        <v>0.35</v>
      </c>
      <c r="O16" s="1793">
        <v>1.85</v>
      </c>
      <c r="P16" s="1793">
        <v>2.0499999999999998</v>
      </c>
      <c r="Q16" s="1793">
        <v>2.25</v>
      </c>
      <c r="R16" s="1793">
        <v>2.85</v>
      </c>
      <c r="S16" s="1793">
        <v>3.5</v>
      </c>
      <c r="T16" s="1793"/>
      <c r="U16" s="1793"/>
      <c r="V16" s="1793"/>
      <c r="W16" s="1793"/>
      <c r="X16" s="1793"/>
      <c r="Y16" s="1793"/>
      <c r="Z16" s="1793"/>
    </row>
    <row r="17" spans="2:26">
      <c r="B17" s="1793"/>
      <c r="C17" s="1794">
        <v>42064</v>
      </c>
      <c r="D17" s="1793">
        <v>5.35</v>
      </c>
      <c r="E17" s="1793">
        <v>5.35</v>
      </c>
      <c r="F17" s="1793">
        <v>5.75</v>
      </c>
      <c r="G17" s="1793">
        <v>5.75</v>
      </c>
      <c r="H17" s="1793">
        <v>5.9</v>
      </c>
      <c r="I17" s="1793"/>
      <c r="J17" s="1793"/>
      <c r="L17" s="1793"/>
      <c r="M17" s="1794">
        <v>42064</v>
      </c>
      <c r="N17" s="1793">
        <v>0.35</v>
      </c>
      <c r="O17" s="1793">
        <v>2.1</v>
      </c>
      <c r="P17" s="1793">
        <v>2.2999999999999998</v>
      </c>
      <c r="Q17" s="1793">
        <v>2.5</v>
      </c>
      <c r="R17" s="1793">
        <v>3.1</v>
      </c>
      <c r="S17" s="1793">
        <v>3.75</v>
      </c>
      <c r="T17" s="1793">
        <v>4.5</v>
      </c>
      <c r="U17" s="1793">
        <v>2.35</v>
      </c>
      <c r="V17" s="1793">
        <v>2.5499999999999998</v>
      </c>
      <c r="W17" s="1793">
        <v>2.75</v>
      </c>
      <c r="X17" s="1793"/>
      <c r="Y17" s="1793">
        <v>0.8</v>
      </c>
      <c r="Z17" s="1793">
        <v>1.35</v>
      </c>
    </row>
    <row r="18" spans="2:26" ht="15">
      <c r="B18" s="1793"/>
      <c r="C18" s="1794">
        <v>41965</v>
      </c>
      <c r="D18" s="1793">
        <v>5.6</v>
      </c>
      <c r="E18" s="1793">
        <v>5.6</v>
      </c>
      <c r="F18" s="1793">
        <v>6</v>
      </c>
      <c r="G18" s="1793">
        <v>6</v>
      </c>
      <c r="H18" s="1793">
        <v>6.15</v>
      </c>
      <c r="I18" s="1793"/>
      <c r="J18" s="1793"/>
      <c r="L18" s="1793"/>
      <c r="M18" s="1794">
        <v>41965</v>
      </c>
      <c r="N18" s="1793">
        <v>0.35</v>
      </c>
      <c r="O18" s="1793">
        <v>2.35</v>
      </c>
      <c r="P18" s="1793">
        <v>2.5499999999999998</v>
      </c>
      <c r="Q18" s="1793">
        <v>2.75</v>
      </c>
      <c r="R18" s="1793">
        <v>3.35</v>
      </c>
      <c r="S18" s="1793">
        <v>4</v>
      </c>
      <c r="T18" s="1793">
        <v>4.75</v>
      </c>
      <c r="U18" s="1795">
        <v>2.35</v>
      </c>
      <c r="V18" s="1795">
        <v>2.5499999999999998</v>
      </c>
      <c r="W18" s="1795">
        <v>2.75</v>
      </c>
      <c r="X18" s="1793"/>
      <c r="Y18" s="1795">
        <v>0.8</v>
      </c>
      <c r="Z18" s="1795">
        <v>1.35</v>
      </c>
    </row>
    <row r="19" spans="2:26">
      <c r="B19" s="1793"/>
      <c r="C19" s="1794">
        <v>41096</v>
      </c>
      <c r="D19" s="1793">
        <v>5.6</v>
      </c>
      <c r="E19" s="1793">
        <v>6</v>
      </c>
      <c r="F19" s="1793">
        <v>6.15</v>
      </c>
      <c r="G19" s="1793">
        <v>6.4</v>
      </c>
      <c r="H19" s="1793">
        <v>6.55</v>
      </c>
      <c r="I19" s="1793">
        <v>4</v>
      </c>
      <c r="J19" s="1793">
        <v>4.5</v>
      </c>
      <c r="L19" s="1793"/>
      <c r="M19" s="1794">
        <v>41096</v>
      </c>
      <c r="N19" s="1793">
        <v>0.35</v>
      </c>
      <c r="O19" s="1793">
        <v>2.6</v>
      </c>
      <c r="P19" s="1793">
        <v>2.8</v>
      </c>
      <c r="Q19" s="1793">
        <v>3</v>
      </c>
      <c r="R19" s="1793">
        <v>3.75</v>
      </c>
      <c r="S19" s="1793">
        <v>4.25</v>
      </c>
      <c r="T19" s="1793">
        <v>4.75</v>
      </c>
      <c r="U19" s="1793">
        <v>2.85</v>
      </c>
      <c r="V19" s="1793">
        <v>2.9</v>
      </c>
      <c r="W19" s="1793">
        <v>3</v>
      </c>
      <c r="X19" s="1793">
        <v>1.1499999999999999</v>
      </c>
      <c r="Y19" s="1793">
        <v>0.8</v>
      </c>
      <c r="Z19" s="1793">
        <v>1.35</v>
      </c>
    </row>
    <row r="20" spans="2:26">
      <c r="B20" s="1793"/>
      <c r="C20" s="1794">
        <v>41068</v>
      </c>
      <c r="D20" s="1793">
        <v>5.85</v>
      </c>
      <c r="E20" s="1793">
        <v>6.31</v>
      </c>
      <c r="F20" s="1793">
        <v>6.4</v>
      </c>
      <c r="G20" s="1793">
        <v>6.65</v>
      </c>
      <c r="H20" s="1793">
        <v>6.8</v>
      </c>
      <c r="I20" s="1793">
        <v>4.2</v>
      </c>
      <c r="J20" s="1793">
        <v>4.7</v>
      </c>
      <c r="L20" s="1793"/>
      <c r="M20" s="1794">
        <v>41068</v>
      </c>
      <c r="N20" s="1793">
        <v>0.4</v>
      </c>
      <c r="O20" s="1793">
        <v>2.85</v>
      </c>
      <c r="P20" s="1793">
        <v>3.05</v>
      </c>
      <c r="Q20" s="1793">
        <v>3.25</v>
      </c>
      <c r="R20" s="1793">
        <v>4.0999999999999996</v>
      </c>
      <c r="S20" s="1793">
        <v>4.6500000000000004</v>
      </c>
      <c r="T20" s="1793">
        <v>5.0999999999999996</v>
      </c>
      <c r="U20" s="1793">
        <v>3.1</v>
      </c>
      <c r="V20" s="1793">
        <v>3.15</v>
      </c>
      <c r="W20" s="1793">
        <v>3.25</v>
      </c>
      <c r="X20" s="1793">
        <v>1.31</v>
      </c>
      <c r="Y20" s="1793">
        <v>0.94</v>
      </c>
      <c r="Z20" s="1793">
        <v>1.49</v>
      </c>
    </row>
    <row r="21" spans="2:26">
      <c r="B21" s="1793"/>
      <c r="C21" s="1794">
        <v>40731</v>
      </c>
      <c r="D21" s="1793">
        <v>6.1</v>
      </c>
      <c r="E21" s="1793">
        <v>6.56</v>
      </c>
      <c r="F21" s="1793">
        <v>6.65</v>
      </c>
      <c r="G21" s="1793">
        <v>6.9</v>
      </c>
      <c r="H21" s="1793">
        <v>7.05</v>
      </c>
      <c r="I21" s="1793">
        <v>4.45</v>
      </c>
      <c r="J21" s="1793">
        <v>4.9000000000000004</v>
      </c>
      <c r="L21" s="1793"/>
      <c r="M21" s="1794">
        <v>40731</v>
      </c>
      <c r="N21" s="1793">
        <v>0.5</v>
      </c>
      <c r="O21" s="1793">
        <v>3.1</v>
      </c>
      <c r="P21" s="1793">
        <v>3.3</v>
      </c>
      <c r="Q21" s="1793">
        <v>3.5</v>
      </c>
      <c r="R21" s="1793">
        <v>4.4000000000000004</v>
      </c>
      <c r="S21" s="1793">
        <v>5</v>
      </c>
      <c r="T21" s="1793">
        <v>5.5</v>
      </c>
      <c r="U21" s="1793">
        <v>3.1</v>
      </c>
      <c r="V21" s="1793">
        <v>3.3</v>
      </c>
      <c r="W21" s="1793">
        <v>3.5</v>
      </c>
      <c r="X21" s="1793">
        <v>1.31</v>
      </c>
      <c r="Y21" s="1793">
        <v>0.95</v>
      </c>
      <c r="Z21" s="1793">
        <v>1.49</v>
      </c>
    </row>
    <row r="22" spans="2:26">
      <c r="B22" s="1793"/>
      <c r="C22" s="1794">
        <v>40639</v>
      </c>
      <c r="D22" s="1793">
        <v>5.85</v>
      </c>
      <c r="E22" s="1793">
        <v>6.31</v>
      </c>
      <c r="F22" s="1793">
        <v>6.4</v>
      </c>
      <c r="G22" s="1793">
        <v>6.65</v>
      </c>
      <c r="H22" s="1793">
        <v>6.8</v>
      </c>
      <c r="I22" s="1793">
        <v>4.2</v>
      </c>
      <c r="J22" s="1793">
        <v>4.7</v>
      </c>
      <c r="L22" s="1793"/>
      <c r="M22" s="1794">
        <v>40639</v>
      </c>
      <c r="N22" s="1793">
        <v>0.5</v>
      </c>
      <c r="O22" s="1793">
        <v>2.85</v>
      </c>
      <c r="P22" s="1793">
        <v>3.05</v>
      </c>
      <c r="Q22" s="1793">
        <v>3.25</v>
      </c>
      <c r="R22" s="1793">
        <v>4.1500000000000004</v>
      </c>
      <c r="S22" s="1793">
        <v>4.75</v>
      </c>
      <c r="T22" s="1793">
        <v>5.25</v>
      </c>
      <c r="U22" s="1793">
        <v>2.85</v>
      </c>
      <c r="V22" s="1793">
        <v>3.05</v>
      </c>
      <c r="W22" s="1793">
        <v>3.25</v>
      </c>
      <c r="X22" s="1793">
        <v>1.31</v>
      </c>
      <c r="Y22" s="1793">
        <v>0.95</v>
      </c>
      <c r="Z22" s="1793">
        <v>1.49</v>
      </c>
    </row>
    <row r="23" spans="2:26">
      <c r="B23" s="1793"/>
      <c r="C23" s="1794">
        <v>40583</v>
      </c>
      <c r="D23" s="1793">
        <v>5.6</v>
      </c>
      <c r="E23" s="1793">
        <v>6.06</v>
      </c>
      <c r="F23" s="1793">
        <v>6.1</v>
      </c>
      <c r="G23" s="1793">
        <v>6.45</v>
      </c>
      <c r="H23" s="1793">
        <v>6.6</v>
      </c>
      <c r="I23" s="1793">
        <v>4</v>
      </c>
      <c r="J23" s="1793">
        <v>4.5</v>
      </c>
      <c r="L23" s="1793"/>
      <c r="M23" s="1794">
        <v>40583</v>
      </c>
      <c r="N23" s="1793">
        <v>0.4</v>
      </c>
      <c r="O23" s="1793">
        <v>2.6</v>
      </c>
      <c r="P23" s="1793">
        <v>2.8</v>
      </c>
      <c r="Q23" s="1793">
        <v>3</v>
      </c>
      <c r="R23" s="1793">
        <v>3.9</v>
      </c>
      <c r="S23" s="1793">
        <v>4.5</v>
      </c>
      <c r="T23" s="1793">
        <v>5</v>
      </c>
      <c r="U23" s="1793">
        <v>2.6</v>
      </c>
      <c r="V23" s="1793">
        <v>2.8</v>
      </c>
      <c r="W23" s="1793">
        <v>3</v>
      </c>
      <c r="X23" s="1793">
        <v>1.21</v>
      </c>
      <c r="Y23" s="1793">
        <v>0.85</v>
      </c>
      <c r="Z23" s="1793">
        <v>1.39</v>
      </c>
    </row>
    <row r="24" spans="2:26">
      <c r="B24" s="1793"/>
      <c r="C24" s="1794">
        <v>40538</v>
      </c>
      <c r="D24" s="1793">
        <v>5.35</v>
      </c>
      <c r="E24" s="1793">
        <v>5.81</v>
      </c>
      <c r="F24" s="1793">
        <v>5.85</v>
      </c>
      <c r="G24" s="1793">
        <v>6.22</v>
      </c>
      <c r="H24" s="1793">
        <v>6.4</v>
      </c>
      <c r="I24" s="1793">
        <v>3.75</v>
      </c>
      <c r="J24" s="1793">
        <v>4.3</v>
      </c>
      <c r="L24" s="1793"/>
      <c r="M24" s="1794">
        <v>40538</v>
      </c>
      <c r="N24" s="1793">
        <v>0.36</v>
      </c>
      <c r="O24" s="1793">
        <v>2.25</v>
      </c>
      <c r="P24" s="1793">
        <v>2.5</v>
      </c>
      <c r="Q24" s="1793">
        <v>2.75</v>
      </c>
      <c r="R24" s="1793">
        <v>3.55</v>
      </c>
      <c r="S24" s="1793">
        <v>4.1500000000000004</v>
      </c>
      <c r="T24" s="1793">
        <v>4.55</v>
      </c>
      <c r="U24" s="1793">
        <v>2.16</v>
      </c>
      <c r="V24" s="1793">
        <v>2.5</v>
      </c>
      <c r="W24" s="1793">
        <v>2.85</v>
      </c>
      <c r="X24" s="1793">
        <v>1.17</v>
      </c>
      <c r="Y24" s="1793">
        <v>0.81</v>
      </c>
      <c r="Z24" s="1793">
        <v>1.35</v>
      </c>
    </row>
    <row r="25" spans="2:26">
      <c r="B25" s="1793"/>
      <c r="C25" s="1794">
        <v>40471</v>
      </c>
      <c r="D25" s="1793">
        <v>5.0999999999999996</v>
      </c>
      <c r="E25" s="1793">
        <v>5.56</v>
      </c>
      <c r="F25" s="1793">
        <v>5.6</v>
      </c>
      <c r="G25" s="1793">
        <v>5.96</v>
      </c>
      <c r="H25" s="1793">
        <v>6.14</v>
      </c>
      <c r="I25" s="1793">
        <v>3.5</v>
      </c>
      <c r="J25" s="1793">
        <v>4.05</v>
      </c>
      <c r="L25" s="1793"/>
      <c r="M25" s="1794">
        <v>40471</v>
      </c>
      <c r="N25" s="1793">
        <v>0.36</v>
      </c>
      <c r="O25" s="1793">
        <v>1.91</v>
      </c>
      <c r="P25" s="1793">
        <v>2.2000000000000002</v>
      </c>
      <c r="Q25" s="1793">
        <v>2.5</v>
      </c>
      <c r="R25" s="1793">
        <v>3.25</v>
      </c>
      <c r="S25" s="1793">
        <v>3.85</v>
      </c>
      <c r="T25" s="1793">
        <v>4.2</v>
      </c>
      <c r="U25" s="1793">
        <v>1.91</v>
      </c>
      <c r="V25" s="1793">
        <v>2.2000000000000002</v>
      </c>
      <c r="W25" s="1793">
        <v>2.5</v>
      </c>
      <c r="X25" s="1793">
        <v>1.17</v>
      </c>
      <c r="Y25" s="1793">
        <v>0.81</v>
      </c>
      <c r="Z25" s="1793">
        <v>1.35</v>
      </c>
    </row>
    <row r="26" spans="2:26">
      <c r="B26" s="1793"/>
      <c r="C26" s="1794">
        <v>39805</v>
      </c>
      <c r="D26" s="1793">
        <v>4.8600000000000003</v>
      </c>
      <c r="E26" s="1793">
        <v>5.31</v>
      </c>
      <c r="F26" s="1793">
        <v>5.4</v>
      </c>
      <c r="G26" s="1793">
        <v>5.76</v>
      </c>
      <c r="H26" s="1793">
        <v>5.94</v>
      </c>
      <c r="I26" s="1793">
        <v>3.33</v>
      </c>
      <c r="J26" s="1793">
        <v>3.87</v>
      </c>
      <c r="L26" s="1793"/>
      <c r="M26" s="1794">
        <v>39805</v>
      </c>
      <c r="N26" s="1793">
        <v>0.36</v>
      </c>
      <c r="O26" s="1793">
        <v>1.71</v>
      </c>
      <c r="P26" s="1793">
        <v>1.98</v>
      </c>
      <c r="Q26" s="1793">
        <v>2.25</v>
      </c>
      <c r="R26" s="1793">
        <v>2.79</v>
      </c>
      <c r="S26" s="1793">
        <v>3.33</v>
      </c>
      <c r="T26" s="1793">
        <v>3.6</v>
      </c>
      <c r="U26" s="1793">
        <v>1.71</v>
      </c>
      <c r="V26" s="1793">
        <v>1.98</v>
      </c>
      <c r="W26" s="1793">
        <v>2.25</v>
      </c>
      <c r="X26" s="1793">
        <v>1.17</v>
      </c>
      <c r="Y26" s="1793">
        <v>0.81</v>
      </c>
      <c r="Z26" s="1793">
        <v>1.35</v>
      </c>
    </row>
    <row r="27" spans="2:26">
      <c r="B27" s="1793"/>
      <c r="C27" s="1794">
        <v>39779</v>
      </c>
      <c r="D27" s="1793">
        <v>5.04</v>
      </c>
      <c r="E27" s="1793">
        <v>5.58</v>
      </c>
      <c r="F27" s="1793">
        <v>5.67</v>
      </c>
      <c r="G27" s="1793">
        <v>5.94</v>
      </c>
      <c r="H27" s="1793">
        <v>6.12</v>
      </c>
      <c r="I27" s="1793">
        <v>3.51</v>
      </c>
      <c r="J27" s="1793">
        <v>4.05</v>
      </c>
      <c r="L27" s="1793"/>
      <c r="M27" s="1794">
        <v>39779</v>
      </c>
      <c r="N27" s="1793">
        <v>0.36</v>
      </c>
      <c r="O27" s="1793">
        <v>1.98</v>
      </c>
      <c r="P27" s="1793">
        <v>2.25</v>
      </c>
      <c r="Q27" s="1793">
        <v>2.52</v>
      </c>
      <c r="R27" s="1793">
        <v>3.06</v>
      </c>
      <c r="S27" s="1793">
        <v>3.6</v>
      </c>
      <c r="T27" s="1793">
        <v>3.87</v>
      </c>
      <c r="U27" s="1793">
        <v>1.98</v>
      </c>
      <c r="V27" s="1793">
        <v>2.25</v>
      </c>
      <c r="W27" s="1793">
        <v>2.52</v>
      </c>
      <c r="X27" s="1793">
        <v>1.17</v>
      </c>
      <c r="Y27" s="1793">
        <v>0.81</v>
      </c>
      <c r="Z27" s="1793">
        <v>1.35</v>
      </c>
    </row>
    <row r="28" spans="2:26">
      <c r="B28" s="1793"/>
      <c r="C28" s="1794">
        <v>39751</v>
      </c>
      <c r="D28" s="1793">
        <v>6.03</v>
      </c>
      <c r="E28" s="1793">
        <v>6.66</v>
      </c>
      <c r="F28" s="1793">
        <v>6.75</v>
      </c>
      <c r="G28" s="1793">
        <v>7.02</v>
      </c>
      <c r="H28" s="1793">
        <v>7.2</v>
      </c>
      <c r="I28" s="1793">
        <v>4.05</v>
      </c>
      <c r="J28" s="1793">
        <v>4.59</v>
      </c>
      <c r="L28" s="1793"/>
      <c r="M28" s="1794">
        <v>39751</v>
      </c>
      <c r="N28" s="1793">
        <v>0.72</v>
      </c>
      <c r="O28" s="1793">
        <v>2.88</v>
      </c>
      <c r="P28" s="1793">
        <v>3.24</v>
      </c>
      <c r="Q28" s="1793">
        <v>3.6</v>
      </c>
      <c r="R28" s="1793">
        <v>4.1399999999999997</v>
      </c>
      <c r="S28" s="1793">
        <v>4.7699999999999996</v>
      </c>
      <c r="T28" s="1793">
        <v>5.13</v>
      </c>
      <c r="U28" s="1793">
        <v>2.88</v>
      </c>
      <c r="V28" s="1793">
        <v>3.24</v>
      </c>
      <c r="W28" s="1793">
        <v>3.6</v>
      </c>
      <c r="X28" s="1793">
        <v>1.53</v>
      </c>
      <c r="Y28" s="1793">
        <v>1.17</v>
      </c>
      <c r="Z28" s="1793">
        <v>1.71</v>
      </c>
    </row>
    <row r="29" spans="2:26">
      <c r="B29" s="1793"/>
      <c r="C29" s="1796">
        <v>39748</v>
      </c>
      <c r="D29" s="1793">
        <v>6.12</v>
      </c>
      <c r="E29" s="1793">
        <v>6.93</v>
      </c>
      <c r="F29" s="1793">
        <v>7.02</v>
      </c>
      <c r="G29" s="1793">
        <v>7.29</v>
      </c>
      <c r="H29" s="1793">
        <v>7.47</v>
      </c>
      <c r="I29" s="1793">
        <v>4.05</v>
      </c>
      <c r="J29" s="1793">
        <v>4.59</v>
      </c>
      <c r="L29" s="1793"/>
      <c r="M29" s="1796">
        <v>39736</v>
      </c>
      <c r="N29" s="1793">
        <v>0.72</v>
      </c>
      <c r="O29" s="1793">
        <v>3.15</v>
      </c>
      <c r="P29" s="1793">
        <v>3.51</v>
      </c>
      <c r="Q29" s="1793">
        <v>3.87</v>
      </c>
      <c r="R29" s="1793">
        <v>4.41</v>
      </c>
      <c r="S29" s="1793">
        <v>5.13</v>
      </c>
      <c r="T29" s="1793">
        <v>5.58</v>
      </c>
      <c r="U29" s="1793">
        <v>3.15</v>
      </c>
      <c r="V29" s="1793">
        <v>3.51</v>
      </c>
      <c r="W29" s="1793">
        <v>3.87</v>
      </c>
      <c r="X29" s="1793">
        <v>1.53</v>
      </c>
      <c r="Y29" s="1793">
        <v>1.17</v>
      </c>
      <c r="Z29" s="1793">
        <v>1.71</v>
      </c>
    </row>
    <row r="30" spans="2:26">
      <c r="B30" s="1793"/>
      <c r="C30" s="1794">
        <v>39730</v>
      </c>
      <c r="D30" s="1793">
        <v>6.12</v>
      </c>
      <c r="E30" s="1793">
        <v>6.93</v>
      </c>
      <c r="F30" s="1793">
        <v>7.02</v>
      </c>
      <c r="G30" s="1793">
        <v>7.29</v>
      </c>
      <c r="H30" s="1793">
        <v>7.47</v>
      </c>
      <c r="I30" s="1793">
        <v>4.32</v>
      </c>
      <c r="J30" s="1793">
        <v>4.8600000000000003</v>
      </c>
      <c r="L30" s="1793"/>
      <c r="M30" s="1794">
        <v>39730</v>
      </c>
      <c r="N30" s="1793">
        <v>0.72</v>
      </c>
      <c r="O30" s="1793">
        <v>3.15</v>
      </c>
      <c r="P30" s="1793">
        <v>3.51</v>
      </c>
      <c r="Q30" s="1793">
        <v>3.87</v>
      </c>
      <c r="R30" s="1793">
        <v>4.41</v>
      </c>
      <c r="S30" s="1793">
        <v>5.13</v>
      </c>
      <c r="T30" s="1793">
        <v>5.58</v>
      </c>
      <c r="U30" s="1793">
        <v>3.15</v>
      </c>
      <c r="V30" s="1793">
        <v>3.51</v>
      </c>
      <c r="W30" s="1793">
        <v>3.87</v>
      </c>
      <c r="X30" s="1793">
        <v>1.53</v>
      </c>
      <c r="Y30" s="1793">
        <v>1.17</v>
      </c>
      <c r="Z30" s="1793">
        <v>1.71</v>
      </c>
    </row>
    <row r="31" spans="2:26">
      <c r="B31" s="1793"/>
      <c r="C31" s="1794">
        <v>39707</v>
      </c>
      <c r="D31" s="1793">
        <v>6.21</v>
      </c>
      <c r="E31" s="1793">
        <v>7.2</v>
      </c>
      <c r="F31" s="1793">
        <v>7.29</v>
      </c>
      <c r="G31" s="1793">
        <v>7.56</v>
      </c>
      <c r="H31" s="1793">
        <v>7.74</v>
      </c>
      <c r="I31" s="1793">
        <v>4.59</v>
      </c>
      <c r="J31" s="1793">
        <v>5.13</v>
      </c>
      <c r="L31" s="1793"/>
      <c r="M31" s="1794">
        <v>39437</v>
      </c>
      <c r="N31" s="1793">
        <v>0.72</v>
      </c>
      <c r="O31" s="1793">
        <v>3.33</v>
      </c>
      <c r="P31" s="1793">
        <v>3.78</v>
      </c>
      <c r="Q31" s="1793">
        <v>4.1399999999999997</v>
      </c>
      <c r="R31" s="1793">
        <v>4.68</v>
      </c>
      <c r="S31" s="1793">
        <v>5.4</v>
      </c>
      <c r="T31" s="1793">
        <v>5.85</v>
      </c>
      <c r="U31" s="1793">
        <v>3.33</v>
      </c>
      <c r="V31" s="1793">
        <v>3.78</v>
      </c>
      <c r="W31" s="1793">
        <v>4.1399999999999997</v>
      </c>
      <c r="X31" s="1793">
        <v>1.53</v>
      </c>
      <c r="Y31" s="1793">
        <v>1.17</v>
      </c>
      <c r="Z31" s="1793">
        <v>1.71</v>
      </c>
    </row>
    <row r="32" spans="2:26">
      <c r="B32" s="1793"/>
      <c r="C32" s="1794">
        <v>39437</v>
      </c>
      <c r="D32" s="1793">
        <v>6.57</v>
      </c>
      <c r="E32" s="1793">
        <v>7.47</v>
      </c>
      <c r="F32" s="1793">
        <v>7.56</v>
      </c>
      <c r="G32" s="1793">
        <v>7.74</v>
      </c>
      <c r="H32" s="1793">
        <v>7.83</v>
      </c>
      <c r="I32" s="1793">
        <v>4.7699999999999996</v>
      </c>
      <c r="J32" s="1793">
        <v>5.22</v>
      </c>
      <c r="L32" s="1793"/>
      <c r="M32" s="1794">
        <v>39340</v>
      </c>
      <c r="N32" s="1793">
        <v>0.81</v>
      </c>
      <c r="O32" s="1793">
        <v>2.88</v>
      </c>
      <c r="P32" s="1793">
        <v>3.42</v>
      </c>
      <c r="Q32" s="1793">
        <v>3.87</v>
      </c>
      <c r="R32" s="1793">
        <v>4.5</v>
      </c>
      <c r="S32" s="1793">
        <v>5.22</v>
      </c>
      <c r="T32" s="1793">
        <v>5.76</v>
      </c>
      <c r="U32" s="1793">
        <v>2.88</v>
      </c>
      <c r="V32" s="1793">
        <v>3.42</v>
      </c>
      <c r="W32" s="1793">
        <v>3.87</v>
      </c>
      <c r="X32" s="1793">
        <v>1.53</v>
      </c>
      <c r="Y32" s="1793">
        <v>1.17</v>
      </c>
      <c r="Z32" s="1793">
        <v>1.71</v>
      </c>
    </row>
    <row r="33" spans="2:26">
      <c r="B33" s="1793"/>
      <c r="C33" s="1794">
        <v>39340</v>
      </c>
      <c r="D33" s="1793">
        <v>6.48</v>
      </c>
      <c r="E33" s="1793">
        <v>7.29</v>
      </c>
      <c r="F33" s="1793">
        <v>7.47</v>
      </c>
      <c r="G33" s="1793">
        <v>7.65</v>
      </c>
      <c r="H33" s="1793">
        <v>7.83</v>
      </c>
      <c r="I33" s="1793">
        <v>4.7699999999999996</v>
      </c>
      <c r="J33" s="1793">
        <v>5.22</v>
      </c>
      <c r="L33" s="1793"/>
      <c r="M33" s="1794">
        <v>39316</v>
      </c>
      <c r="N33" s="1793">
        <v>0.81</v>
      </c>
      <c r="O33" s="1793">
        <v>2.61</v>
      </c>
      <c r="P33" s="1793">
        <v>3.15</v>
      </c>
      <c r="Q33" s="1793">
        <v>3.6</v>
      </c>
      <c r="R33" s="1793">
        <v>4.2300000000000004</v>
      </c>
      <c r="S33" s="1793">
        <v>4.95</v>
      </c>
      <c r="T33" s="1793">
        <v>5.49</v>
      </c>
      <c r="U33" s="1793">
        <v>2.61</v>
      </c>
      <c r="V33" s="1793">
        <v>3.15</v>
      </c>
      <c r="W33" s="1793">
        <v>3.6</v>
      </c>
      <c r="X33" s="1793">
        <v>1.53</v>
      </c>
      <c r="Y33" s="1793">
        <v>1.17</v>
      </c>
      <c r="Z33" s="1793">
        <v>1.71</v>
      </c>
    </row>
    <row r="34" spans="2:26">
      <c r="B34" s="1793"/>
      <c r="C34" s="1794">
        <v>39316</v>
      </c>
      <c r="D34" s="1793">
        <v>6.21</v>
      </c>
      <c r="E34" s="1793">
        <v>7.02</v>
      </c>
      <c r="F34" s="1793">
        <v>7.2</v>
      </c>
      <c r="G34" s="1793">
        <v>7.38</v>
      </c>
      <c r="H34" s="1793">
        <v>7.56</v>
      </c>
      <c r="I34" s="1793">
        <v>4.59</v>
      </c>
      <c r="J34" s="1793">
        <v>5.04</v>
      </c>
      <c r="L34" s="1793"/>
      <c r="M34" s="1794">
        <v>39284</v>
      </c>
      <c r="N34" s="1793">
        <v>0.81</v>
      </c>
      <c r="O34" s="1793">
        <v>2.34</v>
      </c>
      <c r="P34" s="1793">
        <v>2.88</v>
      </c>
      <c r="Q34" s="1793">
        <v>3.33</v>
      </c>
      <c r="R34" s="1793">
        <v>3.96</v>
      </c>
      <c r="S34" s="1793">
        <v>4.68</v>
      </c>
      <c r="T34" s="1793">
        <v>5.22</v>
      </c>
      <c r="U34" s="1793">
        <v>2.34</v>
      </c>
      <c r="V34" s="1793">
        <v>2.88</v>
      </c>
      <c r="W34" s="1793">
        <v>3.33</v>
      </c>
      <c r="X34" s="1793">
        <v>1.53</v>
      </c>
      <c r="Y34" s="1793">
        <v>1.17</v>
      </c>
      <c r="Z34" s="1793">
        <v>1.71</v>
      </c>
    </row>
    <row r="35" spans="2:26">
      <c r="B35" s="1793"/>
      <c r="C35" s="1794">
        <v>39284</v>
      </c>
      <c r="D35" s="1793">
        <v>6.03</v>
      </c>
      <c r="E35" s="1793">
        <v>6.84</v>
      </c>
      <c r="F35" s="1793">
        <v>7.02</v>
      </c>
      <c r="G35" s="1793">
        <v>7.2</v>
      </c>
      <c r="H35" s="1793">
        <v>7.38</v>
      </c>
      <c r="I35" s="1793">
        <v>4.5</v>
      </c>
      <c r="J35" s="1793">
        <v>4.95</v>
      </c>
      <c r="L35" s="1793"/>
      <c r="M35" s="1794">
        <v>39221</v>
      </c>
      <c r="N35" s="1793">
        <v>0.72</v>
      </c>
      <c r="O35" s="1793">
        <v>2.0699999999999998</v>
      </c>
      <c r="P35" s="1793">
        <v>2.61</v>
      </c>
      <c r="Q35" s="1793">
        <v>3.06</v>
      </c>
      <c r="R35" s="1793">
        <v>3.69</v>
      </c>
      <c r="S35" s="1793">
        <v>4.41</v>
      </c>
      <c r="T35" s="1793">
        <v>4.95</v>
      </c>
      <c r="U35" s="1793">
        <v>2.0699999999999998</v>
      </c>
      <c r="V35" s="1793">
        <v>2.61</v>
      </c>
      <c r="W35" s="1793">
        <v>3.06</v>
      </c>
      <c r="X35" s="1793">
        <v>1.44</v>
      </c>
      <c r="Y35" s="1793">
        <v>1.08</v>
      </c>
      <c r="Z35" s="1793">
        <v>1.62</v>
      </c>
    </row>
    <row r="36" spans="2:26">
      <c r="B36" s="1793"/>
      <c r="C36" s="1794">
        <v>39221</v>
      </c>
      <c r="D36" s="1793">
        <v>5.85</v>
      </c>
      <c r="E36" s="1793">
        <v>6.57</v>
      </c>
      <c r="F36" s="1793">
        <v>6.75</v>
      </c>
      <c r="G36" s="1793">
        <v>6.93</v>
      </c>
      <c r="H36" s="1793">
        <v>7.2</v>
      </c>
      <c r="I36" s="1793">
        <v>4.41</v>
      </c>
      <c r="J36" s="1793">
        <v>4.8600000000000003</v>
      </c>
      <c r="L36" s="1793"/>
      <c r="M36" s="1794">
        <v>39159</v>
      </c>
      <c r="N36" s="1793">
        <v>0.72</v>
      </c>
      <c r="O36" s="1793">
        <v>1.98</v>
      </c>
      <c r="P36" s="1793">
        <v>2.4300000000000002</v>
      </c>
      <c r="Q36" s="1793">
        <v>2.79</v>
      </c>
      <c r="R36" s="1793">
        <v>3.33</v>
      </c>
      <c r="S36" s="1793">
        <v>3.96</v>
      </c>
      <c r="T36" s="1793">
        <v>4.41</v>
      </c>
      <c r="U36" s="1793">
        <v>1.98</v>
      </c>
      <c r="V36" s="1793">
        <v>2.4300000000000002</v>
      </c>
      <c r="W36" s="1793">
        <v>2.79</v>
      </c>
      <c r="X36" s="1793">
        <v>1.44</v>
      </c>
      <c r="Y36" s="1793">
        <v>1.08</v>
      </c>
      <c r="Z36" s="1793">
        <v>1.62</v>
      </c>
    </row>
    <row r="37" spans="2:26">
      <c r="B37" s="1793"/>
      <c r="C37" s="1794">
        <v>39159</v>
      </c>
      <c r="D37" s="1793">
        <v>5.67</v>
      </c>
      <c r="E37" s="1793">
        <v>6.39</v>
      </c>
      <c r="F37" s="1793">
        <v>6.57</v>
      </c>
      <c r="G37" s="1793">
        <v>6.75</v>
      </c>
      <c r="H37" s="1793">
        <v>7.11</v>
      </c>
      <c r="I37" s="1793">
        <v>4.32</v>
      </c>
      <c r="J37" s="1793">
        <v>4.7699999999999996</v>
      </c>
      <c r="L37" s="1793"/>
      <c r="M37" s="1794">
        <v>38948</v>
      </c>
      <c r="N37" s="1793">
        <v>0.72</v>
      </c>
      <c r="O37" s="1793">
        <v>1.8</v>
      </c>
      <c r="P37" s="1793">
        <v>2.25</v>
      </c>
      <c r="Q37" s="1793">
        <v>2.52</v>
      </c>
      <c r="R37" s="1793">
        <v>3.06</v>
      </c>
      <c r="S37" s="1793">
        <v>3.69</v>
      </c>
      <c r="T37" s="1793">
        <v>4.1399999999999997</v>
      </c>
      <c r="U37" s="1793">
        <v>1.8</v>
      </c>
      <c r="V37" s="1793">
        <v>2.25</v>
      </c>
      <c r="W37" s="1793">
        <v>2.52</v>
      </c>
      <c r="X37" s="1793">
        <v>1.44</v>
      </c>
      <c r="Y37" s="1793">
        <v>1.08</v>
      </c>
      <c r="Z37" s="1793">
        <v>1.62</v>
      </c>
    </row>
    <row r="38" spans="2:26">
      <c r="B38" s="1793"/>
      <c r="C38" s="1794">
        <v>38948</v>
      </c>
      <c r="D38" s="1793">
        <v>5.58</v>
      </c>
      <c r="E38" s="1793">
        <v>6.12</v>
      </c>
      <c r="F38" s="1793">
        <v>6.3</v>
      </c>
      <c r="G38" s="1793">
        <v>6.48</v>
      </c>
      <c r="H38" s="1793">
        <v>6.84</v>
      </c>
      <c r="I38" s="1793">
        <v>4.1399999999999997</v>
      </c>
      <c r="J38" s="1793">
        <v>4.59</v>
      </c>
      <c r="L38" s="1793"/>
      <c r="M38" s="1794">
        <v>38289</v>
      </c>
      <c r="N38" s="1793">
        <v>0.72</v>
      </c>
      <c r="O38" s="1793">
        <v>1.71</v>
      </c>
      <c r="P38" s="1793">
        <v>2.0699999999999998</v>
      </c>
      <c r="Q38" s="1793">
        <v>2.25</v>
      </c>
      <c r="R38" s="1793">
        <v>2.7</v>
      </c>
      <c r="S38" s="1793">
        <v>3.24</v>
      </c>
      <c r="T38" s="1793">
        <v>3.6</v>
      </c>
      <c r="U38" s="1793">
        <v>1.71</v>
      </c>
      <c r="V38" s="1793">
        <v>2.0699999999999998</v>
      </c>
      <c r="W38" s="1793">
        <v>2.25</v>
      </c>
      <c r="X38" s="1793">
        <v>1.44</v>
      </c>
      <c r="Y38" s="1793">
        <v>1.08</v>
      </c>
      <c r="Z38" s="1793">
        <v>1.62</v>
      </c>
    </row>
    <row r="39" spans="2:26">
      <c r="B39" s="1793"/>
      <c r="C39" s="1794">
        <v>38835</v>
      </c>
      <c r="D39" s="1793">
        <v>5.4</v>
      </c>
      <c r="E39" s="1793">
        <v>5.85</v>
      </c>
      <c r="F39" s="1793">
        <v>6.03</v>
      </c>
      <c r="G39" s="1793">
        <v>6.12</v>
      </c>
      <c r="H39" s="1793">
        <v>6.39</v>
      </c>
      <c r="I39" s="1793">
        <v>4.1399999999999997</v>
      </c>
      <c r="J39" s="1793">
        <v>4.59</v>
      </c>
      <c r="L39" s="1793"/>
      <c r="M39" s="1794">
        <v>37308</v>
      </c>
      <c r="N39" s="1793">
        <v>0.72</v>
      </c>
      <c r="O39" s="1793">
        <v>1.71</v>
      </c>
      <c r="P39" s="1793">
        <v>1.89</v>
      </c>
      <c r="Q39" s="1793">
        <v>1.98</v>
      </c>
      <c r="R39" s="1793">
        <v>2.25</v>
      </c>
      <c r="S39" s="1793">
        <v>2.52</v>
      </c>
      <c r="T39" s="1793">
        <v>2.79</v>
      </c>
      <c r="U39" s="1793">
        <v>1.71</v>
      </c>
      <c r="V39" s="1793">
        <v>1.89</v>
      </c>
      <c r="W39" s="1793">
        <v>1.98</v>
      </c>
      <c r="X39" s="1793">
        <v>1.44</v>
      </c>
      <c r="Y39" s="1793">
        <v>1.08</v>
      </c>
      <c r="Z39" s="1793">
        <v>1.62</v>
      </c>
    </row>
    <row r="40" spans="2:26">
      <c r="B40" s="1793"/>
      <c r="C40" s="1794">
        <v>38428</v>
      </c>
      <c r="D40" s="1793">
        <v>5.22</v>
      </c>
      <c r="E40" s="1793">
        <v>5.58</v>
      </c>
      <c r="F40" s="1793">
        <v>5.76</v>
      </c>
      <c r="G40" s="1793">
        <v>5.85</v>
      </c>
      <c r="H40" s="1793">
        <v>6.12</v>
      </c>
      <c r="I40" s="1793">
        <v>3.96</v>
      </c>
      <c r="J40" s="1793">
        <v>4.41</v>
      </c>
      <c r="L40" s="1793"/>
      <c r="M40" s="1794">
        <v>36321</v>
      </c>
      <c r="N40" s="1793">
        <v>0.99</v>
      </c>
      <c r="O40" s="1793">
        <v>1.98</v>
      </c>
      <c r="P40" s="1793">
        <v>2.16</v>
      </c>
      <c r="Q40" s="1793">
        <v>2.25</v>
      </c>
      <c r="R40" s="1793">
        <v>2.4300000000000002</v>
      </c>
      <c r="S40" s="1793">
        <v>2.7</v>
      </c>
      <c r="T40" s="1793">
        <v>2.88</v>
      </c>
      <c r="U40" s="1793">
        <v>1.98</v>
      </c>
      <c r="V40" s="1793">
        <v>2.16</v>
      </c>
      <c r="W40" s="1793">
        <v>2.25</v>
      </c>
      <c r="X40" s="1793">
        <v>1.71</v>
      </c>
      <c r="Y40" s="1793">
        <v>1.35</v>
      </c>
      <c r="Z40" s="1793">
        <v>1.89</v>
      </c>
    </row>
    <row r="41" spans="2:26">
      <c r="B41" s="1793"/>
      <c r="C41" s="1794">
        <v>38289</v>
      </c>
      <c r="D41" s="1793">
        <v>5.22</v>
      </c>
      <c r="E41" s="1793">
        <v>5.58</v>
      </c>
      <c r="F41" s="1793">
        <v>5.76</v>
      </c>
      <c r="G41" s="1793">
        <v>5.85</v>
      </c>
      <c r="H41" s="1793">
        <v>6.12</v>
      </c>
      <c r="I41" s="1793">
        <v>3.78</v>
      </c>
      <c r="J41" s="1793">
        <v>4.2300000000000004</v>
      </c>
      <c r="L41" s="1793"/>
      <c r="M41" s="1794">
        <v>36136</v>
      </c>
      <c r="N41" s="1793">
        <v>1.44</v>
      </c>
      <c r="O41" s="1793">
        <v>2.79</v>
      </c>
      <c r="P41" s="1793">
        <v>3.33</v>
      </c>
      <c r="Q41" s="1793">
        <v>3.78</v>
      </c>
      <c r="R41" s="1793">
        <v>3.96</v>
      </c>
      <c r="S41" s="1793">
        <v>4.1399999999999997</v>
      </c>
      <c r="T41" s="1793">
        <v>4.5</v>
      </c>
      <c r="U41" s="1793">
        <v>3.33</v>
      </c>
      <c r="V41" s="1793">
        <v>3.78</v>
      </c>
      <c r="W41" s="1793">
        <v>4.1399999999999997</v>
      </c>
      <c r="X41" s="1793">
        <v>2.16</v>
      </c>
      <c r="Y41" s="1793">
        <v>1.8</v>
      </c>
      <c r="Z41" s="1793">
        <v>2.34</v>
      </c>
    </row>
    <row r="42" spans="2:26">
      <c r="B42" s="1793"/>
      <c r="C42" s="1794">
        <v>37308</v>
      </c>
      <c r="D42" s="1793">
        <v>5.04</v>
      </c>
      <c r="E42" s="1793">
        <v>5.31</v>
      </c>
      <c r="F42" s="1793">
        <v>5.49</v>
      </c>
      <c r="G42" s="1793">
        <v>5.58</v>
      </c>
      <c r="H42" s="1793">
        <v>5.76</v>
      </c>
      <c r="I42" s="1793">
        <v>3.6</v>
      </c>
      <c r="J42" s="1793">
        <v>4.05</v>
      </c>
      <c r="L42" s="1793"/>
      <c r="M42" s="1794">
        <v>35977</v>
      </c>
      <c r="N42" s="1793">
        <v>1.44</v>
      </c>
      <c r="O42" s="1793">
        <v>2.79</v>
      </c>
      <c r="P42" s="1793">
        <v>3.96</v>
      </c>
      <c r="Q42" s="1793">
        <v>4.7699999999999996</v>
      </c>
      <c r="R42" s="1793">
        <v>4.8600000000000003</v>
      </c>
      <c r="S42" s="1793">
        <v>4.95</v>
      </c>
      <c r="T42" s="1793">
        <v>5.22</v>
      </c>
      <c r="U42" s="1793">
        <v>3.96</v>
      </c>
      <c r="V42" s="1793">
        <v>4.7699999999999996</v>
      </c>
      <c r="W42" s="1793">
        <v>4.95</v>
      </c>
      <c r="X42" s="1793" t="s">
        <v>1216</v>
      </c>
      <c r="Y42" s="1793" t="s">
        <v>1216</v>
      </c>
      <c r="Z42" s="1793" t="s">
        <v>1216</v>
      </c>
    </row>
    <row r="43" spans="2:26">
      <c r="B43" s="1793"/>
      <c r="C43" s="1794">
        <v>36321</v>
      </c>
      <c r="D43" s="1793">
        <v>5.58</v>
      </c>
      <c r="E43" s="1793">
        <v>5.85</v>
      </c>
      <c r="F43" s="1793">
        <v>5.94</v>
      </c>
      <c r="G43" s="1793">
        <v>6.03</v>
      </c>
      <c r="H43" s="1793">
        <v>6.21</v>
      </c>
      <c r="I43" s="1793">
        <v>4.1399999999999997</v>
      </c>
      <c r="J43" s="1793">
        <v>4.59</v>
      </c>
      <c r="L43" s="1793"/>
      <c r="M43" s="1794">
        <v>35879</v>
      </c>
      <c r="N43" s="1793">
        <v>1.71</v>
      </c>
      <c r="O43" s="1793">
        <v>2.88</v>
      </c>
      <c r="P43" s="1793">
        <v>4.1399999999999997</v>
      </c>
      <c r="Q43" s="1793">
        <v>5.22</v>
      </c>
      <c r="R43" s="1793">
        <v>5.58</v>
      </c>
      <c r="S43" s="1793">
        <v>6.21</v>
      </c>
      <c r="T43" s="1793">
        <v>6.66</v>
      </c>
      <c r="U43" s="1793">
        <v>4.1399999999999997</v>
      </c>
      <c r="V43" s="1793">
        <v>5.22</v>
      </c>
      <c r="W43" s="1793">
        <v>6.21</v>
      </c>
      <c r="X43" s="1793" t="s">
        <v>1216</v>
      </c>
      <c r="Y43" s="1793" t="s">
        <v>1216</v>
      </c>
      <c r="Z43" s="1793" t="s">
        <v>1216</v>
      </c>
    </row>
    <row r="44" spans="2:26">
      <c r="B44" s="1793"/>
      <c r="C44" s="1794">
        <v>36136</v>
      </c>
      <c r="D44" s="1793">
        <v>6.12</v>
      </c>
      <c r="E44" s="1793">
        <v>6.39</v>
      </c>
      <c r="F44" s="1793">
        <v>6.66</v>
      </c>
      <c r="G44" s="1793">
        <v>7.2</v>
      </c>
      <c r="H44" s="1793">
        <v>7.56</v>
      </c>
      <c r="I44" s="1793">
        <v>0</v>
      </c>
      <c r="J44" s="1793">
        <v>0</v>
      </c>
      <c r="L44" s="1793"/>
      <c r="M44" s="1794">
        <v>35726</v>
      </c>
      <c r="N44" s="1793">
        <v>1.71</v>
      </c>
      <c r="O44" s="1793">
        <v>2.88</v>
      </c>
      <c r="P44" s="1793">
        <v>4.1399999999999997</v>
      </c>
      <c r="Q44" s="1793">
        <v>5.67</v>
      </c>
      <c r="R44" s="1793">
        <v>5.94</v>
      </c>
      <c r="S44" s="1793">
        <v>6.21</v>
      </c>
      <c r="T44" s="1793">
        <v>6.66</v>
      </c>
      <c r="U44" s="1793">
        <v>4.1399999999999997</v>
      </c>
      <c r="V44" s="1793">
        <v>5.67</v>
      </c>
      <c r="W44" s="1793">
        <v>6.21</v>
      </c>
      <c r="X44" s="1793" t="s">
        <v>1216</v>
      </c>
      <c r="Y44" s="1793" t="s">
        <v>1216</v>
      </c>
      <c r="Z44" s="1793" t="s">
        <v>1216</v>
      </c>
    </row>
    <row r="45" spans="2:26">
      <c r="B45" s="1793"/>
      <c r="C45" s="1794">
        <v>35977</v>
      </c>
      <c r="D45" s="1793">
        <v>6.57</v>
      </c>
      <c r="E45" s="1793">
        <v>6.93</v>
      </c>
      <c r="F45" s="1793">
        <v>7.11</v>
      </c>
      <c r="G45" s="1793">
        <v>7.65</v>
      </c>
      <c r="H45" s="1793">
        <v>8.01</v>
      </c>
      <c r="I45" s="1793">
        <v>0</v>
      </c>
      <c r="J45" s="1793">
        <v>0</v>
      </c>
      <c r="L45" s="1793"/>
      <c r="M45" s="1794">
        <v>35300</v>
      </c>
      <c r="N45" s="1793">
        <v>1.98</v>
      </c>
      <c r="O45" s="1793">
        <v>3.33</v>
      </c>
      <c r="P45" s="1793">
        <v>5.4</v>
      </c>
      <c r="Q45" s="1793">
        <v>7.47</v>
      </c>
      <c r="R45" s="1793">
        <v>7.92</v>
      </c>
      <c r="S45" s="1793">
        <v>8.2799999999999994</v>
      </c>
      <c r="T45" s="1793">
        <v>9</v>
      </c>
      <c r="U45" s="1793">
        <v>5.4</v>
      </c>
      <c r="V45" s="1793">
        <v>7.47</v>
      </c>
      <c r="W45" s="1793">
        <v>8.2799999999999994</v>
      </c>
      <c r="X45" s="1793" t="s">
        <v>1216</v>
      </c>
      <c r="Y45" s="1793" t="s">
        <v>1216</v>
      </c>
      <c r="Z45" s="1793" t="s">
        <v>1216</v>
      </c>
    </row>
    <row r="46" spans="2:26">
      <c r="B46" s="1793"/>
      <c r="C46" s="1794">
        <v>35879</v>
      </c>
      <c r="D46" s="1793">
        <v>7.02</v>
      </c>
      <c r="E46" s="1793">
        <v>7.92</v>
      </c>
      <c r="F46" s="1793">
        <v>9</v>
      </c>
      <c r="G46" s="1793">
        <v>9.7200000000000006</v>
      </c>
      <c r="H46" s="1793">
        <v>10.35</v>
      </c>
      <c r="I46" s="1793">
        <v>0</v>
      </c>
      <c r="J46" s="1793">
        <v>0</v>
      </c>
      <c r="L46" s="1793"/>
      <c r="M46" s="1794">
        <v>35186</v>
      </c>
      <c r="N46" s="1793">
        <v>2.97</v>
      </c>
      <c r="O46" s="1793">
        <v>4.8600000000000003</v>
      </c>
      <c r="P46" s="1793">
        <v>7.2</v>
      </c>
      <c r="Q46" s="1793">
        <v>9.18</v>
      </c>
      <c r="R46" s="1793">
        <v>9.9</v>
      </c>
      <c r="S46" s="1793">
        <v>10.8</v>
      </c>
      <c r="T46" s="1793">
        <v>12.06</v>
      </c>
      <c r="U46" s="1793">
        <v>7.2</v>
      </c>
      <c r="V46" s="1793">
        <v>9.18</v>
      </c>
      <c r="W46" s="1793">
        <v>10.8</v>
      </c>
      <c r="X46" s="1793" t="s">
        <v>1216</v>
      </c>
      <c r="Y46" s="1793" t="s">
        <v>1216</v>
      </c>
      <c r="Z46" s="1793" t="s">
        <v>1216</v>
      </c>
    </row>
    <row r="47" spans="2:26">
      <c r="B47" s="1793"/>
      <c r="C47" s="1794">
        <v>35726</v>
      </c>
      <c r="D47" s="1793">
        <v>7.65</v>
      </c>
      <c r="E47" s="1793">
        <v>8.64</v>
      </c>
      <c r="F47" s="1793">
        <v>9.36</v>
      </c>
      <c r="G47" s="1793">
        <v>9.9</v>
      </c>
      <c r="H47" s="1793">
        <v>10.53</v>
      </c>
      <c r="I47" s="1793">
        <v>0</v>
      </c>
      <c r="J47" s="1793">
        <v>0</v>
      </c>
      <c r="L47" s="1793"/>
      <c r="M47" s="1794">
        <v>34161</v>
      </c>
      <c r="N47" s="1793">
        <v>3.15</v>
      </c>
      <c r="O47" s="1793">
        <v>6.66</v>
      </c>
      <c r="P47" s="1793">
        <v>9</v>
      </c>
      <c r="Q47" s="1793">
        <v>10.98</v>
      </c>
      <c r="R47" s="1793">
        <v>11.7</v>
      </c>
      <c r="S47" s="1793">
        <v>12.24</v>
      </c>
      <c r="T47" s="1793">
        <v>13.86</v>
      </c>
      <c r="U47" s="1793">
        <v>9</v>
      </c>
      <c r="V47" s="1793">
        <v>10.98</v>
      </c>
      <c r="W47" s="1793">
        <v>12.24</v>
      </c>
      <c r="X47" s="1793" t="s">
        <v>1216</v>
      </c>
      <c r="Y47" s="1793" t="s">
        <v>1216</v>
      </c>
      <c r="Z47" s="1793" t="s">
        <v>1216</v>
      </c>
    </row>
    <row r="48" spans="2:26">
      <c r="B48" s="1793"/>
      <c r="C48" s="1794">
        <v>35300</v>
      </c>
      <c r="D48" s="1793">
        <v>9.18</v>
      </c>
      <c r="E48" s="1793">
        <v>10.08</v>
      </c>
      <c r="F48" s="1793">
        <v>10.98</v>
      </c>
      <c r="G48" s="1793">
        <v>11.7</v>
      </c>
      <c r="H48" s="1793">
        <v>12.42</v>
      </c>
      <c r="I48" s="1793">
        <v>0</v>
      </c>
      <c r="J48" s="1793">
        <v>0</v>
      </c>
      <c r="L48" s="1793"/>
      <c r="M48" s="1794">
        <v>34104</v>
      </c>
      <c r="N48" s="1793">
        <v>2.16</v>
      </c>
      <c r="O48" s="1793">
        <v>4.8600000000000003</v>
      </c>
      <c r="P48" s="1793">
        <v>7.2</v>
      </c>
      <c r="Q48" s="1793">
        <v>9.18</v>
      </c>
      <c r="R48" s="1793">
        <v>9.9</v>
      </c>
      <c r="S48" s="1793">
        <v>10.8</v>
      </c>
      <c r="T48" s="1793">
        <v>12.06</v>
      </c>
      <c r="U48" s="1793">
        <v>7.2</v>
      </c>
      <c r="V48" s="1793">
        <v>9.18</v>
      </c>
      <c r="W48" s="1793">
        <v>10.8</v>
      </c>
      <c r="X48" s="1793" t="s">
        <v>1216</v>
      </c>
      <c r="Y48" s="1793" t="s">
        <v>1216</v>
      </c>
      <c r="Z48" s="1793" t="s">
        <v>1216</v>
      </c>
    </row>
    <row r="49" spans="2:26">
      <c r="B49" s="1793"/>
      <c r="C49" s="1794">
        <v>35186</v>
      </c>
      <c r="D49" s="1793">
        <v>9.7200000000000006</v>
      </c>
      <c r="E49" s="1793">
        <v>10.98</v>
      </c>
      <c r="F49" s="1793">
        <v>13.14</v>
      </c>
      <c r="G49" s="1793">
        <v>14.94</v>
      </c>
      <c r="H49" s="1793">
        <v>15.12</v>
      </c>
      <c r="I49" s="1793">
        <v>0</v>
      </c>
      <c r="J49" s="1793">
        <v>0</v>
      </c>
      <c r="L49" s="1793"/>
      <c r="M49" s="1794">
        <v>33349</v>
      </c>
      <c r="N49" s="1793">
        <v>1.8</v>
      </c>
      <c r="O49" s="1793">
        <v>3.24</v>
      </c>
      <c r="P49" s="1793">
        <v>5.4</v>
      </c>
      <c r="Q49" s="1793">
        <v>7.56</v>
      </c>
      <c r="R49" s="1793">
        <v>7.92</v>
      </c>
      <c r="S49" s="1793">
        <v>8.2799999999999994</v>
      </c>
      <c r="T49" s="1793">
        <v>9</v>
      </c>
      <c r="U49" s="1793">
        <v>6.12</v>
      </c>
      <c r="V49" s="1793">
        <v>6.84</v>
      </c>
      <c r="W49" s="1793">
        <v>7.56</v>
      </c>
      <c r="X49" s="1793" t="s">
        <v>1216</v>
      </c>
      <c r="Y49" s="1793" t="s">
        <v>1216</v>
      </c>
      <c r="Z49" s="1793" t="s">
        <v>1216</v>
      </c>
    </row>
    <row r="50" spans="2:26">
      <c r="B50" s="1793"/>
      <c r="C50" s="1794">
        <v>34881</v>
      </c>
      <c r="D50" s="1793">
        <v>10.08</v>
      </c>
      <c r="E50" s="1793">
        <v>12.06</v>
      </c>
      <c r="F50" s="1793">
        <v>13.5</v>
      </c>
      <c r="G50" s="1793">
        <v>15.12</v>
      </c>
      <c r="H50" s="1793">
        <v>15.3</v>
      </c>
      <c r="I50" s="1793">
        <v>0</v>
      </c>
      <c r="J50" s="1793">
        <v>0</v>
      </c>
      <c r="L50" s="1793"/>
      <c r="M50" s="1794">
        <v>33106</v>
      </c>
      <c r="N50" s="1793">
        <v>2.16</v>
      </c>
      <c r="O50" s="1793">
        <v>4.32</v>
      </c>
      <c r="P50" s="1793">
        <v>6.48</v>
      </c>
      <c r="Q50" s="1793">
        <v>8.64</v>
      </c>
      <c r="R50" s="1793">
        <v>9.36</v>
      </c>
      <c r="S50" s="1793">
        <v>10.08</v>
      </c>
      <c r="T50" s="1793">
        <v>11.52</v>
      </c>
      <c r="U50" s="1793">
        <v>7.2</v>
      </c>
      <c r="V50" s="1793">
        <v>8.64</v>
      </c>
      <c r="W50" s="1793">
        <v>10.08</v>
      </c>
      <c r="X50" s="1793" t="s">
        <v>1216</v>
      </c>
      <c r="Y50" s="1793" t="s">
        <v>1216</v>
      </c>
      <c r="Z50" s="1793" t="s">
        <v>1216</v>
      </c>
    </row>
    <row r="51" spans="2:26">
      <c r="B51" s="1793"/>
      <c r="C51" s="1794">
        <v>34700</v>
      </c>
      <c r="D51" s="1793">
        <v>9</v>
      </c>
      <c r="E51" s="1793">
        <v>10.98</v>
      </c>
      <c r="F51" s="1793">
        <v>12.96</v>
      </c>
      <c r="G51" s="1793">
        <v>14.58</v>
      </c>
      <c r="H51" s="1793">
        <v>14.76</v>
      </c>
      <c r="I51" s="1793">
        <v>0</v>
      </c>
      <c r="J51" s="1793">
        <v>0</v>
      </c>
      <c r="L51" s="1793"/>
      <c r="M51" s="1794">
        <v>32978</v>
      </c>
      <c r="N51" s="1793">
        <v>2.88</v>
      </c>
      <c r="O51" s="1793">
        <v>6.3</v>
      </c>
      <c r="P51" s="1793">
        <v>7.74</v>
      </c>
      <c r="Q51" s="1793">
        <v>10.08</v>
      </c>
      <c r="R51" s="1793">
        <v>10.98</v>
      </c>
      <c r="S51" s="1793">
        <v>11.88</v>
      </c>
      <c r="T51" s="1793">
        <v>13.68</v>
      </c>
      <c r="U51" s="1793" t="s">
        <v>1216</v>
      </c>
      <c r="V51" s="1793" t="s">
        <v>1216</v>
      </c>
      <c r="W51" s="1793" t="s">
        <v>1216</v>
      </c>
      <c r="X51" s="1793" t="s">
        <v>1216</v>
      </c>
      <c r="Y51" s="1793" t="s">
        <v>1216</v>
      </c>
      <c r="Z51" s="1793" t="s">
        <v>1216</v>
      </c>
    </row>
    <row r="52" spans="2:26">
      <c r="B52" s="1793"/>
      <c r="C52" s="1794">
        <v>34161</v>
      </c>
      <c r="D52" s="1793">
        <v>9</v>
      </c>
      <c r="E52" s="1793">
        <v>10.98</v>
      </c>
      <c r="F52" s="1793">
        <v>12.24</v>
      </c>
      <c r="G52" s="1793">
        <v>13.86</v>
      </c>
      <c r="H52" s="1793">
        <v>14.04</v>
      </c>
      <c r="I52" s="1793">
        <v>0</v>
      </c>
      <c r="J52" s="1793">
        <v>0</v>
      </c>
      <c r="L52" s="1793"/>
      <c r="M52" s="1794"/>
      <c r="N52" s="1793"/>
      <c r="O52" s="1793"/>
      <c r="P52" s="1793"/>
      <c r="Q52" s="1793"/>
      <c r="R52" s="1793"/>
      <c r="S52" s="1793"/>
      <c r="T52" s="1793"/>
      <c r="U52" s="1793"/>
      <c r="V52" s="1793"/>
      <c r="W52" s="1793"/>
      <c r="X52" s="1793"/>
      <c r="Y52" s="1793"/>
      <c r="Z52" s="1793"/>
    </row>
    <row r="53" spans="2:26">
      <c r="B53" s="1793"/>
      <c r="C53" s="1794">
        <v>34104</v>
      </c>
      <c r="D53" s="1793">
        <v>8.82</v>
      </c>
      <c r="E53" s="1793">
        <v>9.36</v>
      </c>
      <c r="F53" s="1793">
        <v>10.8</v>
      </c>
      <c r="G53" s="1793">
        <v>12.06</v>
      </c>
      <c r="H53" s="1793">
        <v>12.24</v>
      </c>
      <c r="I53" s="1793">
        <v>0</v>
      </c>
      <c r="J53" s="1793">
        <v>0</v>
      </c>
      <c r="L53" s="1793"/>
      <c r="M53" s="1794"/>
      <c r="N53" s="1793"/>
      <c r="O53" s="1793"/>
      <c r="P53" s="1793"/>
      <c r="Q53" s="1793"/>
      <c r="R53" s="1793"/>
      <c r="S53" s="1793"/>
      <c r="T53" s="1793"/>
      <c r="U53" s="1793"/>
      <c r="V53" s="1793"/>
      <c r="W53" s="1793"/>
      <c r="X53" s="1793"/>
      <c r="Y53" s="1793"/>
      <c r="Z53" s="1793"/>
    </row>
    <row r="54" spans="2:26">
      <c r="B54" s="1793"/>
      <c r="C54" s="1794">
        <v>33349</v>
      </c>
      <c r="D54" s="1793">
        <v>8.1</v>
      </c>
      <c r="E54" s="1793">
        <v>8.64</v>
      </c>
      <c r="F54" s="1793">
        <v>9</v>
      </c>
      <c r="G54" s="1793">
        <v>9.5399999999999991</v>
      </c>
      <c r="H54" s="1793">
        <v>9.7200000000000006</v>
      </c>
      <c r="I54" s="1793">
        <v>0</v>
      </c>
      <c r="J54" s="1793">
        <v>0</v>
      </c>
      <c r="L54" s="1793"/>
      <c r="M54" s="1794"/>
      <c r="N54" s="1793"/>
      <c r="O54" s="1793"/>
      <c r="P54" s="1793"/>
      <c r="Q54" s="1793"/>
      <c r="R54" s="1793"/>
      <c r="S54" s="1793"/>
      <c r="T54" s="1793"/>
      <c r="U54" s="1793"/>
      <c r="V54" s="1793"/>
      <c r="W54" s="1793"/>
      <c r="X54" s="1793"/>
      <c r="Y54" s="1793"/>
      <c r="Z54" s="1793"/>
    </row>
    <row r="55" spans="2:26">
      <c r="B55" s="1793"/>
      <c r="C55" s="1794">
        <v>33318</v>
      </c>
      <c r="D55" s="1793">
        <v>9</v>
      </c>
      <c r="E55" s="1793">
        <v>10.08</v>
      </c>
      <c r="F55" s="1793">
        <v>10.8</v>
      </c>
      <c r="G55" s="1793">
        <v>11.52</v>
      </c>
      <c r="H55" s="1793">
        <v>11.88</v>
      </c>
      <c r="I55" s="1793" t="s">
        <v>1216</v>
      </c>
      <c r="J55" s="1793" t="s">
        <v>1216</v>
      </c>
      <c r="L55" s="1793"/>
      <c r="M55" s="1794"/>
      <c r="N55" s="1793"/>
      <c r="O55" s="1793"/>
      <c r="P55" s="1793"/>
      <c r="Q55" s="1793"/>
      <c r="R55" s="1793"/>
      <c r="S55" s="1793"/>
      <c r="T55" s="1793"/>
      <c r="U55" s="1793"/>
      <c r="V55" s="1793"/>
      <c r="W55" s="1793"/>
      <c r="X55" s="1793"/>
      <c r="Y55" s="1793"/>
      <c r="Z55" s="1793"/>
    </row>
    <row r="56" spans="2:26">
      <c r="B56" s="1793"/>
      <c r="C56" s="1794">
        <v>33106</v>
      </c>
      <c r="D56" s="1793">
        <v>8.64</v>
      </c>
      <c r="E56" s="1793">
        <v>9.36</v>
      </c>
      <c r="F56" s="1793">
        <v>10.08</v>
      </c>
      <c r="G56" s="1793">
        <v>10.8</v>
      </c>
      <c r="H56" s="1793">
        <v>11.16</v>
      </c>
      <c r="I56" s="1793">
        <v>0</v>
      </c>
      <c r="J56" s="1793">
        <v>0</v>
      </c>
      <c r="L56" s="1793"/>
      <c r="M56" s="1794"/>
      <c r="N56" s="1793"/>
      <c r="O56" s="1793"/>
      <c r="P56" s="1793"/>
      <c r="Q56" s="1793"/>
      <c r="R56" s="1793"/>
      <c r="S56" s="1793"/>
      <c r="T56" s="1793"/>
      <c r="U56" s="1793"/>
      <c r="V56" s="1793"/>
      <c r="W56" s="1793"/>
      <c r="X56" s="1793"/>
      <c r="Y56" s="1793"/>
      <c r="Z56" s="1793"/>
    </row>
    <row r="57" spans="2:26">
      <c r="B57" s="1793"/>
      <c r="C57" s="1794">
        <v>32540</v>
      </c>
      <c r="D57" s="1793">
        <v>11.34</v>
      </c>
      <c r="E57" s="1793">
        <v>11.34</v>
      </c>
      <c r="F57" s="1793">
        <v>12.78</v>
      </c>
      <c r="G57" s="1793">
        <v>14.4</v>
      </c>
      <c r="H57" s="1793">
        <v>19.260000000000002</v>
      </c>
      <c r="I57" s="1793">
        <v>0</v>
      </c>
      <c r="J57" s="1793">
        <v>0</v>
      </c>
      <c r="L57" s="1793"/>
      <c r="M57" s="1794"/>
      <c r="N57" s="1793"/>
      <c r="O57" s="1793"/>
      <c r="P57" s="1793"/>
      <c r="Q57" s="1793"/>
      <c r="R57" s="1793"/>
      <c r="S57" s="1793"/>
      <c r="T57" s="1793"/>
      <c r="U57" s="1793"/>
      <c r="V57" s="1793"/>
      <c r="W57" s="1793"/>
      <c r="X57" s="1793"/>
      <c r="Y57" s="1793"/>
      <c r="Z57" s="1793"/>
    </row>
    <row r="58" spans="2:26">
      <c r="B58" s="1793"/>
      <c r="C58" s="1794"/>
      <c r="D58" s="1793"/>
      <c r="E58" s="1793"/>
      <c r="F58" s="1793"/>
      <c r="G58" s="1793"/>
      <c r="H58" s="1793"/>
      <c r="I58" s="1793"/>
      <c r="J58" s="1793"/>
    </row>
    <row r="59" spans="2:26">
      <c r="B59" s="1797"/>
      <c r="C59" s="1798"/>
      <c r="D59" s="1797"/>
      <c r="E59" s="1797"/>
      <c r="F59" s="1797"/>
      <c r="G59" s="1797"/>
      <c r="H59" s="1797"/>
      <c r="I59" s="1797"/>
      <c r="J59" s="1797"/>
    </row>
    <row r="60" spans="2:26">
      <c r="B60" s="1797"/>
      <c r="C60" s="1798"/>
      <c r="D60" s="1797"/>
      <c r="E60" s="1797"/>
      <c r="F60" s="1797"/>
      <c r="G60" s="1797"/>
      <c r="H60" s="1797"/>
      <c r="I60" s="1797"/>
      <c r="J60" s="1797"/>
    </row>
    <row r="61" spans="2:26">
      <c r="B61" s="1797"/>
      <c r="C61" s="1798"/>
      <c r="D61" s="1797"/>
      <c r="E61" s="1797"/>
      <c r="F61" s="1797"/>
      <c r="G61" s="1797"/>
      <c r="H61" s="1797"/>
      <c r="I61" s="1797"/>
      <c r="J61" s="1797"/>
    </row>
    <row r="62" spans="2:26">
      <c r="B62" s="1744"/>
      <c r="C62" s="1744"/>
      <c r="D62" s="1744"/>
      <c r="E62" s="1744"/>
      <c r="F62" s="1744"/>
      <c r="G62" s="1744"/>
      <c r="H62" s="1744"/>
      <c r="I62" s="1744"/>
      <c r="J62" s="1744"/>
    </row>
    <row r="63" spans="2:26">
      <c r="B63" s="1744"/>
      <c r="C63" s="1744"/>
      <c r="D63" s="1744"/>
      <c r="E63" s="1744"/>
      <c r="F63" s="1744"/>
      <c r="G63" s="1744"/>
      <c r="H63" s="1744"/>
      <c r="I63" s="1744"/>
      <c r="J63" s="1744"/>
    </row>
  </sheetData>
  <sheetProtection sheet="1" objects="1" scenarios="1"/>
  <phoneticPr fontId="14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1:S14"/>
  <sheetViews>
    <sheetView topLeftCell="I22" workbookViewId="0">
      <selection activeCell="P14" sqref="P14"/>
    </sheetView>
  </sheetViews>
  <sheetFormatPr defaultRowHeight="13.5"/>
  <sheetData>
    <row r="11" spans="10:19">
      <c r="J11" s="1907" t="s">
        <v>2840</v>
      </c>
      <c r="L11" s="1907" t="s">
        <v>2848</v>
      </c>
      <c r="M11" s="1907" t="s">
        <v>2835</v>
      </c>
      <c r="N11" s="1907" t="s">
        <v>2839</v>
      </c>
      <c r="O11" s="1907" t="s">
        <v>2841</v>
      </c>
      <c r="P11" s="1907" t="s">
        <v>2842</v>
      </c>
      <c r="Q11" s="1907" t="s">
        <v>2847</v>
      </c>
      <c r="R11" s="1907" t="s">
        <v>2852</v>
      </c>
      <c r="S11" s="1907" t="s">
        <v>2853</v>
      </c>
    </row>
    <row r="12" spans="10:19">
      <c r="J12">
        <v>0.98</v>
      </c>
      <c r="K12" s="1907" t="s">
        <v>2836</v>
      </c>
      <c r="L12" s="1907" t="s">
        <v>2849</v>
      </c>
      <c r="M12">
        <v>42187</v>
      </c>
      <c r="N12">
        <f>ROUND(M12*$J$12,0)</f>
        <v>41343</v>
      </c>
      <c r="O12">
        <v>192</v>
      </c>
      <c r="P12" s="1907" t="s">
        <v>2846</v>
      </c>
      <c r="Q12">
        <v>2001</v>
      </c>
      <c r="R12">
        <f>ROUND(1-(1-0%)*(2018-Q12)/60,2)</f>
        <v>0.72</v>
      </c>
      <c r="S12">
        <f>ROUND(50-2-(2018-Q12),0)</f>
        <v>31</v>
      </c>
    </row>
    <row r="13" spans="10:19">
      <c r="K13" s="1907" t="s">
        <v>2837</v>
      </c>
      <c r="L13" s="1907" t="s">
        <v>2850</v>
      </c>
      <c r="M13">
        <v>37900</v>
      </c>
      <c r="N13">
        <f t="shared" ref="N13:N14" si="0">ROUND(M13*$J$12,0)</f>
        <v>37142</v>
      </c>
      <c r="O13">
        <v>2623</v>
      </c>
      <c r="P13" s="1907" t="s">
        <v>2844</v>
      </c>
      <c r="Q13">
        <v>2003</v>
      </c>
      <c r="R13">
        <f t="shared" ref="R13:R14" si="1">ROUND(1-(1-0%)*(2018-Q13)/60,2)</f>
        <v>0.75</v>
      </c>
      <c r="S13">
        <f t="shared" ref="S13:S14" si="2">ROUND(50-2-(2018-Q13),0)</f>
        <v>33</v>
      </c>
    </row>
    <row r="14" spans="10:19">
      <c r="K14" s="1907" t="s">
        <v>2838</v>
      </c>
      <c r="L14" s="1907" t="s">
        <v>2851</v>
      </c>
      <c r="M14">
        <v>44000</v>
      </c>
      <c r="N14">
        <f t="shared" si="0"/>
        <v>43120</v>
      </c>
      <c r="O14">
        <v>470</v>
      </c>
      <c r="P14" s="1907" t="s">
        <v>2844</v>
      </c>
      <c r="Q14">
        <v>2006</v>
      </c>
      <c r="R14">
        <f t="shared" si="1"/>
        <v>0.8</v>
      </c>
      <c r="S14">
        <f t="shared" si="2"/>
        <v>36</v>
      </c>
    </row>
  </sheetData>
  <phoneticPr fontId="14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2018-06-15T03:30:34Z</dcterms:modified>
</cp:coreProperties>
</file>