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6" yWindow="-312" windowWidth="17496" windowHeight="5568"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租金案例" sheetId="80"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N46" i="33"/>
  <c r="P47" i="80"/>
  <c r="V20" i="1" l="1"/>
  <c r="V19" i="1"/>
  <c r="V18" i="1"/>
  <c r="W19" i="1"/>
  <c r="W20" i="1" s="1"/>
  <c r="B14" i="74" l="1"/>
  <c r="M15" i="80"/>
  <c r="M13" i="80"/>
  <c r="I22" i="33"/>
  <c r="G22" i="33"/>
  <c r="E22" i="33"/>
  <c r="I26" i="33"/>
  <c r="G26" i="33"/>
  <c r="E26" i="33"/>
  <c r="C33" i="33"/>
  <c r="P45" i="80"/>
  <c r="D89" i="33"/>
  <c r="E89" i="33" s="1"/>
  <c r="F89" i="33" s="1"/>
  <c r="G89" i="33" s="1"/>
  <c r="N6" i="1" l="1"/>
  <c r="C36" i="33" s="1"/>
  <c r="L22" i="1"/>
  <c r="D33" i="43" l="1"/>
  <c r="J49" i="67"/>
  <c r="I43" i="1"/>
  <c r="G43" i="1"/>
  <c r="I41" i="1"/>
  <c r="G41" i="1"/>
  <c r="I31" i="1"/>
  <c r="I42" i="1" s="1"/>
  <c r="H31" i="1"/>
  <c r="H43" i="1" s="1"/>
  <c r="G31" i="1"/>
  <c r="G42" i="1" s="1"/>
  <c r="H42" i="1" l="1"/>
  <c r="H41" i="1"/>
  <c r="F19" i="6" l="1"/>
  <c r="L20" i="1"/>
  <c r="Y6" i="1" s="1"/>
  <c r="G58" i="43"/>
  <c r="G57" i="43"/>
  <c r="G56" i="43"/>
  <c r="G55" i="43"/>
  <c r="G54" i="43"/>
  <c r="G53" i="43"/>
  <c r="G52" i="43"/>
  <c r="G51" i="43"/>
  <c r="G50" i="43"/>
  <c r="D37" i="43" l="1"/>
  <c r="B59" i="1" l="1"/>
  <c r="G19" i="6"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AA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D1" i="43"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c r="H121" i="33"/>
  <c r="I121" i="33"/>
  <c r="J121" i="33"/>
  <c r="K121" i="33"/>
  <c r="L121" i="33"/>
  <c r="M121" i="33"/>
  <c r="S42" i="33"/>
  <c r="F36" i="33"/>
  <c r="AA36" i="33" s="1"/>
  <c r="J35" i="33"/>
  <c r="W35" i="33" s="1"/>
  <c r="S37" i="33"/>
  <c r="S39" i="33"/>
  <c r="J32" i="33"/>
  <c r="W32" i="33" s="1"/>
  <c r="S46" i="33"/>
  <c r="W43" i="33"/>
  <c r="H27" i="33"/>
  <c r="AB27" i="33" s="1"/>
  <c r="H25" i="33"/>
  <c r="AB25" i="33" s="1"/>
  <c r="F25" i="33"/>
  <c r="AA25" i="33" s="1"/>
  <c r="J23" i="33"/>
  <c r="W23" i="33" s="1"/>
  <c r="H23" i="33"/>
  <c r="AB23" i="33" s="1"/>
  <c r="F19" i="33"/>
  <c r="S19" i="33" s="1"/>
  <c r="W19" i="33"/>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AC35" i="33"/>
  <c r="J36" i="33"/>
  <c r="W36" i="33" s="1"/>
  <c r="H36" i="33"/>
  <c r="U36" i="33" s="1"/>
  <c r="J27" i="33"/>
  <c r="AC27" i="33" s="1"/>
  <c r="J25" i="33"/>
  <c r="W25" i="33" s="1"/>
  <c r="F23" i="33"/>
  <c r="S23" i="33" s="1"/>
  <c r="H19" i="33"/>
  <c r="U19" i="33" s="1"/>
  <c r="H17" i="33"/>
  <c r="AB17" i="33" s="1"/>
  <c r="F17" i="33"/>
  <c r="S17" i="33" s="1"/>
  <c r="S37" i="21"/>
  <c r="AA23" i="21"/>
  <c r="AB15" i="21"/>
  <c r="J23" i="21"/>
  <c r="F85" i="21"/>
  <c r="G85" i="21"/>
  <c r="H23" i="21"/>
  <c r="S13" i="21"/>
  <c r="D6" i="52"/>
  <c r="E32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15"/>
  <c r="E8" i="76"/>
  <c r="C76" i="67"/>
  <c r="E13" i="76"/>
  <c r="F40" i="15"/>
  <c r="F20" i="31"/>
  <c r="B10" i="76"/>
  <c r="J15" i="15"/>
  <c r="M22" i="67"/>
  <c r="D5" i="73"/>
  <c r="M6" i="67"/>
  <c r="J15" i="67"/>
  <c r="F40" i="67"/>
  <c r="F36" i="67"/>
  <c r="E11" i="76"/>
  <c r="F9" i="67"/>
  <c r="F7" i="67"/>
  <c r="M23" i="67"/>
  <c r="E7" i="76"/>
  <c r="F42" i="67"/>
  <c r="F26" i="15"/>
  <c r="F5" i="73"/>
  <c r="F8" i="15"/>
  <c r="F13" i="15"/>
  <c r="M8" i="15"/>
  <c r="F42" i="15"/>
  <c r="F38" i="67"/>
  <c r="F13" i="67"/>
  <c r="AO13" i="1"/>
  <c r="E2" i="68"/>
  <c r="M29" i="67"/>
  <c r="L47" i="67"/>
  <c r="F3" i="73"/>
  <c r="F38" i="15"/>
  <c r="M9" i="67"/>
  <c r="D7" i="73"/>
  <c r="F6" i="73"/>
  <c r="B12" i="76"/>
  <c r="F4" i="73"/>
  <c r="C76" i="15"/>
  <c r="M28" i="15"/>
  <c r="F6" i="15"/>
  <c r="M29" i="15"/>
  <c r="M8" i="67"/>
  <c r="B7" i="76"/>
  <c r="D6" i="73"/>
  <c r="M6" i="15"/>
  <c r="F7" i="73"/>
  <c r="B11" i="76"/>
  <c r="M26" i="67"/>
  <c r="E2" i="69"/>
  <c r="F43" i="15"/>
  <c r="M26" i="15"/>
  <c r="M22" i="15"/>
  <c r="F8" i="67"/>
  <c r="E9" i="76"/>
  <c r="L48" i="67"/>
  <c r="D4" i="73"/>
  <c r="M28" i="67"/>
  <c r="M9" i="15"/>
  <c r="F9" i="15"/>
  <c r="F43" i="67"/>
  <c r="F37" i="15"/>
  <c r="F36" i="15"/>
  <c r="F16" i="15"/>
  <c r="E12" i="76"/>
  <c r="F37" i="67"/>
  <c r="M24" i="67"/>
  <c r="B13" i="76"/>
  <c r="M23" i="15"/>
  <c r="D3" i="73"/>
  <c r="F16" i="67"/>
  <c r="F7" i="15"/>
  <c r="F26" i="67"/>
  <c r="E10" i="76"/>
  <c r="M24" i="15"/>
  <c r="B9" i="76"/>
  <c r="B8" i="76"/>
  <c r="F27" i="33" l="1"/>
  <c r="AA27" i="33" s="1"/>
  <c r="AB28" i="33"/>
  <c r="AA28" i="33"/>
  <c r="U37" i="33"/>
  <c r="AC17" i="33"/>
  <c r="U17" i="33"/>
  <c r="AA19" i="33"/>
  <c r="AB21" i="33"/>
  <c r="S21" i="33"/>
  <c r="AC23" i="33"/>
  <c r="AB34" i="33"/>
  <c r="AC32" i="33"/>
  <c r="U32" i="33"/>
  <c r="U27" i="33"/>
  <c r="AB26" i="33"/>
  <c r="U25" i="33"/>
  <c r="AC25" i="33"/>
  <c r="S43" i="33"/>
  <c r="U42" i="33"/>
  <c r="S38" i="33"/>
  <c r="AB36" i="33"/>
  <c r="S36" i="33"/>
  <c r="W27" i="33"/>
  <c r="S25" i="33"/>
  <c r="AA23" i="33"/>
  <c r="U23" i="33"/>
  <c r="W21" i="33"/>
  <c r="AB19" i="33"/>
  <c r="D22" i="15"/>
  <c r="C21" i="68"/>
  <c r="C40" i="69"/>
  <c r="E539" i="3"/>
  <c r="F7" i="1"/>
  <c r="F16" i="4"/>
  <c r="A18" i="51" s="1"/>
  <c r="B13" i="72" s="1"/>
  <c r="G6" i="1"/>
  <c r="I24" i="43"/>
  <c r="B41" i="1"/>
  <c r="F53" i="9" s="1"/>
  <c r="D93" i="9"/>
  <c r="H50" i="43"/>
  <c r="G1" i="69"/>
  <c r="K1" i="12"/>
  <c r="K6" i="1"/>
  <c r="AP6" i="1" s="1"/>
  <c r="F29" i="6"/>
  <c r="F30" i="6" s="1"/>
  <c r="G28"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8"/>
  <c r="G1" i="73"/>
  <c r="D9" i="69"/>
  <c r="C36" i="69"/>
  <c r="C16" i="15"/>
  <c r="L48" i="15"/>
  <c r="C16" i="67"/>
  <c r="S27" i="33" l="1"/>
  <c r="J53" i="15"/>
  <c r="L56" i="15" s="1"/>
  <c r="J57" i="15"/>
  <c r="J55" i="15" s="1"/>
  <c r="J58" i="15" s="1"/>
  <c r="Q50" i="15" s="1"/>
  <c r="I54" i="15"/>
  <c r="L58" i="15"/>
  <c r="Q73" i="15" s="1"/>
  <c r="G7" i="1"/>
  <c r="G16" i="1" s="1"/>
  <c r="F10" i="39" s="1"/>
  <c r="AA10" i="39" s="1"/>
  <c r="F48" i="9"/>
  <c r="O52" i="9" s="1"/>
  <c r="F30" i="11"/>
  <c r="F31" i="12"/>
  <c r="C31" i="12" s="1"/>
  <c r="M18" i="67"/>
  <c r="F30" i="69"/>
  <c r="M18" i="15"/>
  <c r="D68" i="9"/>
  <c r="F30" i="68"/>
  <c r="F28" i="67"/>
  <c r="C28" i="67" s="1"/>
  <c r="F52" i="9"/>
  <c r="F32" i="67"/>
  <c r="F60" i="67" s="1"/>
  <c r="F32" i="15"/>
  <c r="F60" i="15" s="1"/>
  <c r="F28" i="15"/>
  <c r="C28" i="15" s="1"/>
  <c r="F54" i="9"/>
  <c r="E26" i="43"/>
  <c r="D26" i="43" s="1"/>
  <c r="C25" i="43" s="1"/>
  <c r="J26" i="43"/>
  <c r="Q16" i="1"/>
  <c r="F27" i="68" s="1"/>
  <c r="M6" i="1"/>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67"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Q52" i="15"/>
  <c r="J18" i="67"/>
  <c r="C32" i="15"/>
  <c r="F1" i="67"/>
  <c r="Q52" i="67"/>
  <c r="Q61" i="67"/>
  <c r="Q74" i="67"/>
  <c r="Q74" i="15"/>
  <c r="Q61" i="15"/>
  <c r="AE11" i="1"/>
  <c r="AE9" i="1"/>
  <c r="AE7" i="1"/>
  <c r="AE8" i="1"/>
  <c r="AE12" i="1"/>
  <c r="AE10" i="1"/>
  <c r="F27" i="69"/>
  <c r="AE6" i="1"/>
  <c r="Q60" i="15" l="1"/>
  <c r="F1" i="15"/>
  <c r="S10" i="39"/>
  <c r="J10" i="39"/>
  <c r="W10" i="39" s="1"/>
  <c r="H10" i="39"/>
  <c r="U10" i="39" s="1"/>
  <c r="H10" i="40"/>
  <c r="AB10" i="40" s="1"/>
  <c r="F10" i="40"/>
  <c r="S10" i="40" s="1"/>
  <c r="J10" i="40"/>
  <c r="AC10" i="40" s="1"/>
  <c r="F48" i="68"/>
  <c r="C30" i="68"/>
  <c r="C48" i="68"/>
  <c r="C48" i="11"/>
  <c r="C30" i="11"/>
  <c r="F48" i="69"/>
  <c r="C30" i="69"/>
  <c r="C48" i="69"/>
  <c r="C47" i="69"/>
  <c r="D45" i="69" s="1"/>
  <c r="F45" i="69"/>
  <c r="F28" i="12"/>
  <c r="C29" i="12" s="1"/>
  <c r="D28" i="12" s="1"/>
  <c r="F27" i="11"/>
  <c r="C29" i="11" s="1"/>
  <c r="D27" i="11" s="1"/>
  <c r="C29" i="69"/>
  <c r="D27" i="69" s="1"/>
  <c r="O6" i="1"/>
  <c r="P6" i="1" s="1"/>
  <c r="C13" i="12"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67"/>
  <c r="F41" i="15"/>
  <c r="M27" i="15"/>
  <c r="M27" i="67"/>
  <c r="F69" i="67" l="1"/>
  <c r="C6" i="69"/>
  <c r="O16" i="1"/>
  <c r="C47" i="11"/>
  <c r="D45" i="11"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17" i="67"/>
  <c r="C17" i="15"/>
  <c r="C14" i="67"/>
  <c r="C34" i="69"/>
  <c r="C18" i="67" l="1"/>
  <c r="C15" i="67"/>
  <c r="H23" i="6"/>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C7" i="69" s="1"/>
  <c r="H69" i="39"/>
  <c r="I67" i="39"/>
  <c r="D10" i="71"/>
  <c r="C9" i="71"/>
  <c r="C8" i="71" s="1"/>
  <c r="G65" i="40"/>
  <c r="H63" i="40"/>
  <c r="C43" i="37"/>
  <c r="C42" i="37"/>
  <c r="I48" i="35"/>
  <c r="C48" i="33"/>
  <c r="N47" i="33" s="1"/>
  <c r="C49" i="33"/>
  <c r="H58" i="21"/>
  <c r="E47" i="37"/>
  <c r="F47" i="37" s="1"/>
  <c r="E46" i="37"/>
  <c r="F46" i="37" s="1"/>
  <c r="I47" i="37"/>
  <c r="J47" i="37" s="1"/>
  <c r="E53" i="33"/>
  <c r="F53" i="33" s="1"/>
  <c r="E52" i="33"/>
  <c r="F52" i="33" s="1"/>
  <c r="C33" i="15"/>
  <c r="C22" i="11"/>
  <c r="C31" i="11" s="1"/>
  <c r="J19" i="67"/>
  <c r="C34" i="68"/>
  <c r="E6" i="76"/>
  <c r="C14" i="15"/>
  <c r="B6" i="76"/>
  <c r="F6" i="67"/>
  <c r="C8" i="69" l="1"/>
  <c r="C5" i="69" s="1"/>
  <c r="C23" i="69" s="1"/>
  <c r="B29" i="1"/>
  <c r="C6" i="67"/>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8" i="68" l="1"/>
  <c r="C5" i="68" s="1"/>
  <c r="C23" i="68" s="1"/>
  <c r="C18" i="12"/>
  <c r="C21" i="12" s="1"/>
  <c r="C32" i="67"/>
  <c r="C10" i="67"/>
  <c r="C5" i="67" s="1"/>
  <c r="C38" i="67" s="1"/>
  <c r="C33" i="67"/>
  <c r="F7" i="21"/>
  <c r="S7" i="21" s="1"/>
  <c r="J7" i="21"/>
  <c r="D7" i="71"/>
  <c r="C6" i="71"/>
  <c r="C23" i="67"/>
  <c r="C29" i="67" s="1"/>
  <c r="J59" i="67" s="1"/>
  <c r="J60" i="67" s="1"/>
  <c r="Q48" i="67" s="1"/>
  <c r="C19" i="15"/>
  <c r="C20" i="15" s="1"/>
  <c r="C26" i="15" s="1"/>
  <c r="C33" i="68"/>
  <c r="C39" i="68" s="1"/>
  <c r="C38" i="11"/>
  <c r="C35" i="11"/>
  <c r="H27" i="6"/>
  <c r="R19" i="6"/>
  <c r="R7" i="1" s="1"/>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68" l="1"/>
  <c r="C28" i="68" s="1"/>
  <c r="C27" i="68" s="1"/>
  <c r="C22" i="12"/>
  <c r="C27" i="12" s="1"/>
  <c r="C25"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C25" i="68" l="1"/>
  <c r="C22" i="68" s="1"/>
  <c r="C31" i="68" s="1"/>
  <c r="C30" i="12"/>
  <c r="C28" i="12" s="1"/>
  <c r="C32" i="12" s="1"/>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52" i="68" l="1"/>
  <c r="B2" i="68" s="1"/>
  <c r="B3" i="68" s="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Q69" i="67" l="1"/>
  <c r="Q68" i="67" s="1"/>
  <c r="H39"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19" i="9"/>
  <c r="D2" i="35"/>
  <c r="L51" i="15"/>
  <c r="D102" i="9" l="1"/>
  <c r="D21" i="9"/>
  <c r="G19" i="9"/>
  <c r="G21" i="9" s="1"/>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7" i="1"/>
  <c r="AO10" i="1"/>
  <c r="D20" i="9"/>
  <c r="AO12" i="1"/>
  <c r="AO8" i="1"/>
  <c r="AO9" i="1"/>
  <c r="D103" i="9" l="1"/>
  <c r="G20" i="9"/>
  <c r="C32" i="9" s="1"/>
  <c r="C35"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F119" i="9" s="1"/>
  <c r="F5" i="52" s="1"/>
  <c r="B53" i="72" s="1"/>
  <c r="I118" i="9"/>
  <c r="C105" i="9" s="1"/>
  <c r="G4" i="52" l="1"/>
  <c r="B52" i="72" s="1"/>
  <c r="H118" i="9"/>
  <c r="H4" i="52" s="1"/>
  <c r="H102" i="9"/>
  <c r="F4" i="52"/>
  <c r="B51" i="72" s="1"/>
  <c r="I4" i="52"/>
  <c r="E118" i="9"/>
  <c r="H119" i="9" l="1"/>
  <c r="H5" i="52" s="1"/>
  <c r="H101" i="9"/>
  <c r="D14" i="74" s="1"/>
  <c r="B5" i="74" s="1"/>
  <c r="C104" i="9"/>
  <c r="D7" i="53"/>
  <c r="B21" i="72" s="1"/>
  <c r="E14" i="74"/>
  <c r="F14" i="74"/>
  <c r="D118" i="9"/>
  <c r="E4" i="52"/>
  <c r="B48" i="72" s="1"/>
  <c r="M48" i="9" l="1"/>
  <c r="D5" i="53"/>
  <c r="D6" i="53" s="1"/>
  <c r="B22" i="72" s="1"/>
  <c r="H107" i="9"/>
  <c r="D122" i="9" s="1"/>
  <c r="D45" i="9"/>
  <c r="D53" i="9" s="1"/>
  <c r="D5" i="74"/>
  <c r="C5" i="74"/>
  <c r="D4" i="52"/>
  <c r="B47" i="72" s="1"/>
  <c r="D119" i="9"/>
  <c r="D5" i="52" s="1"/>
  <c r="B49" i="72" s="1"/>
  <c r="B20" i="72" l="1"/>
  <c r="C85" i="9"/>
  <c r="D13" i="53"/>
  <c r="D14" i="53" s="1"/>
  <c r="B32" i="72" s="1"/>
  <c r="C78" i="9"/>
  <c r="C73" i="9" s="1"/>
  <c r="C64" i="9"/>
  <c r="C63" i="9" s="1"/>
  <c r="C67" i="9" s="1"/>
  <c r="D59" i="9" s="1"/>
  <c r="M55" i="9" s="1"/>
  <c r="D55" i="9"/>
  <c r="M53" i="9" s="1"/>
  <c r="H108" i="9"/>
  <c r="D15" i="53" s="1"/>
  <c r="B31" i="72" s="1"/>
  <c r="M49" i="9"/>
  <c r="L64" i="9" s="1"/>
  <c r="M64" i="9" s="1"/>
  <c r="C93" i="9"/>
  <c r="C86" i="9" s="1"/>
  <c r="D52" i="9"/>
  <c r="C72" i="9"/>
  <c r="D8" i="52"/>
  <c r="D123" i="9"/>
  <c r="D9" i="52" s="1"/>
  <c r="C95" i="9" l="1"/>
  <c r="B30" i="72"/>
  <c r="L66" i="9"/>
  <c r="M66" i="9" s="1"/>
  <c r="L67" i="9"/>
  <c r="M67" i="9" s="1"/>
  <c r="C79" i="9"/>
  <c r="C80" i="9" s="1"/>
  <c r="E80" i="9" s="1"/>
  <c r="E81" i="9" s="1"/>
  <c r="C68" i="9"/>
  <c r="D54" i="9" s="1"/>
  <c r="L65" i="9"/>
  <c r="M65" i="9" s="1"/>
  <c r="C6" i="74"/>
  <c r="L68" i="9"/>
  <c r="M68" i="9" s="1"/>
  <c r="L63" i="9"/>
  <c r="M63" i="9" s="1"/>
  <c r="C96" i="9"/>
  <c r="E96" i="9" s="1"/>
  <c r="E97" i="9" s="1"/>
  <c r="C81" i="9" l="1"/>
  <c r="M69" i="9"/>
  <c r="N69" i="9" s="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<sst xmlns="http://schemas.openxmlformats.org/spreadsheetml/2006/main" count="7957" uniqueCount="3510">
  <si>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</si>
  <si>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</si>
  <si>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</si>
  <si>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</si>
  <si>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</si>
  <si>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</si>
  <si>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</si>
  <si>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</si>
  <si>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</si>
  <si>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</si>
  <si>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</si>
  <si>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</si>
  <si>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</si>
  <si>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</si>
  <si>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</si>
  <si>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</si>
  <si>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</si>
  <si>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</si>
  <si>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</si>
  <si>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</si>
  <si>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</si>
  <si>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</si>
  <si>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</si>
  <si>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</si>
  <si>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</si>
  <si>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</si>
  <si>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</si>
  <si>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</si>
  <si>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</si>
  <si>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</si>
  <si>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</si>
  <si>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</si>
  <si>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</si>
  <si>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</si>
  <si>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</si>
  <si>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</si>
  <si>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</si>
  <si>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</si>
  <si>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</si>
  <si>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</si>
  <si>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</si>
  <si>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</si>
  <si>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</si>
  <si>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</si>
  <si>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</si>
  <si>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</si>
  <si>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</si>
  <si>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</si>
  <si>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</si>
  <si>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</si>
  <si>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</si>
  <si>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</si>
  <si>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</si>
  <si>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</si>
  <si>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</si>
  <si>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</si>
  <si>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</si>
  <si>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</si>
  <si>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</si>
  <si>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</si>
  <si>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</si>
  <si>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</si>
  <si>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</si>
  <si>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</si>
  <si>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</si>
  <si>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</si>
  <si>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</si>
  <si>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</si>
  <si>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</si>
  <si>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</si>
  <si>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</si>
  <si>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</si>
  <si>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</si>
  <si>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</si>
  <si>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</si>
  <si>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</si>
  <si>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</si>
  <si>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</si>
  <si>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</si>
  <si>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</si>
  <si>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</si>
  <si>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</si>
  <si>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</si>
  <si>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</si>
  <si>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</si>
  <si>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</si>
  <si>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</si>
  <si>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</si>
  <si>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</si>
  <si>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</si>
  <si>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</si>
  <si>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</si>
  <si>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</si>
  <si>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</si>
  <si>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</si>
  <si>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</si>
  <si>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</si>
  <si>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</si>
  <si>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</si>
  <si>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</si>
  <si>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</si>
  <si>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</si>
  <si>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</si>
  <si>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</si>
  <si>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</si>
  <si>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</si>
  <si>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</si>
  <si>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</si>
  <si>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</si>
  <si>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</si>
  <si>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</si>
  <si>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</si>
  <si>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</si>
  <si>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</si>
  <si>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</si>
  <si>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</si>
  <si>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</si>
  <si>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</si>
  <si>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</si>
  <si>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</si>
  <si>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</si>
  <si>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</si>
  <si>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</si>
  <si>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</si>
  <si>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</si>
  <si>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</si>
  <si>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</si>
  <si>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</si>
  <si>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</si>
  <si>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</si>
  <si>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</si>
  <si>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</si>
  <si>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</si>
  <si>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</si>
  <si>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</si>
  <si>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</si>
  <si>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</si>
  <si>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</si>
  <si>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</si>
  <si>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</si>
  <si>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</si>
  <si>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</si>
  <si>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</si>
  <si>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</si>
  <si>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</si>
  <si>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</si>
  <si>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</si>
  <si>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</si>
  <si>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</si>
  <si>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</si>
  <si>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</si>
  <si>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</si>
  <si>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</si>
  <si>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</si>
  <si>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</si>
  <si>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</si>
  <si>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</si>
  <si>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</si>
  <si>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</si>
  <si>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</si>
  <si>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</si>
  <si>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</si>
  <si>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</si>
  <si>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</si>
  <si>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</si>
  <si>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</si>
  <si>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</si>
  <si>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</si>
  <si>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</si>
  <si>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</si>
  <si>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</si>
  <si>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</si>
  <si>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</si>
  <si>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</si>
  <si>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</si>
  <si>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</si>
  <si>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</si>
  <si>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</si>
  <si>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</si>
  <si>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</si>
  <si>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</si>
  <si>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</si>
  <si>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</si>
  <si>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</si>
  <si>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</si>
  <si>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</si>
  <si>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</si>
  <si>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</si>
  <si>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</si>
  <si>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</si>
  <si>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</si>
  <si>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</si>
  <si>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</si>
  <si>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</si>
  <si>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</si>
  <si>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</si>
  <si>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</si>
  <si>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</si>
  <si>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</si>
  <si>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</si>
  <si>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</si>
  <si>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</si>
  <si>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</si>
  <si>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</si>
  <si>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</si>
  <si>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</si>
  <si>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</si>
  <si>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</si>
  <si>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</si>
  <si>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</si>
  <si>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</si>
  <si>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</si>
  <si>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</si>
  <si>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</si>
  <si>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</si>
  <si>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</si>
  <si>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</si>
  <si>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</si>
  <si>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</si>
  <si>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</si>
  <si>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</si>
  <si>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</si>
  <si>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</si>
  <si>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</si>
  <si>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</si>
  <si>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</si>
  <si>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</si>
  <si>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</si>
  <si>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</si>
  <si>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</si>
  <si>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</si>
  <si>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</si>
  <si>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</si>
  <si>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</si>
  <si>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</si>
  <si>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</si>
  <si>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</si>
  <si>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</si>
  <si>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</si>
  <si>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</si>
  <si>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</si>
  <si>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</si>
  <si>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</si>
  <si>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</si>
  <si>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</si>
  <si>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</si>
  <si>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</si>
  <si>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</si>
  <si>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</si>
  <si>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</si>
  <si>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</si>
  <si>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</si>
  <si>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</si>
  <si>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</si>
  <si>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</si>
  <si>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</si>
  <si>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</si>
  <si>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</si>
  <si>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</si>
  <si>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</si>
  <si>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</si>
  <si>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</si>
  <si>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</si>
  <si>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</si>
  <si>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</si>
  <si>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</si>
  <si>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</si>
  <si>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</si>
  <si>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</si>
  <si>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</si>
  <si>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</si>
  <si>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</si>
  <si>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</si>
  <si>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</si>
  <si>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</si>
  <si>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</si>
  <si>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</si>
  <si>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</si>
  <si>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</si>
  <si>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</si>
  <si>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</si>
  <si>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</si>
  <si>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</si>
  <si>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</si>
  <si>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</si>
  <si>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</si>
  <si>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</si>
  <si>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</si>
  <si>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</si>
  <si>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</si>
  <si>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</si>
  <si>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</si>
  <si>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</si>
  <si>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</si>
  <si>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</si>
  <si>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</si>
  <si>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</si>
  <si>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</si>
  <si>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</si>
  <si>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</si>
  <si>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</si>
  <si>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</si>
  <si>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</si>
  <si>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</si>
  <si>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</si>
  <si>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</si>
  <si>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</si>
  <si>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</si>
  <si>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</si>
  <si>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</si>
  <si>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</si>
  <si>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</si>
  <si>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</si>
  <si>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</si>
  <si>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</si>
  <si>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</si>
  <si>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</si>
  <si>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</si>
  <si>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</si>
  <si>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</si>
  <si>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</si>
  <si>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</si>
  <si>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</si>
  <si>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</si>
  <si>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</si>
  <si>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</si>
  <si>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</si>
  <si>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</si>
  <si>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</si>
  <si>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</si>
  <si>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</si>
  <si>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</si>
  <si>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</si>
  <si>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</si>
  <si>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</si>
  <si>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</si>
  <si>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</si>
  <si>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</si>
  <si>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</si>
  <si>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</si>
  <si>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</si>
  <si>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</si>
  <si>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</si>
  <si>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</si>
  <si>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</si>
  <si>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</si>
  <si>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</si>
  <si>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</si>
  <si>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</si>
  <si>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</si>
  <si>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</si>
  <si>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</si>
  <si>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</si>
  <si>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</si>
  <si>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</si>
  <si>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</si>
  <si>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</si>
  <si>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</si>
  <si>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</si>
  <si>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</si>
  <si>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</si>
  <si>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</si>
  <si>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</si>
  <si>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</si>
  <si>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</si>
  <si>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</si>
  <si>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</si>
  <si>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</si>
  <si>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</si>
  <si>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</si>
  <si>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</si>
  <si>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</si>
  <si>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</si>
  <si>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</si>
  <si>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</si>
  <si>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</si>
  <si>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</si>
  <si>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</si>
  <si>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</si>
  <si>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</si>
  <si>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</si>
  <si>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</si>
  <si>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</si>
  <si>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</si>
  <si>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</si>
  <si>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</si>
  <si>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</si>
  <si>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</si>
  <si>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</si>
  <si>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</si>
  <si>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</si>
  <si>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</si>
  <si>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</si>
  <si>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</si>
  <si>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</si>
  <si>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</si>
  <si>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</si>
  <si>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</si>
  <si>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</si>
  <si>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</si>
  <si>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</si>
  <si>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</si>
  <si>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</si>
  <si>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</si>
  <si>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</si>
  <si>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</si>
  <si>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</si>
  <si>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</si>
  <si>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</si>
  <si>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</si>
  <si>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</si>
  <si>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</si>
  <si>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</si>
  <si>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</si>
  <si>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</si>
  <si>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</si>
  <si>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</si>
  <si>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</si>
  <si>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</si>
  <si>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</si>
  <si>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</si>
  <si>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</si>
  <si>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</si>
  <si>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</si>
  <si>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</si>
  <si>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</si>
  <si>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</si>
  <si>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</si>
  <si>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</si>
  <si>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</si>
  <si>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</si>
  <si>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</si>
  <si>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</si>
  <si>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</si>
  <si>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</si>
  <si>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</si>
  <si>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</si>
  <si>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</si>
  <si>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</si>
  <si>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</si>
  <si>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</si>
  <si>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</si>
  <si>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</si>
  <si>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</si>
  <si>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</si>
  <si>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</si>
  <si>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</si>
  <si>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</si>
  <si>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</si>
  <si>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</si>
  <si>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</si>
  <si>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</si>
  <si>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</si>
  <si>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</si>
  <si>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</si>
  <si>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</si>
  <si>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</si>
  <si>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</si>
  <si>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</si>
  <si>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</si>
  <si>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</si>
  <si>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</si>
  <si>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</si>
  <si>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</si>
  <si>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</si>
  <si>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</si>
  <si>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</si>
  <si>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</si>
  <si>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</si>
  <si>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</si>
  <si>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</si>
  <si>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</si>
  <si>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</si>
  <si>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</si>
  <si>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</si>
  <si>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</si>
  <si>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</si>
  <si>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</si>
  <si>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</si>
  <si>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</si>
  <si>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</si>
  <si>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</si>
  <si>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</si>
  <si>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</si>
  <si>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</si>
  <si>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</si>
  <si>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</si>
  <si>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</si>
  <si>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</si>
  <si>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</si>
  <si>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</si>
  <si>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</si>
  <si>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</si>
  <si>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</si>
  <si>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</si>
  <si>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</si>
  <si>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</si>
  <si>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</si>
  <si>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</si>
  <si>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</si>
  <si>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</si>
  <si>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</si>
  <si>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</si>
  <si>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</si>
  <si>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</si>
  <si>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</si>
  <si>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</si>
  <si>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</si>
  <si>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</si>
  <si>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</si>
  <si>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</si>
  <si>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</si>
  <si>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</si>
  <si>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</si>
  <si>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</si>
  <si>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</si>
  <si>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</si>
  <si>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</si>
  <si>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</si>
  <si>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</si>
  <si>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</si>
  <si>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</si>
  <si>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</si>
  <si>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</si>
  <si>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</si>
  <si>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</si>
  <si>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</si>
  <si>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</si>
  <si>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</si>
  <si>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</si>
  <si>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</si>
  <si>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</si>
  <si>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</si>
  <si>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</si>
  <si>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</si>
  <si>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</si>
  <si>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</si>
  <si>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</si>
  <si>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</si>
  <si>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</si>
  <si>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</si>
  <si>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</si>
  <si>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</si>
  <si>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</si>
  <si>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</si>
  <si>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</si>
  <si>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</si>
  <si>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</si>
  <si>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</si>
  <si>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</si>
  <si>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</si>
  <si>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</si>
  <si>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</si>
  <si>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</si>
  <si>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</si>
  <si>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</si>
  <si>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</si>
  <si>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</si>
  <si>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</si>
  <si>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</si>
  <si>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</si>
  <si>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</si>
  <si>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</si>
  <si>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</si>
  <si>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</si>
  <si>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</si>
  <si>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</si>
  <si>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</si>
  <si>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</si>
  <si>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</si>
  <si>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</si>
  <si>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</si>
  <si>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</si>
  <si>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</si>
  <si>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</si>
  <si>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</si>
  <si>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</si>
  <si>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</si>
  <si>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</si>
  <si>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</si>
  <si>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</si>
  <si>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</si>
  <si>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</si>
  <si>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</si>
  <si>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</si>
  <si>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</si>
  <si>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</si>
  <si>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</si>
  <si>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</si>
  <si>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</si>
  <si>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</si>
  <si>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</si>
  <si>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</si>
  <si>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</si>
  <si>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</si>
  <si>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</si>
  <si>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</si>
  <si>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</si>
  <si>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</si>
  <si>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</si>
  <si>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</si>
  <si>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</si>
  <si>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</si>
  <si>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</si>
  <si>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</si>
  <si>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</si>
  <si>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</si>
  <si>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</si>
  <si>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</si>
  <si>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</si>
  <si>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</si>
  <si>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</si>
  <si>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</si>
  <si>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</si>
  <si>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</si>
  <si>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</si>
  <si>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</si>
  <si>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</si>
  <si>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</si>
  <si>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</si>
  <si>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</si>
  <si>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</si>
  <si>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</si>
  <si>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</si>
  <si>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</si>
  <si>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</si>
  <si>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</si>
  <si>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</si>
  <si>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</si>
  <si>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</si>
  <si>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</si>
  <si>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</si>
  <si>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</si>
  <si>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</si>
  <si>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</si>
  <si>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</si>
  <si>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</si>
  <si>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</si>
  <si>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</si>
  <si>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</si>
  <si>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</si>
  <si>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</si>
  <si>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</si>
  <si>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</si>
  <si>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</si>
  <si>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</si>
  <si>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</si>
  <si>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</si>
  <si>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</si>
  <si>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</si>
  <si>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</si>
  <si>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</si>
  <si>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</si>
  <si>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</si>
  <si>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</si>
  <si>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</si>
  <si>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</si>
  <si>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</si>
  <si>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</si>
  <si>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</si>
  <si>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</si>
  <si>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</si>
  <si>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</si>
  <si>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</si>
  <si>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</si>
  <si>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</si>
  <si>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</si>
  <si>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</si>
  <si>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</si>
  <si>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</si>
  <si>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</si>
  <si>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</si>
  <si>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</si>
  <si>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</si>
  <si>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</si>
  <si>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</si>
  <si>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</si>
  <si>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</si>
  <si>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</si>
  <si>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</si>
  <si>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</si>
  <si>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</si>
  <si>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</si>
  <si>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</si>
  <si>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</si>
  <si>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</si>
  <si>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</si>
  <si>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</si>
  <si>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</si>
  <si>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</si>
  <si>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</si>
  <si>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</si>
  <si>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</si>
  <si>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</si>
  <si>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</si>
  <si>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</si>
  <si>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</si>
  <si>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</si>
  <si>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</si>
  <si>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</si>
  <si>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</si>
  <si>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</si>
  <si>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</si>
  <si>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</si>
  <si>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</si>
  <si>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</si>
  <si>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</si>
  <si>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</si>
  <si>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</si>
  <si>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</si>
  <si>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</si>
  <si>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</si>
  <si>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</si>
  <si>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</si>
  <si>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</si>
  <si>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</si>
  <si>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</si>
  <si>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</si>
  <si>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</si>
  <si>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</si>
  <si>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</si>
  <si>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</si>
  <si>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</si>
  <si>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</si>
  <si>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</si>
  <si>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</si>
  <si>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</si>
  <si>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</si>
  <si>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</si>
  <si>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</si>
  <si>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</si>
  <si>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</si>
  <si>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</si>
  <si>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</si>
  <si>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</si>
  <si>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</si>
  <si>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</si>
  <si>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</si>
  <si>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</si>
  <si>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</si>
  <si>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</si>
  <si>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</si>
  <si>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</si>
  <si>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</si>
  <si>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</si>
  <si>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</si>
  <si>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</si>
  <si>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</si>
  <si>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</si>
  <si>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</si>
  <si>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</si>
  <si>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</si>
  <si>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</si>
  <si>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</si>
  <si>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</si>
  <si>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</si>
  <si>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</si>
  <si>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</si>
  <si>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</si>
  <si>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</si>
  <si>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</si>
  <si>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</si>
  <si>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</si>
  <si>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</si>
  <si>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</si>
  <si>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</si>
  <si>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</si>
  <si>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</si>
  <si>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</si>
  <si>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</si>
  <si>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</si>
  <si>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</si>
  <si>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</si>
  <si>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</si>
  <si>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</si>
  <si>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</si>
  <si>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</si>
  <si>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</si>
  <si>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</si>
  <si>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</si>
  <si>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</si>
  <si>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</si>
  <si>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</si>
  <si>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</si>
  <si>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</si>
  <si>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</si>
  <si>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</si>
  <si>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</si>
  <si>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</si>
  <si>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</si>
  <si>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</si>
  <si>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</si>
  <si>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</si>
  <si>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</si>
  <si>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</si>
  <si>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</si>
  <si>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</si>
  <si>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</si>
  <si>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</si>
  <si>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</si>
  <si>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</si>
  <si>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</si>
  <si>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</si>
  <si>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</si>
  <si>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</si>
  <si>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</si>
  <si>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</si>
  <si>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</si>
  <si>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</si>
  <si>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</si>
  <si>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</si>
  <si>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</si>
  <si>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</si>
  <si>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</si>
  <si>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</si>
  <si>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</si>
  <si>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</si>
  <si>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</si>
  <si>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</si>
  <si>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</si>
  <si>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</si>
  <si>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</si>
  <si>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</si>
  <si>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</si>
  <si>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</si>
  <si>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</si>
  <si>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</si>
  <si>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</si>
  <si>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</si>
  <si>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</si>
  <si>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</si>
  <si>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</si>
  <si>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</si>
  <si>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</si>
  <si>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</si>
  <si>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</si>
  <si>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</si>
  <si>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</si>
  <si>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</si>
  <si>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</si>
  <si>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</si>
  <si>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</si>
  <si>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</si>
  <si>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</si>
  <si>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</si>
  <si>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</si>
  <si>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</si>
  <si>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</si>
  <si>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</si>
  <si>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</si>
  <si>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</si>
  <si>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</si>
  <si>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</si>
  <si>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</si>
  <si>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</si>
  <si>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</si>
  <si>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</si>
  <si>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</si>
  <si>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</si>
  <si>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</si>
  <si>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</si>
  <si>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</si>
  <si>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</si>
  <si>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</si>
  <si>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</si>
  <si>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</si>
  <si>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</si>
  <si>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</si>
  <si>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</si>
  <si>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</si>
  <si>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</si>
  <si>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</si>
  <si>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</si>
  <si>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</si>
  <si>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</si>
  <si>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</si>
  <si>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</si>
  <si>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</si>
  <si>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</si>
  <si>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</si>
  <si>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</si>
  <si>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</si>
  <si>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</si>
  <si>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</si>
  <si>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</si>
  <si>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</si>
  <si>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</si>
  <si>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</si>
  <si>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</si>
  <si>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</si>
  <si>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</si>
  <si>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</si>
  <si>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</si>
  <si>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</si>
  <si>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</si>
  <si>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</si>
  <si>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</si>
  <si>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</si>
  <si>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</si>
  <si>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</si>
  <si>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</si>
  <si>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</si>
  <si>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</si>
  <si>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</si>
  <si>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</si>
  <si>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</si>
  <si>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</si>
  <si>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</si>
  <si>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</si>
  <si>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</si>
  <si>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</si>
  <si>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</si>
  <si>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</si>
  <si>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</si>
  <si>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</si>
  <si>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</si>
  <si>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</si>
  <si>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</si>
  <si>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</si>
  <si>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</si>
  <si>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</si>
  <si>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</si>
  <si>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</si>
  <si>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</si>
  <si>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</si>
  <si>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</si>
  <si>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</si>
  <si>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</si>
  <si>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</si>
  <si>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</si>
  <si>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</si>
  <si>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</si>
  <si>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</si>
  <si>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</si>
  <si>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</si>
  <si>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</si>
  <si>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</si>
  <si>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</si>
  <si>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</si>
  <si>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</si>
  <si>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</si>
  <si>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</si>
  <si>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</si>
  <si>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</si>
  <si>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</si>
  <si>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</si>
  <si>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</si>
  <si>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</si>
  <si>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</si>
  <si>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</si>
  <si>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</si>
  <si>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</si>
  <si>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</si>
  <si>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</si>
  <si>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</si>
  <si>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</si>
  <si>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</si>
  <si>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</si>
  <si>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</si>
  <si>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</si>
  <si>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</si>
  <si>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</si>
  <si>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</si>
  <si>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</si>
  <si>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</si>
  <si>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</si>
  <si>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</si>
  <si>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</si>
  <si>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</si>
  <si>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</si>
  <si>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</si>
  <si>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</si>
  <si>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</si>
  <si>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</si>
  <si>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</si>
  <si>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</si>
  <si>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</si>
  <si>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</si>
  <si>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</si>
  <si>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</si>
  <si>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</si>
  <si>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</si>
  <si>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</si>
  <si>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</si>
  <si>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</si>
  <si>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</si>
  <si>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</si>
  <si>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</si>
  <si>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</si>
  <si>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</si>
  <si>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</si>
  <si>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</si>
  <si>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</si>
  <si>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</si>
  <si>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</si>
  <si>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</si>
  <si>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</si>
  <si>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</si>
  <si>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</si>
  <si>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</si>
  <si>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</si>
  <si>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</si>
  <si>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</si>
  <si>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</si>
  <si>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</si>
  <si>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</si>
  <si>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</si>
  <si>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</si>
  <si>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</si>
  <si>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</si>
  <si>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</si>
  <si>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</si>
  <si>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</si>
  <si>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</si>
  <si>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</si>
  <si>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</si>
  <si>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</si>
  <si>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</si>
  <si>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</si>
  <si>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</si>
  <si>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</si>
  <si>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</si>
  <si>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</si>
  <si>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</si>
  <si>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</si>
  <si>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</si>
  <si>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</si>
  <si>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</si>
  <si>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</si>
  <si>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</si>
  <si>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</si>
  <si>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</si>
  <si>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</si>
  <si>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</si>
  <si>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</si>
  <si>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</si>
  <si>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</si>
  <si>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</si>
  <si>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</si>
  <si>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</si>
  <si>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</si>
  <si>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</si>
  <si>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</si>
  <si>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</si>
  <si>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</si>
  <si>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</si>
  <si>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</si>
  <si>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</si>
  <si>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</si>
  <si>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</si>
  <si>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</si>
  <si>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</si>
  <si>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</si>
  <si>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</si>
  <si>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</si>
  <si>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</si>
  <si>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</si>
  <si>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</si>
  <si>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</si>
  <si>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</si>
  <si>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</si>
  <si>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</si>
  <si>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</si>
  <si>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</si>
  <si>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</si>
  <si>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</si>
  <si>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</si>
  <si>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</si>
  <si>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</si>
  <si>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</si>
  <si>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</si>
  <si>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</si>
  <si>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</si>
  <si>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</si>
  <si>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</si>
  <si>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</si>
  <si>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</si>
  <si>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</si>
  <si>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</si>
  <si>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</si>
  <si>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</si>
  <si>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</si>
  <si>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</si>
  <si>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</si>
  <si>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</si>
  <si>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</si>
  <si>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</si>
  <si>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</si>
  <si>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</si>
  <si>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</si>
  <si>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</si>
  <si>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</si>
  <si>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</si>
  <si>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</si>
  <si>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</si>
  <si>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</si>
  <si>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</si>
  <si>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</si>
  <si>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</si>
  <si>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</si>
  <si>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</si>
  <si>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</si>
  <si>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</si>
  <si>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</si>
  <si>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</si>
  <si>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</si>
  <si>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</si>
  <si>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</si>
  <si>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</si>
  <si>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</si>
  <si>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</si>
  <si>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</si>
  <si>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</si>
  <si>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</si>
  <si>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</si>
  <si>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</si>
  <si>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</si>
  <si>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</si>
  <si>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</si>
  <si>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</si>
  <si>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</si>
  <si>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</si>
  <si>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</si>
  <si>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</si>
  <si>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</si>
  <si>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</si>
  <si>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</si>
  <si>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</si>
  <si>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</si>
  <si>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</si>
  <si>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</si>
  <si>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</si>
  <si>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</si>
  <si>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</si>
  <si>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</si>
  <si>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</si>
  <si>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</si>
  <si>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</si>
  <si>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</si>
  <si>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</si>
  <si>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</si>
  <si>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</si>
  <si>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</si>
  <si>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</si>
  <si>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</si>
  <si>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</si>
  <si>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</si>
  <si>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</si>
  <si>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</si>
  <si>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</si>
  <si>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</si>
  <si>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</si>
  <si>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</si>
  <si>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</si>
  <si>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</si>
  <si>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</si>
  <si>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</si>
  <si>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</si>
  <si>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</si>
  <si>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</si>
  <si>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</si>
  <si>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</si>
  <si>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</si>
  <si>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</si>
  <si>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</si>
  <si>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</si>
  <si>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</si>
  <si>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</si>
  <si>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</si>
  <si>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</si>
  <si>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</si>
  <si>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</si>
  <si>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</si>
  <si>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</si>
  <si>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</si>
  <si>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</si>
  <si>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</si>
  <si>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</si>
  <si>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</si>
  <si>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</si>
  <si>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</si>
  <si>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</si>
  <si>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</si>
  <si>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</si>
  <si>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</si>
  <si>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</si>
  <si>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</si>
  <si>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</si>
  <si>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</si>
  <si>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</si>
  <si>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</si>
  <si>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</si>
  <si>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</si>
  <si>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</si>
  <si>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</si>
  <si>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</si>
  <si>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</si>
  <si>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</si>
  <si>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</si>
  <si>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</si>
  <si>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</si>
  <si>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</si>
  <si>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</si>
  <si>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</si>
  <si>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</si>
  <si>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</si>
  <si>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</si>
  <si>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</si>
  <si>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</si>
  <si>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</si>
  <si>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</si>
  <si>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</si>
  <si>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</si>
  <si>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</si>
  <si>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</si>
  <si>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</si>
  <si>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</si>
  <si>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</si>
  <si>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</si>
  <si>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</si>
  <si>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</si>
  <si>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</si>
  <si>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</si>
  <si>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</si>
  <si>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</si>
  <si>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</si>
  <si>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</si>
  <si>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</si>
  <si>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</si>
  <si>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</si>
  <si>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</si>
  <si>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</si>
  <si>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</si>
  <si>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</si>
  <si>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</si>
  <si>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</si>
  <si>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</si>
  <si>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</si>
  <si>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</si>
  <si>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</si>
  <si>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</si>
  <si>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</si>
  <si>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</si>
  <si>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</si>
  <si>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</si>
  <si>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</si>
  <si>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</si>
  <si>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</si>
  <si>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</si>
  <si>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</si>
  <si>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</si>
  <si>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</si>
  <si>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</si>
  <si>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</si>
  <si>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</si>
  <si>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</si>
  <si>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</si>
  <si>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</si>
  <si>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</si>
  <si>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</si>
  <si>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</si>
  <si>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</si>
  <si>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</si>
  <si>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</si>
  <si>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</si>
  <si>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</si>
  <si>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</si>
  <si>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</si>
  <si>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</si>
  <si>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</si>
  <si>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</si>
  <si>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</si>
  <si>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</si>
  <si>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</si>
  <si>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</si>
  <si>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</si>
  <si>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</si>
  <si>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</si>
  <si>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</si>
  <si>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</si>
  <si>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</si>
  <si>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</si>
  <si>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</si>
  <si>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</si>
  <si>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</si>
  <si>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</si>
  <si>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</si>
  <si>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</si>
  <si>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</si>
  <si>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</si>
  <si>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</si>
  <si>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</si>
  <si>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</si>
  <si>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</si>
  <si>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</si>
  <si>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</si>
  <si>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</si>
  <si>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</si>
  <si>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</si>
  <si>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</si>
  <si>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</si>
  <si>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</si>
  <si>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</si>
  <si>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</si>
  <si>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</si>
  <si>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</si>
  <si>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</si>
  <si>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</si>
  <si>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</si>
  <si>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</si>
  <si>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</si>
  <si>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</si>
  <si>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</si>
  <si>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</si>
  <si>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</si>
  <si>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</si>
  <si>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</si>
  <si>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</si>
  <si>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</si>
  <si>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</si>
  <si>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</si>
  <si>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</si>
  <si>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</si>
  <si>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</si>
  <si>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</si>
  <si>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</si>
  <si>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</si>
  <si>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</si>
  <si>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</si>
  <si>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</si>
  <si>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</si>
  <si>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</si>
  <si>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</si>
  <si>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</si>
  <si>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</si>
  <si>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</si>
  <si>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</si>
  <si>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</si>
  <si>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</si>
  <si>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</si>
  <si>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</si>
  <si>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</si>
  <si>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</si>
  <si>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</si>
  <si>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</si>
  <si>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</si>
  <si>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</si>
  <si>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</si>
  <si>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</si>
  <si>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</si>
  <si>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</si>
  <si>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</si>
  <si>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</si>
  <si>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</si>
  <si>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</si>
  <si>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</si>
  <si>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</si>
  <si>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</si>
  <si>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</si>
  <si>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</si>
  <si>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</si>
  <si>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</si>
  <si>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</si>
  <si>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</si>
  <si>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</si>
  <si>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</si>
  <si>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</si>
  <si>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</si>
  <si>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</si>
  <si>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</si>
  <si>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</si>
  <si>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</si>
  <si>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</si>
  <si>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</si>
  <si>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</si>
  <si>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</si>
  <si>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</si>
  <si>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</si>
  <si>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</si>
  <si>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</si>
  <si>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</si>
  <si>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</si>
  <si>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</si>
  <si>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</si>
  <si>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</si>
  <si>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</si>
  <si>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</si>
  <si>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</si>
  <si>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</si>
  <si>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</si>
  <si>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</si>
  <si>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</si>
  <si>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</si>
  <si>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</si>
  <si>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</si>
  <si>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</si>
  <si>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</si>
  <si>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</si>
  <si>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</si>
  <si>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</si>
  <si>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</si>
  <si>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</si>
  <si>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</si>
  <si>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</si>
  <si>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</si>
  <si>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</si>
  <si>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</si>
  <si>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</si>
  <si>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</si>
  <si>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</si>
  <si>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</si>
  <si>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</si>
  <si>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</si>
  <si>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</si>
  <si>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</si>
  <si>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</si>
  <si>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</si>
  <si>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</si>
  <si>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</si>
  <si>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</si>
  <si>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</si>
  <si>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</si>
  <si>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</si>
  <si>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</si>
  <si>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</si>
  <si>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</si>
  <si>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</si>
  <si>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</si>
  <si>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</si>
  <si>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</si>
  <si>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</si>
  <si>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</si>
  <si>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</si>
  <si>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</si>
  <si>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</si>
  <si>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</si>
  <si>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</si>
  <si>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</si>
  <si>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</si>
  <si>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</si>
  <si>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</si>
  <si>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</si>
  <si>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</si>
  <si>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</si>
  <si>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</si>
  <si>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</si>
  <si>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</si>
  <si>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</si>
  <si>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</si>
  <si>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</si>
  <si>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</si>
  <si>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</si>
  <si>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</si>
  <si>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</si>
  <si>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</si>
  <si>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</si>
  <si>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</si>
  <si>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</si>
  <si>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</si>
  <si>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</si>
  <si>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</si>
  <si>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</si>
  <si>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</si>
  <si>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</si>
  <si>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</si>
  <si>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</si>
  <si>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</si>
  <si>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</si>
  <si>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</si>
  <si>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</si>
  <si>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</si>
  <si>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</si>
  <si>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</si>
  <si>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</si>
  <si>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</si>
  <si>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</si>
  <si>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</si>
  <si>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</si>
  <si>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</si>
  <si>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</si>
  <si>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</si>
  <si>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</si>
  <si>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</si>
  <si>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</si>
  <si>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</si>
  <si>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</si>
  <si>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</si>
  <si>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</si>
  <si>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</si>
  <si>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</si>
  <si>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</si>
  <si>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</si>
  <si>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</si>
  <si>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</si>
  <si>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</si>
  <si>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</si>
  <si>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</si>
  <si>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</si>
  <si>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</si>
  <si>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</si>
  <si>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</si>
  <si>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</si>
  <si>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</si>
  <si>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</si>
  <si>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</si>
  <si>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</si>
  <si>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</si>
  <si>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</si>
  <si>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</si>
  <si>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</si>
  <si>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</si>
  <si>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</si>
  <si>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</si>
  <si>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</si>
  <si>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</si>
  <si>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</si>
  <si>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</si>
  <si>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</si>
  <si>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</si>
  <si>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</si>
  <si>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</si>
  <si>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</si>
  <si>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</si>
  <si>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</si>
  <si>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</si>
  <si>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</si>
  <si>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</si>
  <si>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</si>
  <si>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</si>
  <si>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</si>
  <si>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</si>
  <si>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</si>
  <si>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</si>
  <si>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</si>
  <si>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</si>
  <si>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</si>
  <si>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</si>
  <si>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</si>
  <si>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</si>
  <si>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</si>
  <si>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</si>
  <si>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</si>
  <si>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</si>
  <si>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</si>
  <si>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</si>
  <si>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</si>
  <si>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</si>
  <si>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</si>
  <si>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</si>
  <si>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</si>
  <si>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</si>
  <si>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</si>
  <si>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</si>
  <si>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</si>
  <si>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</si>
  <si>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</si>
  <si>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</si>
  <si>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</si>
  <si>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</si>
  <si>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</si>
  <si>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</si>
  <si>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</si>
  <si>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</si>
  <si>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</si>
  <si>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</si>
  <si>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</si>
  <si>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</si>
  <si>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</si>
  <si>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</si>
  <si>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</si>
  <si>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</si>
  <si>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</si>
  <si>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</si>
  <si>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</si>
  <si>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</si>
  <si>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</si>
  <si>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</si>
  <si>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</si>
  <si>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</si>
  <si>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</si>
  <si>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</si>
  <si>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</si>
  <si>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</si>
  <si>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</si>
  <si>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</si>
  <si>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</si>
  <si>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</si>
  <si>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</si>
  <si>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</si>
  <si>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</si>
  <si>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</si>
  <si>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</si>
  <si>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</si>
  <si>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</si>
  <si>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</si>
  <si>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</si>
  <si>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</si>
  <si>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</si>
  <si>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</si>
  <si>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</si>
  <si>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</si>
  <si>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</si>
  <si>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</si>
  <si>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</si>
  <si>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</si>
  <si>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</si>
  <si>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</si>
  <si>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</si>
  <si>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</si>
  <si>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</si>
  <si>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</si>
  <si>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</si>
  <si>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</si>
  <si>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</si>
  <si>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</si>
  <si>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</si>
  <si>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</si>
  <si>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</si>
  <si>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</si>
  <si>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</si>
  <si>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</si>
  <si>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</si>
  <si>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</si>
  <si>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</si>
  <si>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</si>
  <si>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</si>
  <si>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</si>
  <si>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</si>
  <si>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</si>
  <si>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</si>
  <si>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</si>
  <si>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</si>
  <si>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</si>
  <si>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</si>
  <si>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</si>
  <si>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</si>
  <si>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</si>
  <si>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</si>
  <si>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</si>
  <si>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</si>
  <si>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</si>
  <si>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</si>
  <si>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</si>
  <si>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</si>
  <si>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</si>
  <si>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</si>
  <si>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</si>
  <si>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</si>
  <si>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</si>
  <si>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</si>
  <si>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</si>
  <si>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</si>
  <si>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</si>
  <si>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</si>
  <si>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</si>
  <si>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</si>
  <si>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</si>
  <si>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</si>
  <si>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</si>
  <si>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</si>
  <si>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</si>
  <si>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</si>
  <si>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</si>
  <si>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</si>
  <si>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</si>
  <si>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</si>
  <si>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</si>
  <si>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</si>
  <si>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</si>
  <si>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</si>
  <si>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</si>
  <si>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</si>
  <si>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</si>
  <si>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</si>
  <si>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</si>
  <si>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</si>
  <si>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</si>
  <si>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</si>
  <si>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</si>
  <si>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</si>
  <si>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</si>
  <si>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</si>
  <si>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</si>
  <si>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</si>
  <si>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</si>
  <si>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</si>
  <si>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</si>
  <si>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</si>
  <si>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</si>
  <si>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</si>
  <si>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</si>
  <si>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</si>
  <si>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</si>
  <si>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</si>
  <si>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</si>
  <si>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</si>
  <si>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</si>
  <si>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</si>
  <si>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</si>
  <si>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</si>
  <si>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</si>
  <si>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</si>
  <si>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</si>
  <si>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</si>
  <si>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</si>
  <si>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</si>
  <si>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</si>
  <si>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</si>
  <si>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</si>
  <si>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</si>
  <si>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</si>
  <si>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</si>
  <si>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</si>
  <si>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</si>
  <si>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</si>
  <si>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</si>
  <si>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</si>
  <si>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</si>
  <si>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</si>
  <si>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</si>
  <si>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</si>
  <si>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</si>
  <si>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</si>
  <si>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</si>
  <si>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</si>
  <si>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</si>
  <si>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</si>
  <si>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</si>
  <si>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</si>
  <si>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</si>
  <si>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</si>
  <si>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</si>
  <si>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</si>
  <si>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</si>
  <si>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</si>
  <si>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</si>
  <si>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</si>
  <si>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</si>
  <si>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</si>
  <si>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</si>
  <si>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</si>
  <si>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</si>
  <si>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</si>
  <si>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</si>
  <si>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</si>
  <si>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</si>
  <si>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</si>
  <si>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</si>
  <si>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</si>
  <si>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</si>
  <si>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</si>
  <si>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</si>
  <si>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</si>
  <si>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</si>
  <si>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</si>
  <si>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</si>
  <si>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</si>
  <si>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</si>
  <si>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</si>
  <si>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</si>
  <si>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</si>
  <si>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</si>
  <si>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</si>
  <si>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</si>
  <si>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</si>
  <si>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</si>
  <si>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</si>
  <si>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</si>
  <si>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</si>
  <si>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</si>
  <si>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</si>
  <si>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</si>
  <si>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</si>
  <si>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</si>
  <si>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</si>
  <si>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</si>
  <si>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</si>
  <si>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</si>
  <si>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</si>
  <si>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</si>
  <si>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</si>
  <si>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</si>
  <si>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</si>
  <si>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</si>
  <si>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</si>
  <si>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</si>
  <si>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</si>
  <si>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</si>
  <si>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</si>
  <si>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</si>
  <si>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</si>
  <si>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</si>
  <si>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</si>
  <si>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</si>
  <si>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</si>
  <si>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</si>
  <si>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</si>
  <si>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</si>
  <si>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</si>
  <si>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</si>
  <si>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</si>
  <si>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</si>
  <si>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</si>
  <si>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</si>
  <si>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</si>
  <si>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</si>
  <si>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</si>
  <si>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</si>
  <si>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</si>
  <si>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</si>
  <si>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</si>
  <si>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</si>
  <si>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</si>
  <si>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</si>
  <si>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</si>
  <si>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</si>
  <si>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</si>
  <si>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</si>
  <si>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</si>
  <si>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</si>
  <si>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</si>
  <si>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</si>
  <si>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</si>
  <si>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</si>
  <si>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</si>
  <si>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</si>
  <si>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</si>
  <si>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</si>
  <si>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</si>
  <si>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</si>
  <si>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</si>
  <si>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</si>
  <si>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</si>
  <si>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</si>
  <si>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</si>
  <si>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</si>
  <si>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</si>
  <si>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</si>
  <si>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</si>
  <si>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</si>
  <si>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</si>
  <si>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</si>
  <si>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</si>
  <si>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</si>
  <si>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</si>
  <si>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</si>
  <si>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</si>
  <si>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</si>
  <si>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</si>
  <si>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</si>
  <si>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</si>
  <si>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</si>
  <si>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</si>
  <si>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</si>
  <si>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</si>
  <si>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</si>
  <si>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</si>
  <si>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</si>
  <si>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</si>
  <si>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</si>
  <si>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</si>
  <si>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</si>
  <si>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</si>
  <si>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</si>
  <si>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</si>
  <si>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</si>
  <si>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</si>
  <si>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</si>
  <si>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</si>
  <si>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</si>
  <si>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</si>
  <si>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</si>
  <si>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</si>
  <si>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</si>
  <si>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</si>
  <si>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</si>
  <si>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</si>
  <si>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</si>
  <si>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</si>
  <si>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</si>
  <si>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</si>
  <si>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</si>
  <si>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</si>
  <si>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</si>
  <si>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</si>
  <si>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</si>
  <si>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</si>
  <si>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</si>
  <si>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</si>
  <si>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</si>
  <si>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</si>
  <si>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</si>
  <si>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</si>
  <si>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</si>
  <si>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</si>
  <si>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</si>
  <si>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</si>
  <si>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</si>
  <si>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</si>
  <si>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</si>
  <si>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</si>
  <si>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</si>
  <si>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</si>
  <si>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</si>
  <si>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</si>
  <si>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</si>
  <si>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</si>
  <si>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</si>
  <si>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</si>
  <si>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</si>
  <si>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</si>
  <si>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</si>
  <si>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</si>
  <si>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</si>
  <si>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</si>
  <si>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</si>
  <si>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</si>
  <si>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</si>
  <si>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</si>
  <si>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</si>
  <si>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</si>
  <si>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</si>
  <si>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</si>
  <si>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</si>
  <si>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</si>
  <si>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</si>
  <si>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</si>
  <si>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</si>
  <si>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</si>
  <si>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</si>
  <si>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</si>
  <si>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</si>
  <si>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</si>
  <si>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</si>
  <si>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</si>
  <si>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</si>
  <si>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</si>
  <si>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</si>
  <si>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</si>
  <si>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</si>
  <si>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</si>
  <si>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</si>
  <si>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</si>
  <si>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</si>
  <si>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</si>
  <si>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</si>
  <si>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</si>
  <si>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</si>
  <si>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</si>
  <si>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</si>
  <si>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</si>
  <si>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</si>
  <si>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</si>
  <si>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</si>
  <si>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</si>
  <si>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</si>
  <si>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</si>
  <si>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</si>
  <si>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</si>
  <si>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</si>
  <si>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</si>
  <si>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</si>
  <si>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</si>
  <si>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</si>
  <si>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</si>
  <si>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</si>
  <si>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</si>
  <si>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</si>
  <si>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</si>
  <si>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</si>
  <si>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</si>
  <si>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</si>
  <si>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</si>
  <si>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</si>
  <si>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</si>
  <si>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</si>
  <si>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</si>
  <si>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</si>
  <si>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</si>
  <si>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</si>
  <si>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</si>
  <si>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</si>
  <si>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</si>
  <si>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</si>
  <si>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</si>
  <si>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</si>
  <si>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</si>
  <si>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</si>
  <si>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</si>
  <si>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</si>
  <si>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</si>
  <si>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</si>
  <si>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</si>
  <si>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</si>
  <si>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</si>
  <si>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</si>
  <si>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</si>
  <si>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</si>
  <si>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</si>
  <si>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</si>
  <si>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</si>
  <si>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</si>
  <si>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</si>
  <si>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</si>
  <si>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</si>
  <si>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</si>
  <si>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</si>
  <si>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</si>
  <si>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</si>
  <si>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</si>
  <si>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</si>
  <si>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</si>
  <si>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</si>
  <si>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</si>
  <si>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</si>
  <si>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</si>
  <si>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</si>
  <si>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</si>
  <si>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</si>
  <si>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</si>
  <si>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</si>
  <si>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</si>
  <si>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</si>
  <si>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</si>
  <si>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</si>
  <si>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</si>
  <si>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</si>
  <si>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</si>
  <si>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</si>
  <si>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</si>
  <si>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</si>
  <si>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</si>
  <si>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</si>
  <si>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</si>
  <si>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</si>
  <si>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</si>
  <si>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</si>
  <si>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</si>
  <si>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</si>
  <si>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</si>
  <si>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</si>
  <si>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</si>
  <si>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</si>
  <si>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</si>
  <si>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</si>
  <si>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</si>
  <si>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</si>
  <si>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</si>
  <si>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</si>
  <si>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</si>
  <si>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</si>
  <si>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</si>
  <si>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</si>
  <si>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</si>
  <si>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</si>
  <si>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</si>
  <si>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</si>
  <si>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</si>
  <si>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</si>
  <si>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</si>
  <si>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</si>
  <si>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</si>
  <si>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</si>
  <si>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</si>
  <si>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</si>
  <si>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</si>
  <si>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</si>
  <si>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</si>
  <si>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</si>
  <si>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</si>
  <si>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</si>
  <si>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</si>
  <si>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</si>
  <si>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</si>
  <si>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</si>
  <si>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</si>
  <si>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</si>
  <si>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</si>
  <si>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</si>
  <si>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</si>
  <si>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</si>
  <si>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</si>
  <si>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</si>
  <si>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</si>
  <si>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</si>
  <si>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</si>
  <si>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</si>
  <si>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</si>
  <si>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</si>
  <si>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</si>
  <si>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</si>
  <si>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</si>
  <si>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</si>
  <si>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</si>
  <si>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</si>
  <si>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</si>
  <si>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</si>
  <si>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</si>
  <si>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</si>
  <si>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</si>
  <si>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</si>
  <si>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</si>
  <si>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</si>
  <si>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</si>
  <si>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</si>
  <si>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</si>
  <si>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</si>
  <si>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</si>
  <si>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</si>
  <si>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</si>
  <si>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</si>
  <si>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</si>
  <si>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</si>
  <si>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</si>
  <si>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</si>
  <si>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</si>
  <si>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</si>
  <si>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</si>
  <si>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</si>
  <si>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</si>
  <si>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</si>
  <si>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</si>
  <si>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</si>
  <si>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</si>
  <si>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</si>
  <si>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</si>
  <si>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</si>
  <si>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</si>
  <si>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</si>
  <si>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</si>
  <si>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</si>
  <si>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</si>
  <si>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</si>
  <si>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</si>
  <si>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</si>
  <si>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</si>
  <si>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</si>
  <si>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</si>
  <si>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</si>
  <si>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</si>
  <si>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</si>
  <si>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</si>
  <si>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</si>
  <si>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</si>
  <si>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</si>
  <si>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</si>
  <si>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</si>
  <si>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</si>
  <si>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</si>
  <si>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</si>
  <si>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</si>
  <si>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</si>
  <si>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</si>
  <si>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</si>
  <si>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</si>
  <si>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</si>
  <si>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</si>
  <si>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</si>
  <si>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</si>
  <si>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</si>
  <si>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</si>
  <si>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</si>
  <si>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</si>
  <si>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</si>
  <si>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</si>
  <si>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</si>
  <si>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</si>
  <si>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</si>
  <si>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</si>
  <si>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</si>
  <si>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</si>
  <si>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</si>
  <si>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</si>
  <si>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</si>
  <si>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</si>
  <si>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</si>
  <si>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</si>
  <si>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</si>
  <si>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</si>
  <si>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</si>
  <si>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</si>
  <si>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</si>
  <si>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</si>
  <si>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</si>
  <si>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</si>
  <si>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</si>
  <si>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</si>
  <si>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</si>
  <si>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</si>
  <si>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</si>
  <si>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</si>
  <si>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</si>
  <si>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</si>
  <si>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</si>
  <si>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</si>
  <si>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</si>
  <si>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</si>
  <si>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</si>
  <si>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</si>
  <si>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</si>
  <si>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</si>
  <si>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</si>
  <si>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</si>
  <si>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</si>
  <si>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</si>
  <si>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</si>
  <si>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</si>
  <si>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</si>
  <si>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</si>
  <si>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</si>
  <si>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</si>
  <si>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</si>
  <si>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</si>
  <si>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</si>
  <si>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</si>
  <si>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</si>
  <si>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</si>
  <si>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</si>
  <si>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</si>
  <si>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</si>
  <si>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</si>
  <si>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</si>
  <si>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</si>
  <si>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</si>
  <si>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</si>
  <si>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</si>
  <si>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</si>
  <si>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</si>
  <si>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</si>
  <si>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</si>
  <si>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</si>
  <si>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</si>
  <si>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</si>
  <si>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</si>
  <si>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</si>
  <si>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</si>
  <si>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</si>
  <si>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</si>
  <si>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</si>
  <si>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</si>
  <si>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</si>
  <si>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</si>
  <si>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</si>
  <si>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</si>
  <si>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</si>
  <si>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</si>
  <si>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</si>
  <si>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</si>
  <si>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</si>
  <si>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</si>
  <si>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</si>
  <si>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</si>
  <si>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</si>
  <si>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</si>
  <si>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</si>
  <si>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</si>
  <si>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</si>
  <si>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</si>
  <si>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</si>
  <si>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</si>
  <si>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</si>
  <si>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</si>
  <si>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</si>
  <si>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</si>
  <si>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</si>
  <si>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</si>
  <si>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</si>
  <si>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</si>
  <si>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</si>
  <si>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</si>
  <si>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</si>
  <si>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</si>
  <si>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</si>
  <si>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</si>
  <si>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</si>
  <si>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</si>
  <si>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</si>
  <si>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</si>
  <si>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</si>
  <si>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</si>
  <si>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</si>
  <si>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</si>
  <si>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</si>
  <si>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</si>
  <si>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</si>
  <si>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</si>
  <si>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</si>
  <si>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</si>
  <si>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</si>
  <si>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</si>
  <si>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</si>
  <si>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</si>
  <si>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</si>
  <si>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</si>
  <si>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</si>
  <si>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</si>
  <si>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</si>
  <si>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</si>
  <si>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</si>
  <si>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</si>
  <si>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</si>
  <si>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</si>
  <si>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</si>
  <si>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</si>
  <si>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</si>
  <si>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</si>
  <si>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</si>
  <si>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</si>
  <si>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</si>
  <si>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</si>
  <si>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</si>
  <si>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</si>
  <si>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</si>
  <si>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</si>
  <si>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</si>
  <si>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</si>
  <si>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</si>
  <si>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</si>
  <si>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</si>
  <si>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</si>
  <si>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</si>
  <si>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</si>
  <si>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</si>
  <si>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</si>
  <si>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</si>
  <si>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</si>
  <si>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</si>
  <si>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</si>
  <si>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</si>
  <si>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</si>
  <si>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</si>
  <si>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</si>
  <si>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</si>
  <si>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</si>
  <si>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</si>
  <si>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</si>
  <si>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</si>
  <si>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</si>
  <si>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</si>
  <si>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</si>
  <si>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</si>
  <si>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</si>
  <si>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</si>
  <si>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</si>
  <si>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</si>
  <si>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</si>
  <si>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</si>
  <si>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</si>
  <si>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</si>
  <si>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</si>
  <si>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</si>
  <si>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</si>
  <si>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</si>
  <si>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</si>
  <si>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</si>
  <si>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</si>
  <si>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</si>
  <si>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</si>
  <si>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</si>
  <si>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</si>
  <si>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</si>
  <si>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</si>
  <si>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</si>
  <si>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</si>
  <si>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</si>
  <si>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</si>
  <si>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</si>
  <si>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</si>
  <si>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</si>
  <si>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</si>
  <si>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</si>
  <si>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</si>
  <si>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</si>
  <si>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</si>
  <si>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</si>
  <si>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</si>
  <si>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</si>
  <si>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</si>
  <si>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</si>
  <si>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</si>
  <si>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</si>
  <si>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</si>
  <si>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</si>
  <si>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</si>
  <si>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</si>
  <si>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</si>
  <si>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</si>
  <si>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</si>
  <si>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</si>
  <si>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</si>
  <si>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</si>
  <si>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</si>
  <si>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</si>
  <si>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</si>
  <si>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</si>
  <si>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</si>
  <si>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</si>
  <si>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</si>
  <si>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</si>
  <si>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</si>
  <si>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</si>
  <si>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</si>
  <si>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</si>
  <si>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</si>
  <si>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</si>
  <si>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</si>
  <si>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</si>
  <si>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</si>
  <si>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</si>
  <si>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</si>
  <si>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</si>
  <si>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</si>
  <si>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</si>
  <si>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</si>
  <si>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</si>
  <si>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</si>
  <si>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</si>
  <si>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</si>
  <si>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</si>
  <si>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</si>
  <si>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</si>
  <si>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</si>
  <si>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</si>
  <si>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</si>
  <si>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</si>
  <si>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</si>
  <si>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</si>
  <si>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</si>
  <si>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</si>
  <si>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</si>
  <si>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</si>
  <si>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</si>
  <si>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</si>
  <si>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</si>
  <si>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</si>
  <si>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</si>
  <si>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</si>
  <si>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</si>
  <si>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</si>
  <si>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</si>
  <si>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</si>
  <si>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</si>
  <si>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</si>
  <si>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</si>
  <si>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</si>
  <si>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</si>
  <si>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</si>
  <si>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</si>
  <si>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</si>
  <si>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</si>
  <si>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</si>
  <si>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</si>
  <si>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</si>
  <si>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</si>
  <si>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</si>
  <si>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</si>
  <si>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</si>
  <si>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</si>
  <si>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</si>
  <si>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</si>
  <si>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</si>
  <si>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</si>
  <si>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</si>
  <si>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</si>
  <si>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</si>
  <si>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</si>
  <si>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</si>
  <si>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</si>
  <si>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</si>
  <si>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</si>
  <si>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</si>
  <si>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</si>
  <si>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</si>
  <si>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</si>
  <si>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</si>
  <si>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</si>
  <si>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</si>
  <si>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</si>
  <si>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</si>
  <si>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</si>
  <si>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</si>
  <si>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</si>
  <si>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</si>
  <si>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</si>
  <si>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</si>
  <si>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</si>
  <si>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</si>
  <si>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</si>
  <si>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</si>
  <si>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</si>
  <si>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</si>
  <si>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</si>
  <si>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</si>
  <si>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</si>
  <si>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</si>
  <si>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</si>
  <si>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</si>
  <si>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</si>
  <si>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</si>
  <si>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</si>
  <si>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</si>
  <si>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</si>
  <si>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</si>
  <si>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</si>
  <si>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</si>
  <si>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</si>
  <si>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</si>
  <si>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</si>
  <si>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</si>
  <si>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</si>
  <si>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</si>
  <si>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</si>
  <si>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</si>
  <si>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</si>
  <si>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</si>
  <si>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</si>
  <si>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</si>
  <si>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</si>
  <si>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</si>
  <si>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</si>
  <si>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</si>
  <si>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</si>
  <si>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</si>
  <si>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</si>
  <si>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</si>
  <si>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</si>
  <si>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</si>
  <si>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</si>
  <si>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</si>
  <si>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</si>
  <si>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</si>
  <si>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</si>
  <si>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</si>
  <si>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</si>
  <si>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</si>
  <si>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</si>
  <si>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</si>
  <si>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</si>
  <si>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</si>
  <si>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</si>
  <si>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</si>
  <si>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</si>
  <si>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</si>
  <si>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</si>
  <si>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</si>
  <si>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</si>
  <si>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</si>
  <si>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</si>
  <si>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</si>
  <si>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</si>
  <si>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</si>
  <si>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</si>
  <si>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</si>
  <si>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</si>
  <si>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</si>
  <si>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</si>
  <si>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</si>
  <si>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</si>
  <si>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</si>
  <si>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</si>
  <si>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</si>
  <si>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</si>
  <si>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</si>
  <si>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</si>
  <si>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</si>
  <si>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</si>
  <si>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</si>
  <si>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</si>
  <si>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</si>
  <si>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</si>
  <si>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</si>
  <si>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</si>
  <si>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</si>
  <si>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</si>
  <si>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</si>
  <si>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</si>
  <si>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</si>
  <si>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</si>
  <si>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</si>
  <si>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</si>
  <si>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</si>
  <si>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</si>
  <si>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</si>
  <si>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</si>
  <si>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</si>
  <si>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</si>
  <si>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</si>
  <si>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</si>
  <si>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</si>
  <si>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</si>
  <si>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</si>
  <si>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</si>
  <si>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</si>
  <si>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</si>
  <si>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</si>
  <si>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</si>
  <si>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</si>
  <si>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</si>
  <si>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</si>
  <si>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</si>
  <si>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</si>
  <si>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</si>
  <si>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</si>
  <si>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</si>
  <si>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</si>
  <si>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</si>
  <si>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</si>
  <si>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</si>
  <si>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</si>
  <si>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</si>
  <si>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</si>
  <si>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</si>
  <si>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</si>
  <si>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</si>
  <si>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</si>
  <si>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</si>
  <si>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</si>
  <si>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</si>
  <si>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</si>
  <si>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</si>
  <si>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</si>
  <si>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</si>
  <si>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</si>
  <si>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</si>
  <si>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</si>
  <si>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</si>
  <si>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</si>
  <si>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</si>
  <si>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</si>
  <si>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</si>
  <si>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</si>
  <si>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</si>
  <si>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</si>
  <si>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</si>
  <si>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</si>
  <si>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</si>
  <si>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</si>
  <si>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</si>
  <si>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</si>
  <si>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</si>
  <si>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</si>
  <si>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</si>
  <si>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</si>
  <si>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</si>
  <si>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</si>
  <si>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</si>
  <si>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</si>
  <si>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</si>
  <si>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</si>
  <si>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</si>
  <si>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</si>
  <si>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</si>
  <si>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</si>
  <si>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</si>
  <si>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</si>
  <si>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</si>
  <si>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</si>
  <si>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</si>
  <si>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</si>
  <si>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</si>
  <si>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</si>
  <si>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</si>
  <si>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</si>
  <si>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</si>
  <si>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</si>
  <si>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</si>
  <si>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</si>
  <si>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</si>
  <si>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</si>
  <si>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</si>
  <si>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</si>
  <si>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</si>
  <si>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</si>
  <si>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</si>
  <si>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</si>
  <si>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</si>
  <si>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</si>
  <si>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</si>
  <si>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</si>
  <si>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</si>
  <si>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</si>
  <si>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</si>
  <si>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</si>
  <si>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</si>
  <si>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</si>
  <si>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</si>
  <si>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</si>
  <si>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</si>
  <si>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</si>
  <si>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</si>
  <si>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</si>
  <si>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</si>
  <si>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</si>
  <si>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</si>
  <si>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</si>
  <si>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</si>
  <si>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</si>
  <si>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</si>
  <si>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</si>
  <si>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</si>
  <si>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</si>
  <si>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</si>
  <si>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</si>
  <si>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</si>
  <si>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</si>
  <si>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</si>
  <si>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</si>
  <si>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</si>
  <si>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</si>
  <si>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</si>
  <si>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</si>
  <si>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</si>
  <si>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</si>
  <si>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</si>
  <si>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</si>
  <si>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</si>
  <si>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</si>
  <si>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</si>
  <si>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</si>
  <si>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</si>
  <si>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</si>
  <si>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</si>
  <si>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</si>
  <si>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</si>
  <si>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</si>
  <si>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</si>
  <si>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</si>
  <si>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</si>
  <si>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</si>
  <si>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</si>
  <si>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</si>
  <si>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</si>
  <si>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</si>
  <si>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</si>
  <si>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</si>
  <si>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</si>
  <si>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</si>
  <si>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</si>
  <si>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</si>
  <si>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</si>
  <si>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</si>
  <si>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</si>
  <si>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</si>
  <si>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</si>
  <si>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</si>
  <si>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</si>
  <si>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</si>
  <si>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</si>
  <si>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</si>
  <si>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</si>
  <si>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</si>
  <si>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</si>
  <si>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</si>
  <si>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</si>
  <si>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</si>
  <si>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</si>
  <si>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</si>
  <si>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</si>
  <si>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</si>
  <si>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</si>
  <si>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</si>
  <si>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</si>
  <si>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</si>
  <si>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</si>
  <si>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</si>
  <si>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</si>
  <si>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</si>
  <si>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</si>
  <si>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</si>
  <si>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</si>
  <si>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</si>
  <si>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</si>
  <si>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</si>
  <si>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</si>
  <si>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</si>
  <si>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</si>
  <si>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</si>
  <si>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</si>
  <si>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</si>
  <si>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</si>
  <si>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</si>
  <si>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</si>
  <si>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</si>
  <si>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</si>
  <si>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</si>
  <si>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</si>
  <si>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</si>
  <si>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</si>
  <si>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</si>
  <si>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</si>
  <si>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</si>
  <si>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</si>
  <si>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</si>
  <si>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</si>
  <si>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</si>
  <si>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</si>
  <si>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</si>
  <si>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</si>
  <si>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</si>
  <si>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</si>
  <si>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</si>
  <si>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</si>
  <si>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</si>
  <si>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</si>
  <si>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</si>
  <si>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</si>
  <si>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</si>
  <si>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</si>
  <si>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</si>
  <si>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</si>
  <si>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</si>
  <si>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</si>
  <si>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</si>
  <si>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</si>
  <si>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</si>
  <si>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</si>
  <si>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</si>
  <si>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</si>
  <si>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</si>
  <si>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</si>
  <si>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</si>
  <si>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</si>
  <si>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</si>
  <si>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</si>
  <si>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</si>
  <si>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</si>
  <si>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</si>
  <si>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</si>
  <si>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</si>
  <si>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</si>
  <si>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</si>
  <si>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</si>
  <si>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</si>
  <si>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</si>
  <si>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</si>
  <si>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</si>
  <si>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</si>
  <si>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</si>
  <si>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</si>
  <si>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</si>
  <si>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</si>
  <si>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</si>
  <si>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</si>
  <si>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</si>
  <si>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</si>
  <si>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</si>
  <si>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</si>
  <si>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</si>
  <si>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</si>
  <si>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</si>
  <si>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</si>
  <si>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</si>
  <si>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</si>
  <si>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</si>
  <si>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</si>
  <si>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</si>
  <si>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</si>
  <si>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</si>
  <si>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</si>
  <si>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</si>
  <si>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</si>
  <si>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</si>
  <si>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</si>
  <si>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</si>
  <si>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</si>
  <si>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</si>
  <si>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</si>
  <si>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</si>
  <si>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</si>
  <si>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</si>
  <si>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</si>
  <si>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</si>
  <si>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</si>
  <si>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</si>
  <si>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</si>
  <si>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</si>
  <si>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</si>
  <si>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</si>
  <si>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</si>
  <si>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</si>
  <si>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</si>
  <si>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</si>
  <si>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</si>
  <si>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</si>
  <si>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</si>
  <si>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</si>
  <si>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</si>
  <si>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</si>
  <si>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</si>
  <si>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</si>
  <si>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</si>
  <si>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</si>
  <si>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</si>
  <si>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</si>
  <si>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</si>
  <si>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</si>
  <si>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</si>
  <si>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</si>
  <si>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</si>
  <si>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</si>
  <si>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</si>
  <si>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</si>
  <si>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</si>
  <si>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</si>
  <si>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</si>
  <si>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</si>
  <si>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</si>
  <si>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</si>
  <si>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</si>
  <si>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</si>
  <si>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</si>
  <si>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</si>
  <si>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</si>
  <si>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</si>
  <si>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</si>
  <si>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</si>
  <si>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</si>
  <si>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</si>
  <si>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</si>
  <si>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</si>
  <si>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</si>
  <si>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</si>
  <si>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</si>
  <si>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</si>
  <si>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</si>
  <si>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</si>
  <si>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</si>
  <si>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</si>
  <si>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</si>
  <si>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</si>
  <si>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</si>
  <si>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</si>
  <si>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</si>
  <si>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</si>
  <si>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</si>
  <si>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</si>
  <si>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</si>
  <si>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</si>
  <si>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</si>
  <si>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</si>
  <si>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</si>
  <si>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</si>
  <si>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</si>
  <si>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</si>
  <si>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</si>
  <si>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</si>
  <si>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</si>
  <si>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</si>
  <si>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</si>
  <si>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</si>
  <si>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</si>
  <si>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</si>
  <si>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</si>
  <si>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</si>
  <si>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</si>
  <si>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</si>
  <si>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</si>
  <si>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</si>
  <si>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</si>
  <si>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</si>
  <si>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</si>
  <si>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</si>
  <si>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</si>
  <si>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</si>
  <si>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</si>
  <si>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</si>
  <si>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</si>
  <si>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</si>
  <si>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</si>
  <si>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</si>
  <si>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</si>
  <si>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</si>
  <si>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</si>
  <si>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</si>
  <si>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</si>
  <si>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</si>
  <si>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</si>
  <si>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</si>
  <si>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</si>
  <si>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</si>
  <si>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</si>
  <si>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</si>
  <si>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</si>
  <si>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</si>
  <si>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</si>
  <si>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</si>
  <si>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</si>
  <si>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</si>
  <si>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</si>
  <si>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</si>
  <si>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</si>
  <si>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</si>
  <si>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</si>
  <si>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</si>
  <si>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</si>
  <si>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</si>
  <si>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</si>
  <si>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</si>
  <si>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</si>
  <si>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</si>
  <si>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</si>
  <si>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</si>
  <si>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</si>
  <si>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</si>
  <si>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</si>
  <si>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</si>
  <si>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</si>
  <si>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</si>
  <si>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</si>
  <si>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</si>
  <si>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</si>
  <si>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</si>
  <si>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</si>
  <si>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</si>
  <si>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</si>
  <si>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</si>
  <si>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</si>
  <si>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</si>
  <si>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</si>
  <si>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</si>
  <si>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</si>
  <si>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</si>
  <si>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</si>
  <si>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</si>
  <si>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</si>
  <si>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</si>
  <si>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</si>
  <si>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</si>
  <si>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</si>
  <si>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</si>
  <si>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</si>
  <si>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</si>
  <si>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</si>
  <si>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</si>
  <si>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</si>
  <si>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</si>
  <si>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</si>
  <si>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</si>
  <si>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</si>
  <si>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</si>
  <si>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</si>
  <si>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</si>
  <si>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</si>
  <si>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</si>
  <si>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</si>
  <si>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</si>
  <si>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</si>
  <si>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</si>
  <si>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</si>
  <si>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</si>
  <si>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</si>
  <si>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</si>
  <si>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</si>
  <si>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</si>
  <si>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</si>
  <si>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</si>
  <si>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</si>
  <si>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</si>
  <si>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</si>
  <si>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</si>
  <si>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</si>
  <si>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</si>
  <si>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</si>
  <si>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</si>
  <si>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</si>
  <si>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</si>
  <si>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</si>
  <si>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</si>
  <si>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</si>
  <si>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</si>
  <si>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</si>
  <si>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</si>
  <si>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</si>
  <si>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</si>
  <si>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</si>
  <si>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</si>
  <si>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</si>
  <si>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</si>
  <si>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</si>
  <si>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</si>
  <si>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</si>
  <si>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</si>
  <si>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</si>
  <si>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</si>
  <si>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</si>
  <si>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</si>
  <si>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</si>
  <si>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</si>
  <si>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</si>
  <si>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</si>
  <si>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</si>
  <si>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</si>
  <si>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</si>
  <si>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</si>
  <si>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</si>
  <si>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</si>
  <si>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</si>
  <si>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</si>
  <si>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</si>
  <si>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</si>
  <si>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</si>
  <si>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</si>
  <si>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</si>
  <si>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</si>
  <si>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</si>
  <si>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</si>
  <si>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</si>
  <si>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</si>
  <si>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</si>
  <si>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</si>
  <si>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</si>
  <si>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</si>
  <si>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</si>
  <si>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</si>
  <si>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</si>
  <si>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</si>
  <si>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</si>
  <si>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</si>
  <si>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</si>
  <si>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</si>
  <si>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</si>
  <si>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</si>
  <si>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</si>
  <si>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</si>
  <si>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</si>
  <si>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</si>
  <si>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</si>
  <si>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</si>
  <si>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</si>
  <si>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</si>
  <si>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</si>
  <si>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</si>
  <si>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</si>
  <si>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</si>
  <si>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</si>
  <si>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</si>
  <si>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</si>
  <si>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</si>
  <si>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</si>
  <si>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</si>
  <si>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</si>
  <si>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</si>
  <si>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</si>
  <si>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</si>
  <si>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</si>
  <si>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</si>
  <si>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</si>
  <si>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</si>
  <si>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</si>
  <si>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</si>
  <si>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</si>
  <si>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</si>
  <si>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</si>
  <si>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</si>
  <si>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</si>
  <si>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</si>
  <si>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</si>
  <si>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</si>
  <si>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</si>
  <si>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</si>
  <si>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</si>
  <si>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</si>
  <si>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</si>
  <si>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</si>
  <si>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</si>
  <si>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</si>
  <si>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</si>
  <si>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</si>
  <si>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</si>
  <si>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</si>
  <si>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</si>
  <si>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</si>
  <si>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</si>
  <si>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</si>
  <si>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</si>
  <si>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</si>
  <si>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</si>
  <si>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</si>
  <si>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</si>
  <si>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</si>
  <si>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</si>
  <si>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</si>
  <si>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</si>
  <si>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</si>
  <si>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</si>
  <si>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</si>
  <si>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</si>
  <si>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</si>
  <si>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</si>
  <si>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</si>
  <si>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</si>
  <si>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</si>
  <si>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</si>
  <si>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</si>
  <si>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</si>
  <si>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</si>
  <si>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</si>
  <si>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</si>
  <si>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</si>
  <si>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</si>
  <si>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</si>
  <si>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</si>
  <si>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</si>
  <si>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</si>
  <si>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</si>
  <si>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</si>
  <si>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</si>
  <si>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</si>
  <si>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</si>
  <si>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</si>
  <si>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</si>
  <si>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</si>
  <si>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</si>
  <si>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</si>
  <si>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</si>
  <si>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</si>
  <si>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</si>
  <si>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</si>
  <si>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</si>
  <si>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</si>
  <si>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</si>
  <si>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</si>
  <si>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</si>
  <si>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</si>
  <si>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</si>
  <si>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</si>
  <si>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</si>
  <si>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</si>
  <si>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</si>
  <si>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</si>
  <si>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</si>
  <si>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</si>
  <si>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</si>
  <si>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</si>
  <si>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</si>
  <si>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</si>
  <si>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</si>
  <si>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</si>
  <si>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</si>
  <si>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</si>
  <si>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</si>
  <si>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</si>
  <si>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</si>
  <si>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</si>
  <si>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</si>
  <si>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</si>
  <si>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</si>
  <si>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</si>
  <si>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</si>
  <si>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</si>
  <si>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</si>
  <si>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</si>
  <si>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</si>
  <si>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</si>
  <si>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</si>
  <si>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</si>
  <si>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</si>
  <si>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</si>
  <si>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</si>
  <si>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</si>
  <si>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</si>
  <si>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</si>
  <si>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</si>
  <si>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</si>
  <si>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</si>
  <si>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</si>
  <si>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</si>
  <si>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</si>
  <si>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</si>
  <si>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</si>
  <si>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</si>
  <si>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</si>
  <si>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</si>
  <si>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</si>
  <si>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</si>
  <si>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</si>
  <si>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</si>
  <si>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</si>
  <si>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</si>
  <si>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</si>
  <si>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</si>
  <si>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</si>
  <si>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</si>
  <si>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</si>
  <si>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</si>
  <si>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</si>
  <si>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</si>
  <si>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</si>
  <si>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</si>
  <si>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</si>
  <si>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</si>
  <si>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</si>
  <si>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</si>
  <si>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</si>
  <si>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</si>
  <si>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</si>
  <si>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</si>
  <si>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</si>
  <si>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</si>
  <si>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</si>
  <si>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</si>
  <si>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</si>
  <si>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</si>
  <si>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</si>
  <si>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</si>
  <si>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</si>
  <si>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</si>
  <si>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</si>
  <si>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</si>
  <si>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</si>
  <si>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</si>
  <si>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</si>
  <si>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</si>
  <si>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</si>
  <si>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</si>
  <si>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</si>
  <si>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</si>
  <si>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</si>
  <si>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</si>
  <si>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</si>
  <si>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</si>
  <si>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</si>
  <si>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</si>
  <si>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</si>
  <si>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</si>
  <si>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</si>
  <si>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</si>
  <si>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</si>
  <si>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</si>
  <si>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</si>
  <si>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</si>
  <si>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</si>
  <si>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</si>
  <si>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</si>
  <si>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</si>
  <si>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</si>
  <si>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</si>
  <si>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</si>
  <si>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</si>
  <si>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</si>
  <si>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</si>
  <si>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</si>
  <si>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</si>
  <si>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</si>
  <si>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</si>
  <si>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</si>
  <si>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</si>
  <si>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</si>
  <si>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</si>
  <si>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</si>
  <si>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</si>
  <si>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</si>
  <si>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</si>
  <si>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</si>
  <si>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</si>
  <si>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</si>
  <si>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</si>
  <si>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</si>
  <si>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</si>
  <si>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</si>
  <si>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</si>
  <si>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</si>
  <si>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</si>
  <si>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</si>
  <si>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</si>
  <si>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</si>
  <si>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</si>
  <si>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</si>
  <si>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</si>
  <si>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</si>
  <si>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</si>
  <si>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</si>
  <si>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</si>
  <si>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</si>
  <si>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</si>
  <si>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</si>
  <si>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</si>
  <si>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</si>
  <si>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</si>
  <si>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</si>
  <si>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</si>
  <si>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</si>
  <si>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</si>
  <si>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</si>
  <si>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r>
      <rPr>
        <sz val="10"/>
        <color theme="9" tint="-0.249977111117893"/>
        <rFont val="宋体"/>
        <family val="3"/>
        <charset val="134"/>
      </rPr>
      <t>房山区良乡隆曦园</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1-01,1</t>
    </r>
    <r>
      <rPr>
        <sz val="10"/>
        <color theme="9" tint="-0.249977111117893"/>
        <rFont val="宋体"/>
        <family val="3"/>
        <charset val="134"/>
      </rPr>
      <t>层</t>
    </r>
    <r>
      <rPr>
        <sz val="10"/>
        <color theme="9" tint="-0.249977111117893"/>
        <rFont val="Arial"/>
        <family val="2"/>
      </rPr>
      <t>1-101</t>
    </r>
    <phoneticPr fontId="6" type="noConversion"/>
  </si>
  <si>
    <t>企业</t>
  </si>
  <si>
    <t>商业</t>
    <phoneticPr fontId="6" type="noConversion"/>
  </si>
  <si>
    <t>商业项目</t>
  </si>
  <si>
    <t>现房</t>
  </si>
  <si>
    <t>地下</t>
  </si>
  <si>
    <t>地上</t>
  </si>
  <si>
    <t>是</t>
  </si>
  <si>
    <t>商业</t>
    <phoneticPr fontId="7" type="noConversion"/>
  </si>
  <si>
    <t>成新度</t>
  </si>
  <si>
    <t>Ⅶ-房1</t>
  </si>
  <si>
    <t>宗地容积率</t>
  </si>
  <si>
    <r>
      <t>1-01</t>
    </r>
    <r>
      <rPr>
        <sz val="10"/>
        <color indexed="8"/>
        <rFont val="宋体"/>
        <family val="3"/>
        <charset val="134"/>
      </rPr>
      <t/>
    </r>
    <phoneticPr fontId="3" type="noConversion"/>
  </si>
  <si>
    <t>1-101</t>
    <phoneticPr fontId="3" type="noConversion"/>
  </si>
  <si>
    <t>收益法 (元)</t>
  </si>
  <si>
    <t>一般</t>
  </si>
  <si>
    <t>不临65条商业街</t>
  </si>
  <si>
    <t>楼层修正</t>
  </si>
  <si>
    <t>通路</t>
  </si>
  <si>
    <t>通电</t>
  </si>
  <si>
    <t>通讯</t>
  </si>
  <si>
    <t>通上水</t>
  </si>
  <si>
    <t>通下水</t>
  </si>
  <si>
    <t>通热</t>
  </si>
  <si>
    <t>平整</t>
  </si>
  <si>
    <t>较差</t>
  </si>
  <si>
    <t>较好</t>
  </si>
  <si>
    <t>基准地价修正</t>
  </si>
  <si>
    <t>未包含在土地购买价格中</t>
  </si>
  <si>
    <t>已包含在土地取得成本中</t>
  </si>
  <si>
    <r>
      <t>1-</t>
    </r>
    <r>
      <rPr>
        <sz val="10"/>
        <color indexed="8"/>
        <rFont val="宋体"/>
        <family val="3"/>
        <charset val="134"/>
      </rPr>
      <t>（</t>
    </r>
    <r>
      <rPr>
        <sz val="10"/>
        <color indexed="8"/>
        <rFont val="Arial"/>
        <family val="2"/>
      </rPr>
      <t>1-</t>
    </r>
    <r>
      <rPr>
        <sz val="10"/>
        <color indexed="8"/>
        <rFont val="宋体"/>
        <family val="3"/>
        <charset val="134"/>
      </rPr>
      <t>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</si>
  <si>
    <t>建成年代</t>
    <phoneticPr fontId="3" type="noConversion"/>
  </si>
  <si>
    <t>直线</t>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</si>
  <si>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</si>
  <si>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</si>
  <si>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</si>
  <si>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</si>
  <si>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</si>
  <si>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</si>
  <si>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</si>
  <si>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</si>
  <si>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押一</t>
  </si>
  <si>
    <t>砖混</t>
  </si>
  <si>
    <t>非生产用房</t>
  </si>
  <si>
    <t>否</t>
  </si>
  <si>
    <t>成本法 (元)</t>
  </si>
  <si>
    <t>中心城区以外</t>
  </si>
  <si>
    <t>单套模式</t>
  </si>
  <si>
    <t>隆曦园</t>
    <phoneticPr fontId="3" type="noConversion"/>
  </si>
  <si>
    <t>观察</t>
    <phoneticPr fontId="3" type="noConversion"/>
  </si>
  <si>
    <t>综合</t>
    <phoneticPr fontId="3" type="noConversion"/>
  </si>
  <si>
    <t>租金</t>
  </si>
  <si>
    <t>跟租户沟通租金20万/年，含1万多的供暖费，签了三年合同，已用半年，没有营业执照</t>
    <phoneticPr fontId="134" type="noConversion"/>
  </si>
  <si>
    <t>日租金</t>
    <phoneticPr fontId="134" type="noConversion"/>
  </si>
  <si>
    <r>
      <t>5</t>
    </r>
    <r>
      <rPr>
        <sz val="11"/>
        <color theme="1"/>
        <rFont val="宋体"/>
        <family val="3"/>
        <charset val="134"/>
        <scheme val="minor"/>
      </rPr>
      <t>.1公里</t>
    </r>
    <phoneticPr fontId="134" type="noConversion"/>
  </si>
  <si>
    <t>日租金</t>
    <phoneticPr fontId="134" type="noConversion"/>
  </si>
  <si>
    <r>
      <t>社区底商，楼上6层，</t>
    </r>
    <r>
      <rPr>
        <sz val="11"/>
        <color theme="1"/>
        <rFont val="宋体"/>
        <family val="3"/>
        <charset val="134"/>
        <scheme val="minor"/>
      </rPr>
      <t>2层是商业，属于商住楼，临翠柳大街</t>
    </r>
    <phoneticPr fontId="134" type="noConversion"/>
  </si>
  <si>
    <t>超级蜂巢</t>
    <phoneticPr fontId="3" type="noConversion"/>
  </si>
  <si>
    <t>正常</t>
  </si>
  <si>
    <t>挂牌</t>
  </si>
  <si>
    <t>挂牌</t>
    <phoneticPr fontId="30" type="noConversion"/>
  </si>
  <si>
    <t>商业</t>
    <phoneticPr fontId="30" type="noConversion"/>
  </si>
  <si>
    <t>高速路</t>
    <phoneticPr fontId="30" type="noConversion"/>
  </si>
  <si>
    <t>快速路</t>
    <phoneticPr fontId="30" type="noConversion"/>
  </si>
  <si>
    <t>主干道</t>
    <phoneticPr fontId="30" type="noConversion"/>
  </si>
  <si>
    <t>次干道</t>
    <phoneticPr fontId="30" type="noConversion"/>
  </si>
  <si>
    <t>支路</t>
    <phoneticPr fontId="30" type="noConversion"/>
  </si>
  <si>
    <t>好</t>
    <phoneticPr fontId="3" type="noConversion"/>
  </si>
  <si>
    <t>较好</t>
    <phoneticPr fontId="3" type="noConversion"/>
  </si>
  <si>
    <t>一般</t>
    <phoneticPr fontId="3" type="noConversion"/>
  </si>
  <si>
    <t>较差</t>
    <phoneticPr fontId="3" type="noConversion"/>
  </si>
  <si>
    <t>差</t>
    <phoneticPr fontId="3" type="noConversion"/>
  </si>
  <si>
    <t>多</t>
    <phoneticPr fontId="134" type="noConversion"/>
  </si>
  <si>
    <t>较多</t>
    <phoneticPr fontId="134" type="noConversion"/>
  </si>
  <si>
    <t>一般</t>
    <phoneticPr fontId="134" type="noConversion"/>
  </si>
  <si>
    <t>较少</t>
    <phoneticPr fontId="134" type="noConversion"/>
  </si>
  <si>
    <t>少</t>
    <phoneticPr fontId="134" type="noConversion"/>
  </si>
  <si>
    <t>住宅底商</t>
  </si>
  <si>
    <t>住宅底商</t>
    <phoneticPr fontId="30" type="noConversion"/>
  </si>
  <si>
    <t>钢混</t>
  </si>
  <si>
    <t>钢混</t>
    <phoneticPr fontId="3" type="noConversion"/>
  </si>
  <si>
    <t>砖混</t>
    <phoneticPr fontId="30" type="noConversion"/>
  </si>
  <si>
    <t>七通</t>
    <phoneticPr fontId="3" type="noConversion"/>
  </si>
  <si>
    <t>六通</t>
    <phoneticPr fontId="3" type="noConversion"/>
  </si>
  <si>
    <t>五通</t>
    <phoneticPr fontId="3" type="noConversion"/>
  </si>
  <si>
    <t>可餐饮</t>
    <phoneticPr fontId="134" type="noConversion"/>
  </si>
  <si>
    <t>不可餐饮</t>
    <phoneticPr fontId="134" type="noConversion"/>
  </si>
  <si>
    <t>精装修</t>
    <phoneticPr fontId="3" type="noConversion"/>
  </si>
  <si>
    <t>普通装修</t>
    <phoneticPr fontId="3" type="noConversion"/>
  </si>
  <si>
    <t>简单装修</t>
    <phoneticPr fontId="3" type="noConversion"/>
  </si>
  <si>
    <t>毛坯</t>
    <phoneticPr fontId="3" type="noConversion"/>
  </si>
  <si>
    <t>写字楼底商</t>
  </si>
  <si>
    <t>成新率</t>
    <phoneticPr fontId="134" type="noConversion"/>
  </si>
  <si>
    <t>六通</t>
  </si>
  <si>
    <t>七通</t>
  </si>
  <si>
    <t>不可餐饮</t>
  </si>
  <si>
    <t>可餐饮</t>
  </si>
  <si>
    <t>简单装修</t>
  </si>
  <si>
    <t>较好</t>
    <phoneticPr fontId="30" type="noConversion"/>
  </si>
  <si>
    <r>
      <t>1</t>
    </r>
    <r>
      <rPr>
        <sz val="11"/>
        <rFont val="宋体"/>
        <family val="3"/>
        <charset val="134"/>
      </rPr>
      <t>层</t>
    </r>
    <phoneticPr fontId="30"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</si>
  <si>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0" type="noConversion"/>
  </si>
  <si>
    <t>修正幅度</t>
    <phoneticPr fontId="30" type="noConversion"/>
  </si>
  <si>
    <t>直线</t>
    <phoneticPr fontId="134" type="noConversion"/>
  </si>
  <si>
    <t>观察</t>
    <phoneticPr fontId="134" type="noConversion"/>
  </si>
  <si>
    <t>综合</t>
    <phoneticPr fontId="134" type="noConversion"/>
  </si>
  <si>
    <t>楼面单价</t>
  </si>
  <si>
    <t>自定义</t>
  </si>
  <si>
    <t>与级别开发程度不一致</t>
  </si>
  <si>
    <r>
      <rPr>
        <sz val="10"/>
        <color indexed="8"/>
        <rFont val="宋体"/>
        <family val="3"/>
        <charset val="134"/>
      </rPr>
      <t>地上</t>
    </r>
    <r>
      <rPr>
        <sz val="10"/>
        <color indexed="8"/>
        <rFont val="Arial"/>
        <family val="2"/>
      </rP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</si>
  <si>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</si>
  <si>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建筑面积</t>
    <phoneticPr fontId="3" type="noConversion"/>
  </si>
  <si>
    <t>租金单价</t>
    <phoneticPr fontId="3" type="noConversion"/>
  </si>
  <si>
    <r>
      <rPr>
        <sz val="10"/>
        <color indexed="8"/>
        <rFont val="宋体"/>
        <family val="3"/>
        <charset val="134"/>
      </rPr>
      <t>其实出租未提供合同，租</t>
    </r>
    <r>
      <rPr>
        <sz val="10"/>
        <color indexed="8"/>
        <rFont val="Arial"/>
        <family val="2"/>
      </rPr>
      <t>8</t>
    </r>
    <r>
      <rPr>
        <sz val="10"/>
        <color indexed="8"/>
        <rFont val="宋体"/>
        <family val="3"/>
        <charset val="134"/>
      </rPr>
      <t>万，单价</t>
    </r>
    <r>
      <rPr>
        <sz val="10"/>
        <color indexed="8"/>
        <rFont val="Arial"/>
        <family val="2"/>
      </rPr>
      <t>1.2</t>
    </r>
    <r>
      <rPr>
        <sz val="10"/>
        <color indexed="8"/>
        <rFont val="宋体"/>
        <family val="3"/>
        <charset val="134"/>
      </rPr>
      <t>块</t>
    </r>
    <phoneticPr fontId="3" type="noConversion"/>
  </si>
  <si>
    <t>需求</t>
    <phoneticPr fontId="8" type="noConversion"/>
  </si>
  <si>
    <t>1公里</t>
    <phoneticPr fontId="134" type="noConversion"/>
  </si>
  <si>
    <t>独立商业</t>
  </si>
  <si>
    <t>独立商业</t>
    <phoneticPr fontId="134" type="noConversion"/>
  </si>
  <si>
    <t>可做餐饮，现在还没有通燃气，可接</t>
    <phoneticPr fontId="134" type="noConversion"/>
  </si>
  <si>
    <t>观察</t>
    <phoneticPr fontId="134" type="noConversion"/>
  </si>
  <si>
    <t>综合</t>
    <phoneticPr fontId="134" type="noConversion"/>
  </si>
  <si>
    <t>独立商业</t>
    <phoneticPr fontId="30" type="noConversion"/>
  </si>
  <si>
    <t>毛坯</t>
  </si>
  <si>
    <t>支路</t>
  </si>
  <si>
    <t>次干道</t>
  </si>
  <si>
    <t>行宫园小区</t>
    <phoneticPr fontId="3" type="noConversion"/>
  </si>
  <si>
    <t>黄辛庄小区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</si>
</sst>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113"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79" fontId="47" fillId="12" borderId="0" xfId="0" applyNumberFormat="1" applyFont="1" applyFill="1" applyAlignment="1" applyProtection="1">
      <alignment horizontal="center"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protection locked="0"/>
    </xf>
    <xf numFmtId="0" fontId="44" fillId="5" borderId="0"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51" fillId="5" borderId="0" xfId="0" applyFont="1" applyFill="1" applyAlignment="1" applyProtection="1">
      <alignment horizontal="center" vertical="center"/>
      <protection locked="0"/>
    </xf>
    <xf numFmtId="179" fontId="51" fillId="0" borderId="23" xfId="0" applyNumberFormat="1" applyFont="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181" fontId="113" fillId="0"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53873</xdr:colOff>
      <xdr:row>29</xdr:row>
      <xdr:rowOff>30943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149873" cy="5334463"/>
        </a:xfrm>
        <a:prstGeom prst="rect">
          <a:avLst/>
        </a:prstGeom>
      </xdr:spPr>
    </xdr:pic>
    <xdr:clientData/>
  </xdr:twoCellAnchor>
  <xdr:twoCellAnchor editAs="oneCell">
    <xdr:from>
      <xdr:col>0</xdr:col>
      <xdr:colOff>0</xdr:colOff>
      <xdr:row>32</xdr:row>
      <xdr:rowOff>0</xdr:rowOff>
    </xdr:from>
    <xdr:to>
      <xdr:col>12</xdr:col>
      <xdr:colOff>107324</xdr:colOff>
      <xdr:row>61</xdr:row>
      <xdr:rowOff>460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852160"/>
          <a:ext cx="7422524" cy="5303980"/>
        </a:xfrm>
        <a:prstGeom prst="rect">
          <a:avLst/>
        </a:prstGeom>
      </xdr:spPr>
    </xdr:pic>
    <xdr:clientData/>
  </xdr:twoCellAnchor>
  <xdr:twoCellAnchor editAs="oneCell">
    <xdr:from>
      <xdr:col>0</xdr:col>
      <xdr:colOff>68580</xdr:colOff>
      <xdr:row>62</xdr:row>
      <xdr:rowOff>99060</xdr:rowOff>
    </xdr:from>
    <xdr:to>
      <xdr:col>11</xdr:col>
      <xdr:colOff>541643</xdr:colOff>
      <xdr:row>92</xdr:row>
      <xdr:rowOff>69053</xdr:rowOff>
    </xdr:to>
    <xdr:pic>
      <xdr:nvPicPr>
        <xdr:cNvPr id="7" name="图片 6"/>
        <xdr:cNvPicPr>
          <a:picLocks noChangeAspect="1"/>
        </xdr:cNvPicPr>
      </xdr:nvPicPr>
      <xdr:blipFill>
        <a:blip xmlns:r="http://schemas.openxmlformats.org/officeDocument/2006/relationships" r:embed="rId3"/>
        <a:stretch>
          <a:fillRect/>
        </a:stretch>
      </xdr:blipFill>
      <xdr:spPr>
        <a:xfrm>
          <a:off x="68580" y="11437620"/>
          <a:ext cx="7178663" cy="54563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北京市房山区良乡隆曦园2号楼-1层1-01,1层1-101房地产抵押价值预评估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受贵公司委托，我公司对北京市房山区良乡隆曦园2号楼-1层1-01,1层1-101房地产抵押价值进行了预评估。</v>
      </c>
    </row>
    <row r="7" spans="1:2" s="1203" customFormat="1">
      <c r="A7" s="1201" t="s">
        <v>566</v>
      </c>
      <c r="B7" s="1202" t="str">
        <f>'预评函-1'!A7</f>
        <v>估价对象为北京市房山区良乡隆曦园2号楼-1层1-01,1层1-101房地产，为所有。根据《国有土地使用证》[]，估价对象（分摊）出让国有建设用地使用权面积为0平方米，建筑面积为185.44平方米。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山区良乡隆曦园2号楼-1层1-01,1层1-101房地产,属开发建设的商业项目，该项目尚在开发建设中。根据《国有土地使用证》[]，估价对象（分摊）出让国有建设用地使用权面积为0平方米，规划建筑面积为185.44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山区良乡隆曦园2号楼-1层1-01,1层1-101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2024年5月15日（评估专业人员实地查勘之日）</v>
      </c>
    </row>
    <row r="13" spans="1:2" s="1203" customFormat="1">
      <c r="A13" s="1201" t="s">
        <v>529</v>
      </c>
      <c r="B13" s="1202" t="str">
        <f>'预评函-1'!A18</f>
        <v>本次估价的“房地产价值”是指在正常市场情况下，在价值时点2024年5月15日，估价对象规划用途为商业，土地取得方式为出让，出让国有建设用地使用权剩余土地使用年限为29.55，假定未设立法定优先受偿款下的房地产市场价值。</v>
      </c>
    </row>
    <row r="14" spans="1:2" s="1203" customFormat="1">
      <c r="A14" s="1201" t="s">
        <v>530</v>
      </c>
      <c r="B14" s="1202" t="str">
        <f>'预评函-1'!A19</f>
        <v>其中，“出让国有建设用地使用权价值”是指估价对象用途为商业，实际开发程度为宗地红线外“七通”（即、、、、、、）、红线内场地平整条件下，剩余土地使用年限为29.55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204</v>
      </c>
    </row>
    <row r="21" spans="1:2" s="1203" customFormat="1">
      <c r="A21" s="1201" t="s">
        <v>537</v>
      </c>
      <c r="B21" s="1202">
        <f ca="1">'预评函-2'!D7</f>
        <v>11012</v>
      </c>
    </row>
    <row r="22" spans="1:2" s="1203" customFormat="1">
      <c r="A22" s="1201" t="s">
        <v>538</v>
      </c>
      <c r="B22" s="1202" t="str">
        <f ca="1">'预评函-2'!D6</f>
        <v>贰佰零肆万元整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204</v>
      </c>
    </row>
    <row r="31" spans="1:2" s="1203" customFormat="1">
      <c r="A31" s="1201" t="s">
        <v>576</v>
      </c>
      <c r="B31" s="1202">
        <f ca="1">'预评函-2'!D15</f>
        <v>11012</v>
      </c>
    </row>
    <row r="32" spans="1:2" s="1203" customFormat="1">
      <c r="A32" s="1201" t="s">
        <v>543</v>
      </c>
      <c r="B32" s="1202" t="str">
        <f ca="1">'预评函-2'!D14</f>
        <v>贰佰零肆万元整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北京市房山区良乡隆曦园2号楼-1层1-01,1层1-101房地产</v>
      </c>
    </row>
    <row r="42" spans="1:2" s="1203" customFormat="1" ht="31.2">
      <c r="A42" s="1201" t="s">
        <v>590</v>
      </c>
      <c r="B42" s="1202" t="str">
        <f>'预评函-3'!B2</f>
        <v>建筑面积</v>
      </c>
    </row>
    <row r="43" spans="1:2" s="1203" customFormat="1">
      <c r="A43" s="1201" t="s">
        <v>591</v>
      </c>
      <c r="B43" s="1202">
        <f>'预评函-3'!B4</f>
        <v>185.44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良乡隆曦园2号楼-1层1-01,1层1-101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20" t="s">
        <v>2584</v>
      </c>
      <c r="J2" s="3520"/>
      <c r="K2" s="3520"/>
      <c r="L2" s="3520"/>
      <c r="M2" s="3520"/>
      <c r="N2" s="3520"/>
      <c r="O2" s="3520"/>
      <c r="P2" s="3520"/>
      <c r="Q2" s="3520"/>
      <c r="R2" s="3520"/>
    </row>
    <row r="3" spans="1:18">
      <c r="A3" s="3020" t="s">
        <v>2505</v>
      </c>
      <c r="B3" s="3021">
        <f>项目基本情况!D3</f>
        <v>45427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2.59</v>
      </c>
      <c r="D5" s="3025">
        <f>IF(ISERROR(ROUND(POWER(1+E5,A5-C5)*(POWER(1+E5,C5)-1)/(POWER(1+E5,A5)-1),3)),0,ROUND(POWER(1+E5,A5-C5)*(POWER(1+E5,C5)-1)/(POWER(1+E5,A5)-1),4))</f>
        <v>0.122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v>
      </c>
      <c r="D6" s="3025">
        <f>IF(ISERROR(ROUND(POWER(1+E6,A6-C6)*(POWER(1+E6,C6)-1)/(POWER(1+E6,A6)-1),3)),0,ROUND(POWER(1+E6,A6-C6)*(POWER(1+E6,C6)-1)/(POWER(1+E6,A6)-1),4))</f>
        <v>0.45379999999999998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32.61</v>
      </c>
      <c r="D7" s="3025">
        <f>IF(ISERROR(ROUND(POWER(1+E7,A7-C7)*(POWER(1+E7,C7)-1)/(POWER(1+E7,A7)-1),3)),0,ROUND(POWER(1+E7,A7-C7)*(POWER(1+E7,C7)-1)/(POWER(1+E7,A7)-1),4))</f>
        <v>0.7712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5" thickBot="1">
      <c r="A18" s="3031" t="s">
        <v>2520</v>
      </c>
      <c r="B18" s="3032">
        <f>ROUND(B17*F11/F12,2)</f>
        <v>5541.87</v>
      </c>
      <c r="C18" s="3032">
        <f>ROUND(F11/F12,4)</f>
        <v>1.1521999999999999</v>
      </c>
      <c r="D18" s="3033"/>
      <c r="E18" s="3033"/>
      <c r="F18" s="3034"/>
    </row>
    <row r="19" spans="1:13" ht="15" thickBot="1"/>
    <row r="20" spans="1:13" s="3069" customFormat="1" ht="1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4" sqref="D4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9" t="str">
        <f>IF(B10="北京市","北京市",C10)&amp;F10&amp;IF(结果表!G1="在建","出让国有建设用地使用权及在建建筑物",IF(结果表!G1="土地","出让国有建设用地使用权",))&amp;B9&amp;"预评估"</f>
        <v>北京市房山区良乡隆曦园2号楼-1层1-01,1层1-101房地产抵押价值预评估</v>
      </c>
      <c r="C1" s="3530"/>
      <c r="D1" s="3530"/>
      <c r="E1" s="3530"/>
      <c r="F1" s="3530"/>
      <c r="G1" s="3530"/>
      <c r="H1" s="3530"/>
      <c r="I1" s="353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北京市房山区良乡隆曦园2号楼-1层1-01,1层1-101房地产抵押价值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北京市房山区良乡隆曦园2号楼-1层1-01,1层1-101房地产</v>
      </c>
      <c r="T2" s="1745"/>
      <c r="U2" s="1745"/>
      <c r="V2" s="1745"/>
      <c r="W2" s="1745"/>
      <c r="X2" s="1745"/>
      <c r="Y2" s="1745"/>
      <c r="Z2" s="1745"/>
      <c r="AA2" s="1745"/>
      <c r="AB2" s="1745"/>
    </row>
    <row r="3" spans="1:30">
      <c r="A3" s="302" t="s">
        <v>2170</v>
      </c>
      <c r="B3" s="2373">
        <v>45427</v>
      </c>
      <c r="C3" s="2374" t="s">
        <v>2171</v>
      </c>
      <c r="D3" s="2373">
        <v>45427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32" t="s">
        <v>2177</v>
      </c>
      <c r="E8" s="2391" t="s">
        <v>3382</v>
      </c>
      <c r="F8" s="2392"/>
      <c r="G8" s="2663"/>
      <c r="H8" s="2663"/>
      <c r="I8" s="2663"/>
      <c r="J8" s="2439"/>
      <c r="K8" s="2614"/>
      <c r="L8" s="2613"/>
      <c r="M8" s="2613"/>
      <c r="N8" s="2439"/>
      <c r="O8" s="2450"/>
      <c r="P8" s="2439"/>
      <c r="Q8" s="2439"/>
      <c r="R8" s="2439"/>
    </row>
    <row r="9" spans="1:30" ht="13.8" thickBot="1">
      <c r="A9" s="2393" t="s">
        <v>2178</v>
      </c>
      <c r="B9" s="2394" t="s">
        <v>3382</v>
      </c>
      <c r="C9" s="2395"/>
      <c r="D9" s="3533"/>
      <c r="E9" s="2394" t="s">
        <v>43</v>
      </c>
      <c r="F9" s="2396"/>
      <c r="G9" s="2665"/>
      <c r="H9" s="2665"/>
      <c r="I9" s="2665"/>
      <c r="J9" s="2439"/>
      <c r="K9" s="2616"/>
      <c r="L9" s="2613"/>
      <c r="M9" s="2613"/>
      <c r="N9" s="2439"/>
      <c r="O9" s="2450"/>
      <c r="P9" s="2439"/>
      <c r="Q9" s="2439"/>
      <c r="R9" s="2439"/>
    </row>
    <row r="10" spans="1:30" ht="13.8" thickTop="1">
      <c r="A10" s="2397" t="s">
        <v>2179</v>
      </c>
      <c r="B10" s="2398" t="s">
        <v>3383</v>
      </c>
      <c r="C10" s="2399"/>
      <c r="D10" s="2382"/>
      <c r="E10" s="2400" t="s">
        <v>2180</v>
      </c>
      <c r="F10" s="2666" t="s">
        <v>3384</v>
      </c>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56216</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29.55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9" t="s">
        <v>3386</v>
      </c>
      <c r="C16" s="3540"/>
      <c r="D16" s="3541"/>
      <c r="E16" s="2413" t="s">
        <v>2194</v>
      </c>
      <c r="F16" s="3542">
        <f>D15</f>
        <v>29.55</v>
      </c>
      <c r="G16" s="3543"/>
      <c r="H16" s="3543"/>
      <c r="I16" s="3544"/>
      <c r="J16" s="2439"/>
      <c r="K16" s="2617"/>
      <c r="L16" s="2451"/>
      <c r="M16" s="2451"/>
      <c r="N16" s="2509"/>
      <c r="O16" s="2451"/>
      <c r="P16" s="2509"/>
      <c r="Q16" s="2439"/>
      <c r="R16" s="2439"/>
    </row>
    <row r="17" spans="1:28">
      <c r="A17" s="313" t="s">
        <v>2195</v>
      </c>
      <c r="B17" s="302" t="s">
        <v>2196</v>
      </c>
      <c r="C17" s="8">
        <f>'数据-汇总表'!E3</f>
        <v>185.44</v>
      </c>
      <c r="D17" s="2322" t="s">
        <v>2197</v>
      </c>
      <c r="E17" s="3545" t="s">
        <v>2198</v>
      </c>
      <c r="F17" s="3546"/>
      <c r="G17" s="3546"/>
      <c r="H17" s="3546"/>
      <c r="I17" s="3547"/>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8" t="s">
        <v>2202</v>
      </c>
      <c r="F18" s="3549"/>
      <c r="G18" s="3549"/>
      <c r="H18" s="3549"/>
      <c r="I18" s="3550"/>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5" t="s">
        <v>2206</v>
      </c>
      <c r="C20" s="3536"/>
      <c r="D20" s="3537" t="s">
        <v>2207</v>
      </c>
      <c r="E20" s="3538"/>
      <c r="F20" s="2647" t="s">
        <v>1056</v>
      </c>
      <c r="G20" s="2664"/>
      <c r="H20" s="2664"/>
      <c r="I20" s="2664"/>
      <c r="J20" s="2439"/>
      <c r="K20" s="35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2" t="s">
        <v>2214</v>
      </c>
      <c r="B27" s="320" t="s">
        <v>2215</v>
      </c>
      <c r="C27" s="2416" t="s">
        <v>3387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2219</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1" t="s">
        <v>2228</v>
      </c>
      <c r="T34" s="2428" t="str">
        <f>NUMBERSTRING(7-K34,1)&amp;"通"</f>
        <v>七通</v>
      </c>
      <c r="U34" s="2439"/>
      <c r="V34" s="2439"/>
    </row>
    <row r="35" spans="1:30">
      <c r="A35" s="2429"/>
      <c r="B35" s="3528" t="s">
        <v>2229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t="s">
        <v>3394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43" sqref="L4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185.44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185.44</v>
      </c>
      <c r="H5" s="13">
        <f t="shared" ref="H5:AT5" si="0">SUM(H13:H656)</f>
        <v>185.44</v>
      </c>
      <c r="I5" s="13">
        <f t="shared" si="0"/>
        <v>93.01</v>
      </c>
      <c r="J5" s="13">
        <f t="shared" si="0"/>
        <v>0</v>
      </c>
      <c r="K5" s="13">
        <f t="shared" si="0"/>
        <v>92.43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185.44</v>
      </c>
      <c r="BA5" s="15">
        <f t="shared" si="1"/>
        <v>185.44</v>
      </c>
      <c r="BB5" s="15">
        <f t="shared" si="1"/>
        <v>93.01</v>
      </c>
      <c r="BC5" s="15">
        <f t="shared" si="1"/>
        <v>92.43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t="s">
        <v>3390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2438" t="s">
        <v>3396</v>
      </c>
      <c r="D13" s="1625" t="s">
        <v>3391</v>
      </c>
      <c r="E13" s="13">
        <f>IF($C$3="是",ROUND($A$3*G13/$B$3,2),ROUND($A$3*(G13-AT13)/$B$3,2))</f>
        <v>0</v>
      </c>
      <c r="F13" s="29"/>
      <c r="G13" s="30">
        <f>H13+AC13+AT13</f>
        <v>93.01</v>
      </c>
      <c r="H13" s="17">
        <f>SUMIF(I$12:AB$12,"总值",I13:AB13)</f>
        <v>93.01</v>
      </c>
      <c r="I13" s="1626">
        <v>93.01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1-01</v>
      </c>
      <c r="AY13" s="1349">
        <f>ROUND($AY$6*AZ13/$AZ$5,2)</f>
        <v>0</v>
      </c>
      <c r="AZ13" s="13">
        <f>BA13+BL13</f>
        <v>93.01</v>
      </c>
      <c r="BA13" s="13">
        <f>SUM(BB13:BK13)</f>
        <v>93.01</v>
      </c>
      <c r="BB13" s="13">
        <f>IF($D13="是",I13-J13,0)</f>
        <v>93.01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449" t="s">
        <v>3397</v>
      </c>
      <c r="D14" s="1625" t="s">
        <v>3391</v>
      </c>
      <c r="E14" s="13">
        <f>IF($C$3="是",ROUND($A$3*G14/$B$3,2),ROUND($A$3*(G14-AT14)/$B$3,2))</f>
        <v>0</v>
      </c>
      <c r="F14" s="29"/>
      <c r="G14" s="30">
        <f>H14+AC14+AT14</f>
        <v>92.43</v>
      </c>
      <c r="H14" s="17">
        <f>SUMIF(I$12:AB$12,"总值",I14:AB14)</f>
        <v>92.43</v>
      </c>
      <c r="I14" s="1626"/>
      <c r="J14" s="1626"/>
      <c r="K14" s="1626">
        <v>92.43</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1-101</v>
      </c>
      <c r="AY14" s="1349">
        <f>ROUND($AY$6*AZ14/$AZ$5,2)</f>
        <v>0</v>
      </c>
      <c r="AZ14" s="13">
        <f>BA14+BL14</f>
        <v>92.43</v>
      </c>
      <c r="BA14" s="13">
        <f>SUM(BB14:BK14)</f>
        <v>92.43</v>
      </c>
      <c r="BB14" s="13">
        <f>IF($D14="是",I14-J14,0)</f>
        <v>0</v>
      </c>
      <c r="BC14" s="13">
        <f>IF($D14="是",K14-L14,0)</f>
        <v>92.43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3" sqref="G53:G5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0" t="s">
        <v>1131</v>
      </c>
      <c r="B2" s="3560"/>
      <c r="C2" s="3560"/>
      <c r="D2" s="796" t="s">
        <v>1107</v>
      </c>
      <c r="E2" s="1639" t="s">
        <v>1108</v>
      </c>
      <c r="F2" s="2659"/>
      <c r="G2" s="2650"/>
      <c r="H2" s="2651"/>
      <c r="I2" s="2325" t="s">
        <v>1132</v>
      </c>
      <c r="J2" s="2659"/>
      <c r="K2" s="2659"/>
      <c r="L2" s="2659"/>
      <c r="M2" s="2659"/>
      <c r="N2" s="2661"/>
      <c r="O2" s="2659"/>
      <c r="P2" s="2659"/>
    </row>
    <row r="3" spans="1:16" ht="15" thickBot="1">
      <c r="A3" s="3561" t="s">
        <v>1105</v>
      </c>
      <c r="B3" s="3561"/>
      <c r="C3" s="3561"/>
      <c r="D3" s="43">
        <f>'数据-基础表'!AY6</f>
        <v>0</v>
      </c>
      <c r="E3" s="43">
        <f>'数据-基础表'!AZ5</f>
        <v>185.44</v>
      </c>
      <c r="F3" s="2659"/>
      <c r="G3" s="1145"/>
      <c r="H3" s="1026" t="s">
        <v>1106</v>
      </c>
      <c r="I3" s="855" t="e">
        <f>ROUND('数据-基础表'!B3/'数据-基础表'!A3,2)</f>
        <v>#DIV/0!</v>
      </c>
      <c r="J3" s="2659"/>
      <c r="K3" s="2659"/>
      <c r="L3" s="2659"/>
      <c r="M3" s="2659"/>
      <c r="N3" s="2661"/>
      <c r="O3" s="2659"/>
      <c r="P3" s="2659"/>
    </row>
    <row r="4" spans="1:16" ht="14.4">
      <c r="A4" s="3562"/>
      <c r="B4" s="3563"/>
      <c r="C4" s="356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5" t="s">
        <v>1110</v>
      </c>
      <c r="C5" s="356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5" t="s">
        <v>1111</v>
      </c>
      <c r="C6" s="3565"/>
      <c r="D6" s="45">
        <f>ROUND($D$3*E6/$E$3,2)</f>
        <v>0</v>
      </c>
      <c r="E6" s="46">
        <f>E3-E5</f>
        <v>185.44</v>
      </c>
      <c r="F6" s="2659"/>
      <c r="G6" s="2653" t="s">
        <v>1112</v>
      </c>
      <c r="H6" s="1146" t="s">
        <v>1113</v>
      </c>
      <c r="I6" s="2654" t="e">
        <f>ROUND(F31/D31,2)</f>
        <v>#DIV/0!</v>
      </c>
      <c r="J6" s="2659"/>
      <c r="K6" s="2659"/>
      <c r="L6" s="2659"/>
      <c r="M6" s="2659"/>
      <c r="N6" s="2659"/>
      <c r="O6" s="2659"/>
      <c r="P6" s="2659"/>
    </row>
    <row r="7" spans="1:16" ht="15" thickBot="1">
      <c r="A7" s="3557"/>
      <c r="B7" s="3558"/>
      <c r="C7" s="3559"/>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92.43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93.01</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185.44</v>
      </c>
      <c r="F16" s="2659"/>
      <c r="G16" s="2660"/>
      <c r="H16" s="1648" t="s">
        <v>1135</v>
      </c>
      <c r="I16" s="1649"/>
      <c r="J16" s="1139"/>
      <c r="K16" s="3554" t="s">
        <v>1135</v>
      </c>
      <c r="L16" s="3555"/>
      <c r="M16" s="3555"/>
      <c r="N16" s="3555"/>
      <c r="O16" s="3555"/>
      <c r="P16" s="3556"/>
    </row>
    <row r="17" spans="1:19" ht="14.4">
      <c r="A17" s="1650" t="s">
        <v>1136</v>
      </c>
      <c r="B17" s="1651" t="s">
        <v>1137</v>
      </c>
      <c r="C17" s="1652" t="s">
        <v>1138</v>
      </c>
      <c r="D17" s="1653" t="s">
        <v>1126</v>
      </c>
      <c r="E17" s="1654" t="s">
        <v>1127</v>
      </c>
      <c r="F17" s="1655"/>
      <c r="G17" s="1656"/>
      <c r="H17" s="1657" t="s">
        <v>1139</v>
      </c>
      <c r="I17" s="1658" t="s">
        <v>1124</v>
      </c>
      <c r="J17" s="1139"/>
      <c r="K17" s="3551" t="s">
        <v>1140</v>
      </c>
      <c r="L17" s="3552"/>
      <c r="M17" s="3553"/>
      <c r="N17" s="3551" t="s">
        <v>1141</v>
      </c>
      <c r="O17" s="3552"/>
      <c r="P17" s="355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3392</v>
      </c>
      <c r="D19" s="45">
        <f>ROUND($D$3*E19/$E$3,2)</f>
        <v>0</v>
      </c>
      <c r="E19" s="53">
        <f t="shared" ref="E19:E26" si="1">SUM(F19:G19)</f>
        <v>185.44</v>
      </c>
      <c r="F19" s="2795">
        <f>'数据-基础表'!K14</f>
        <v>92.43</v>
      </c>
      <c r="G19" s="2796">
        <f>'数据-基础表'!I13</f>
        <v>93.01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185.44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185.44</v>
      </c>
      <c r="F27" s="1140">
        <f>IF(SUM(F19:F26)=E8,SUM(F19:F26),"地上面积有误")</f>
        <v>92.43</v>
      </c>
      <c r="G27" s="1142">
        <f>SUM(G19:G26)</f>
        <v>93.01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185.44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185.44</v>
      </c>
      <c r="F31" s="677">
        <f>F27+F30</f>
        <v>92.43</v>
      </c>
      <c r="G31" s="678">
        <f>G27+G30</f>
        <v>93.01</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45427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56216</v>
      </c>
      <c r="F6" s="64">
        <f>SUMIF(项目基本情况!C$12:I$12,C6,项目基本情况!C$15:I$15)</f>
        <v>29.55</v>
      </c>
      <c r="G6" s="65">
        <f>IF(ISERROR(ROUND(POWER(1+H6,D6-F6)*(POWER(1+H6,F6)-1)/(POWER(1+H6,D6)-1),3)),0,ROUND(POWER(1+H6,D6-F6)*(POWER(1+H6,F6)-1)/(POWER(1+H6,D6)-1),3))</f>
        <v>0.89</v>
      </c>
      <c r="H6" s="732">
        <v>0.05</v>
      </c>
      <c r="I6" s="3476">
        <v>0.06</v>
      </c>
      <c r="J6" s="66">
        <v>7.0000000000000007E-2</v>
      </c>
      <c r="K6" s="1030">
        <f>SUMIF('数据-汇总表'!C$19:C$33,A6,'数据-汇总表'!E$19:E$33)</f>
        <v>185.44</v>
      </c>
      <c r="L6" s="733">
        <v>3000</v>
      </c>
      <c r="M6" s="67">
        <f t="shared" ref="M6:M14" si="0">ROUND(K6*L6/10000,0)</f>
        <v>56</v>
      </c>
      <c r="N6" s="731">
        <f>M21</f>
        <v>0.64</v>
      </c>
      <c r="O6" s="67" t="str">
        <f>IF($N$5="成新度","——",ROUND(M6*N6,0))</f>
        <v>——</v>
      </c>
      <c r="P6" s="68" t="str">
        <f>IF($N$5="成新度","——",M6-O6)</f>
        <v>——</v>
      </c>
      <c r="Q6" s="3475">
        <v>0.12</v>
      </c>
      <c r="R6" s="69">
        <f ca="1">SUMIF('数据-汇总表'!C$19:C$33,A6,'数据-汇总表'!R$19:R$27)</f>
        <v>0</v>
      </c>
      <c r="S6" s="51">
        <f>IF('数据-汇总表'!$I$17="按面积比例",SUMIF('数据-汇总表'!C$19:C$33,A6,'数据-汇总表'!K$19:K$33),SUMIF('数据-汇总表'!C$19:C$33,A6,'数据-汇总表'!N$19:N$33))</f>
        <v>0</v>
      </c>
      <c r="T6" s="1172">
        <f>ROUND($L$14*S6/10000,0)</f>
        <v>0</v>
      </c>
      <c r="U6" s="3474">
        <f>W20</f>
        <v>1.42</v>
      </c>
      <c r="V6" s="70">
        <v>2.5000000000000001E-2</v>
      </c>
      <c r="W6" s="70">
        <v>0.1</v>
      </c>
      <c r="X6" s="1040"/>
      <c r="Y6" s="71">
        <f>N6</f>
        <v>0.64</v>
      </c>
      <c r="Z6" s="72"/>
      <c r="AA6" s="66"/>
      <c r="AB6" s="66"/>
      <c r="AC6" s="1040"/>
      <c r="AD6" s="73"/>
      <c r="AE6" s="1041">
        <f ca="1">IF(AN6="",0,SUMIF(INDIRECT("'"&amp;AN6&amp;"'"&amp;"!E:E"),$AE$5,INDIRECT("'"&amp;AN6&amp;"'"&amp;"!F:F")))</f>
        <v>29</v>
      </c>
      <c r="AF6" s="1348"/>
      <c r="AG6" s="138">
        <f>IF(AF6="",0,AE6-AF6)</f>
        <v>0</v>
      </c>
      <c r="AH6" s="74"/>
      <c r="AI6" s="76">
        <v>365</v>
      </c>
      <c r="AJ6" s="77"/>
      <c r="AK6" s="78">
        <v>5.0000000000000001E-3</v>
      </c>
      <c r="AL6" s="79">
        <v>1E-3</v>
      </c>
      <c r="AM6" s="80">
        <v>5.0000000000000001E-3</v>
      </c>
      <c r="AN6" s="1715" t="s">
        <v>3398</v>
      </c>
      <c r="AO6" s="52">
        <f ca="1">SUMIF(INDIRECT("'"&amp;AN6&amp;"'"&amp;"!A:A"),"总价",INDIRECT("'"&amp;AN6&amp;"'"&amp;"!B:B"))</f>
        <v>120.1343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0.89</v>
      </c>
      <c r="H16" s="90">
        <f>ROUND(SUMPRODUCT(H6:H13,K6:K13)/SUMPRODUCT((H6:H13&gt;0)*(K6:K13)),3)</f>
        <v>0.05</v>
      </c>
      <c r="I16" s="91"/>
      <c r="J16" s="91"/>
      <c r="K16" s="92">
        <f>SUM(K6:K15)</f>
        <v>185.44</v>
      </c>
      <c r="L16" s="93">
        <f>ROUND(M16*10000/SUM(K6:K14),0)</f>
        <v>3020</v>
      </c>
      <c r="M16" s="93">
        <f>SUM(M6:M14)</f>
        <v>56</v>
      </c>
      <c r="N16" s="94">
        <f>ROUND(SUMPRODUCT(M6:M14,N6:N14)/M16,3)</f>
        <v>0.64</v>
      </c>
      <c r="O16" s="93">
        <f>SUM(O6:O14)</f>
        <v>0</v>
      </c>
      <c r="P16" s="93">
        <f>SUM(P6:P14)</f>
        <v>0</v>
      </c>
      <c r="Q16" s="95">
        <f>ROUND(SUMPRODUCT(Q6:Q13,K6:K13)/SUMPRODUCT((Q6:Q13&gt;0)*(K6:K13)),2)</f>
        <v>0.12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3477" t="s">
        <v>3494</v>
      </c>
      <c r="W17" s="3477" t="s">
        <v>3495</v>
      </c>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t="s">
        <v>3414</v>
      </c>
      <c r="M18" s="2671"/>
      <c r="N18" s="2671"/>
      <c r="O18" s="2671"/>
      <c r="P18" s="2671"/>
      <c r="Q18" s="2671"/>
      <c r="R18" s="2671"/>
      <c r="S18" s="2671"/>
      <c r="T18" s="2671"/>
      <c r="U18" s="2671" t="s">
        <v>3492</v>
      </c>
      <c r="V18" s="2671">
        <f>'数据-汇总表'!F19</f>
        <v>92.43</v>
      </c>
      <c r="W18" s="2671">
        <v>1.9</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3450" t="s">
        <v>3415</v>
      </c>
      <c r="L19" s="3451">
        <v>2003</v>
      </c>
      <c r="M19" s="2671"/>
      <c r="N19" s="2671"/>
      <c r="O19" s="2671"/>
      <c r="P19" s="2671"/>
      <c r="Q19" s="2671"/>
      <c r="R19" s="2671"/>
      <c r="S19" s="2671"/>
      <c r="T19" s="2671"/>
      <c r="U19" s="2671" t="s">
        <v>3493</v>
      </c>
      <c r="V19" s="2671">
        <f>'数据-汇总表'!G19</f>
        <v>93.01</v>
      </c>
      <c r="W19" s="2671">
        <f>W18*0.5</f>
        <v>0.95</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2303</v>
      </c>
      <c r="D20" s="2676"/>
      <c r="E20" s="2673"/>
      <c r="F20" s="2673"/>
      <c r="G20" s="2673"/>
      <c r="H20" s="2673"/>
      <c r="I20" s="2673"/>
      <c r="J20" s="2673"/>
      <c r="K20" s="3450" t="s">
        <v>3416</v>
      </c>
      <c r="L20" s="3461">
        <f>1-(1-2%)*(2024-L19)/50</f>
        <v>0.58840000000000003</v>
      </c>
      <c r="M20" s="2671"/>
      <c r="N20" s="2671"/>
      <c r="O20" s="2671"/>
      <c r="P20" s="2671"/>
      <c r="Q20" s="2671"/>
      <c r="R20" s="2671"/>
      <c r="S20" s="2671"/>
      <c r="T20" s="2671"/>
      <c r="U20" s="2671"/>
      <c r="V20" s="2671">
        <f>V18+V19</f>
        <v>185.44</v>
      </c>
      <c r="W20" s="2671">
        <f>ROUND((W18*V18+W19*V19)/V20,2)</f>
        <v>1.42</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3450" t="s">
        <v>3433</v>
      </c>
      <c r="L21" s="3461">
        <v>0.7</v>
      </c>
      <c r="M21" s="2671">
        <v>0.64</v>
      </c>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3450" t="s">
        <v>3434</v>
      </c>
      <c r="L22" s="3461">
        <f>(L20+L21)/2</f>
        <v>0.64419999999999999</v>
      </c>
      <c r="M22" s="2671"/>
      <c r="N22" s="2671"/>
      <c r="O22" s="2671"/>
      <c r="P22" s="2671"/>
      <c r="Q22" s="2671"/>
      <c r="R22" s="2671"/>
      <c r="S22" s="2671"/>
      <c r="T22" s="2671"/>
      <c r="U22" s="2671" t="s">
        <v>3496</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3566" t="s">
        <v>3417</v>
      </c>
      <c r="H23" s="3567"/>
      <c r="I23" s="3567"/>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29.4" thickBot="1">
      <c r="A24" s="1725" t="s">
        <v>1216</v>
      </c>
      <c r="B24" s="106">
        <f>B20-B21</f>
        <v>0</v>
      </c>
      <c r="C24" s="2673"/>
      <c r="D24" s="2676"/>
      <c r="E24" s="2673"/>
      <c r="F24" s="2673"/>
      <c r="G24" s="3452" t="s">
        <v>3418</v>
      </c>
      <c r="H24" s="3452" t="s">
        <v>3419</v>
      </c>
      <c r="I24" s="3452" t="s">
        <v>3420</v>
      </c>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3452" t="s">
        <v>3421</v>
      </c>
      <c r="H25" s="3452" t="s">
        <v>3422</v>
      </c>
      <c r="I25" s="3452" t="s">
        <v>3423</v>
      </c>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3453">
        <v>10</v>
      </c>
      <c r="H26" s="3453">
        <v>6</v>
      </c>
      <c r="I26" s="3453">
        <v>3</v>
      </c>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2307</v>
      </c>
      <c r="D27" s="2679"/>
      <c r="E27" s="2661"/>
      <c r="F27" s="2661"/>
      <c r="G27" s="3453">
        <v>2</v>
      </c>
      <c r="H27" s="3453">
        <v>2</v>
      </c>
      <c r="I27" s="3453">
        <v>0</v>
      </c>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3453">
        <v>67000</v>
      </c>
      <c r="H28" s="3453">
        <v>100000</v>
      </c>
      <c r="I28" s="3453">
        <v>21000</v>
      </c>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 (元)'!C10</f>
        <v>37088</v>
      </c>
      <c r="C29" s="2802" t="s">
        <v>2294</v>
      </c>
      <c r="D29" s="2679"/>
      <c r="E29" s="2661"/>
      <c r="F29" s="2661"/>
      <c r="G29" s="3454">
        <v>52000</v>
      </c>
      <c r="H29" s="3454">
        <v>72000</v>
      </c>
      <c r="I29" s="3454">
        <v>21000</v>
      </c>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3454">
        <v>15000</v>
      </c>
      <c r="H30" s="3454">
        <v>28000</v>
      </c>
      <c r="I30" s="3454">
        <v>0</v>
      </c>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3455">
        <f t="shared" ref="G31:I31" si="12">G32+G36+G35</f>
        <v>6002</v>
      </c>
      <c r="H31" s="3455">
        <f t="shared" si="12"/>
        <v>4964</v>
      </c>
      <c r="I31" s="3455">
        <f t="shared" si="12"/>
        <v>3045</v>
      </c>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3456">
        <v>2924</v>
      </c>
      <c r="H32" s="3456">
        <v>2788</v>
      </c>
      <c r="I32" s="3456">
        <v>1470</v>
      </c>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2295</v>
      </c>
      <c r="D33" s="2676"/>
      <c r="E33" s="2673"/>
      <c r="F33" s="2673"/>
      <c r="G33" s="3454">
        <v>2105</v>
      </c>
      <c r="H33" s="3454">
        <v>2008</v>
      </c>
      <c r="I33" s="3454">
        <v>1470</v>
      </c>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3454">
        <v>5763</v>
      </c>
      <c r="H34" s="3454">
        <v>4793</v>
      </c>
      <c r="I34" s="3454" t="s">
        <v>3424</v>
      </c>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3457">
        <v>1397</v>
      </c>
      <c r="H35" s="3457">
        <v>700</v>
      </c>
      <c r="I35" s="3457">
        <v>350</v>
      </c>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3458">
        <v>1681</v>
      </c>
      <c r="H36" s="3458">
        <v>1476</v>
      </c>
      <c r="I36" s="3458">
        <v>1225</v>
      </c>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3459"/>
      <c r="H37" s="3459"/>
      <c r="I37" s="3459"/>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2299</v>
      </c>
      <c r="D38" s="2676"/>
      <c r="E38" s="2673"/>
      <c r="F38" s="2673"/>
      <c r="G38" s="3459"/>
      <c r="H38" s="3459"/>
      <c r="I38" s="3459"/>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3459"/>
      <c r="H39" s="3459"/>
      <c r="I39" s="3459"/>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2314</v>
      </c>
      <c r="B40" s="1078">
        <f ca="1">IF(A40="利息：取LPR",存贷款利率!G1,存贷款利率!G1+C40)</f>
        <v>3.4500000000000003E-2</v>
      </c>
      <c r="C40" s="2814">
        <v>5.0000000000000001E-3</v>
      </c>
      <c r="D40" s="2671"/>
      <c r="E40" s="2676"/>
      <c r="F40" s="2673"/>
      <c r="G40" s="3459"/>
      <c r="H40" s="3459"/>
      <c r="I40" s="3459"/>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3460">
        <f t="shared" ref="G41:I41" si="13">G32/G31</f>
        <v>0.48717094301899366</v>
      </c>
      <c r="H41" s="3460">
        <f t="shared" si="13"/>
        <v>0.56164383561643838</v>
      </c>
      <c r="I41" s="3460">
        <f t="shared" si="13"/>
        <v>0.48275862068965519</v>
      </c>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3460">
        <f t="shared" ref="G42:I42" si="14">G35/G31</f>
        <v>0.23275574808397201</v>
      </c>
      <c r="H42" s="3460">
        <f t="shared" si="14"/>
        <v>0.14101531023368252</v>
      </c>
      <c r="I42" s="3460">
        <f t="shared" si="14"/>
        <v>0.11494252873563218</v>
      </c>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3460">
        <f t="shared" ref="G43:I43" si="15">G36/G31</f>
        <v>0.2800733088970343</v>
      </c>
      <c r="H43" s="3460">
        <f t="shared" si="15"/>
        <v>0.29734085414987915</v>
      </c>
      <c r="I43" s="3460">
        <f t="shared" si="15"/>
        <v>0.40229885057471265</v>
      </c>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mergeCells count="1">
    <mergeCell ref="G23:I23"/>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8" t="s">
        <v>2286</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185.44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45427</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204</v>
      </c>
      <c r="C5" s="2512">
        <f ca="1">IF(B5=D14,结果表!H102,ROUND(B5*10000/$B$1,0))</f>
        <v>11012</v>
      </c>
      <c r="D5" s="2512" t="e">
        <f ca="1">ROUND(B5*10000/$B$2,0)</f>
        <v>#DIV/0!</v>
      </c>
      <c r="E5" s="2686"/>
      <c r="F5" s="2687"/>
      <c r="G5" s="2687"/>
      <c r="H5" s="2688"/>
      <c r="I5" s="2688"/>
      <c r="J5" s="2688"/>
      <c r="K5" s="2688"/>
    </row>
    <row r="6" spans="1:11" ht="15.6">
      <c r="A6" s="2512" t="s">
        <v>656</v>
      </c>
      <c r="B6" s="2512">
        <f>SUM(G14:G23)</f>
        <v>0</v>
      </c>
      <c r="C6" s="2512">
        <f ca="1">IF(B6=G14,结果表!H108,ROUND(B6*10000/$B$1,0))</f>
        <v>11012</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3358</v>
      </c>
      <c r="D10" s="2512" t="s">
        <v>3359</v>
      </c>
      <c r="E10" s="3441"/>
      <c r="F10" s="3445" t="s">
        <v>3360</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'数据-汇总表'!E6</f>
        <v>185.44</v>
      </c>
      <c r="C14" s="2518"/>
      <c r="D14" s="2518">
        <f ca="1">结果表!H101</f>
        <v>204</v>
      </c>
      <c r="E14" s="2518">
        <f ca="1">结果表!H102</f>
        <v>11012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673</v>
      </c>
      <c r="D1" s="1747"/>
      <c r="E1" s="1747"/>
      <c r="F1" s="1749" t="s">
        <v>1263</v>
      </c>
      <c r="G1" s="1561" t="s">
        <v>3388</v>
      </c>
      <c r="H1" s="1750" t="str">
        <f>IF(G1="现房","——","估价对象范围")</f>
        <v>——</v>
      </c>
      <c r="I1" s="1751"/>
    </row>
    <row r="2" spans="1:12" ht="21.75" customHeight="1" thickBot="1">
      <c r="A2" s="3604" t="str">
        <f>项目基本情况!S2</f>
        <v>北京市房山区良乡隆曦园2号楼-1层1-01,1层1-101房地产</v>
      </c>
      <c r="B2" s="3605"/>
      <c r="C2" s="3605"/>
      <c r="D2" s="3605"/>
      <c r="E2" s="3605"/>
      <c r="F2" s="3605"/>
      <c r="G2" s="3605"/>
      <c r="H2" s="3605"/>
      <c r="I2" s="3606"/>
    </row>
    <row r="3" spans="1:12" ht="13.2">
      <c r="A3" s="3608" t="s">
        <v>1264</v>
      </c>
      <c r="B3" s="3609"/>
      <c r="C3" s="3609"/>
      <c r="D3" s="3609"/>
      <c r="E3" s="3609"/>
      <c r="F3" s="3609"/>
      <c r="G3" s="3609"/>
      <c r="H3" s="3609"/>
      <c r="I3" s="3609"/>
    </row>
    <row r="4" spans="1:12" ht="14.4">
      <c r="A4" s="1754" t="s">
        <v>1265</v>
      </c>
      <c r="B4" s="1755" t="s">
        <v>1266</v>
      </c>
      <c r="C4" s="1756" t="s">
        <v>3429</v>
      </c>
      <c r="D4" s="1756" t="s">
        <v>3398</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4" t="s">
        <v>1268</v>
      </c>
      <c r="B5" s="3571">
        <v>25</v>
      </c>
      <c r="C5" s="3587"/>
      <c r="D5" s="3607"/>
      <c r="E5" s="131" t="s">
        <v>1269</v>
      </c>
      <c r="F5" s="1757"/>
      <c r="G5" s="1757"/>
      <c r="H5" s="1757"/>
      <c r="I5" s="1373"/>
    </row>
    <row r="6" spans="1:12" ht="13.2">
      <c r="A6" s="3584"/>
      <c r="B6" s="3571"/>
      <c r="C6" s="3588"/>
      <c r="D6" s="3607"/>
      <c r="E6" s="131" t="s">
        <v>1270</v>
      </c>
      <c r="F6" s="1757"/>
      <c r="G6" s="1757"/>
      <c r="H6" s="1757"/>
      <c r="I6" s="1373"/>
    </row>
    <row r="7" spans="1:12" ht="13.2">
      <c r="A7" s="3584"/>
      <c r="B7" s="3571"/>
      <c r="C7" s="3589"/>
      <c r="D7" s="3607"/>
      <c r="E7" s="131" t="s">
        <v>1271</v>
      </c>
      <c r="F7" s="1757"/>
      <c r="G7" s="1757"/>
      <c r="H7" s="1757"/>
      <c r="I7" s="1373"/>
    </row>
    <row r="8" spans="1:12" ht="13.2">
      <c r="A8" s="3584" t="s">
        <v>1272</v>
      </c>
      <c r="B8" s="3571">
        <v>15</v>
      </c>
      <c r="C8" s="3587"/>
      <c r="D8" s="3607"/>
      <c r="E8" s="131" t="s">
        <v>1273</v>
      </c>
      <c r="F8" s="1757"/>
      <c r="G8" s="1757"/>
      <c r="H8" s="1757"/>
      <c r="I8" s="1373"/>
    </row>
    <row r="9" spans="1:12" ht="13.2">
      <c r="A9" s="3584"/>
      <c r="B9" s="3571"/>
      <c r="C9" s="3589"/>
      <c r="D9" s="3607"/>
      <c r="E9" s="131" t="s">
        <v>1274</v>
      </c>
      <c r="F9" s="1757"/>
      <c r="G9" s="1757"/>
      <c r="H9" s="1757"/>
      <c r="I9" s="1373"/>
    </row>
    <row r="10" spans="1:12" ht="13.2">
      <c r="A10" s="3584" t="s">
        <v>1275</v>
      </c>
      <c r="B10" s="3571">
        <v>15</v>
      </c>
      <c r="C10" s="3587"/>
      <c r="D10" s="3607"/>
      <c r="E10" s="131" t="s">
        <v>1276</v>
      </c>
      <c r="F10" s="1757"/>
      <c r="G10" s="1757"/>
      <c r="H10" s="1757"/>
      <c r="I10" s="1373"/>
    </row>
    <row r="11" spans="1:12" ht="13.2">
      <c r="A11" s="3584"/>
      <c r="B11" s="3571"/>
      <c r="C11" s="3589"/>
      <c r="D11" s="3607"/>
      <c r="E11" s="131" t="s">
        <v>1277</v>
      </c>
      <c r="F11" s="1757"/>
      <c r="G11" s="1757"/>
      <c r="H11" s="1757"/>
      <c r="I11" s="1373"/>
    </row>
    <row r="12" spans="1:12" ht="13.2">
      <c r="A12" s="3584" t="s">
        <v>1278</v>
      </c>
      <c r="B12" s="3571">
        <v>15</v>
      </c>
      <c r="C12" s="3587"/>
      <c r="D12" s="3607"/>
      <c r="E12" s="131" t="s">
        <v>1279</v>
      </c>
      <c r="F12" s="1757"/>
      <c r="G12" s="1757"/>
      <c r="H12" s="1757"/>
      <c r="I12" s="1373"/>
    </row>
    <row r="13" spans="1:12" ht="13.2">
      <c r="A13" s="3584"/>
      <c r="B13" s="3571"/>
      <c r="C13" s="3589"/>
      <c r="D13" s="3607"/>
      <c r="E13" s="131" t="s">
        <v>1280</v>
      </c>
      <c r="F13" s="1757"/>
      <c r="G13" s="1757"/>
      <c r="H13" s="1757"/>
      <c r="I13" s="1373"/>
    </row>
    <row r="14" spans="1:12" ht="13.2">
      <c r="A14" s="3584" t="s">
        <v>1281</v>
      </c>
      <c r="B14" s="3571">
        <v>30</v>
      </c>
      <c r="C14" s="3587">
        <v>6</v>
      </c>
      <c r="D14" s="3607">
        <v>4</v>
      </c>
      <c r="E14" s="131" t="s">
        <v>1282</v>
      </c>
      <c r="F14" s="1757"/>
      <c r="G14" s="1757"/>
      <c r="H14" s="1757"/>
      <c r="I14" s="1373"/>
    </row>
    <row r="15" spans="1:12" ht="13.2">
      <c r="A15" s="3584"/>
      <c r="B15" s="3571"/>
      <c r="C15" s="3588"/>
      <c r="D15" s="3607"/>
      <c r="E15" s="131" t="s">
        <v>1283</v>
      </c>
      <c r="F15" s="1757"/>
      <c r="G15" s="1757"/>
      <c r="H15" s="1757"/>
      <c r="I15" s="1373"/>
    </row>
    <row r="16" spans="1:12" ht="13.2">
      <c r="A16" s="3584"/>
      <c r="B16" s="3571"/>
      <c r="C16" s="3589"/>
      <c r="D16" s="3607"/>
      <c r="E16" s="131" t="s">
        <v>1284</v>
      </c>
      <c r="F16" s="1757"/>
      <c r="G16" s="1757"/>
      <c r="H16" s="1757"/>
      <c r="I16" s="1373"/>
    </row>
    <row r="17" spans="1:36" ht="14.4">
      <c r="A17" s="1758" t="s">
        <v>1285</v>
      </c>
      <c r="B17" s="56"/>
      <c r="C17" s="132">
        <f>SUM(C5:C16)</f>
        <v>6</v>
      </c>
      <c r="D17" s="132">
        <f>SUM(D5:D16)</f>
        <v>4</v>
      </c>
      <c r="E17" s="129"/>
      <c r="F17" s="129"/>
      <c r="G17" s="129"/>
      <c r="H17" s="129"/>
      <c r="I17" s="129"/>
      <c r="K17" s="302"/>
      <c r="L17" s="302" t="s">
        <v>1286</v>
      </c>
      <c r="M17" s="302" t="s">
        <v>1287</v>
      </c>
    </row>
    <row r="18" spans="1:36" ht="31.95" customHeight="1" thickBot="1">
      <c r="A18" s="1759" t="s">
        <v>1288</v>
      </c>
      <c r="B18" s="1760"/>
      <c r="C18" s="133">
        <f>ROUND(C17/SUM(C17:D17),2)</f>
        <v>0.6</v>
      </c>
      <c r="D18" s="133">
        <f>1-C18</f>
        <v>0.4</v>
      </c>
      <c r="E18" s="3594" t="s">
        <v>2131</v>
      </c>
      <c r="F18" s="3595"/>
      <c r="G18" s="3595"/>
      <c r="H18" s="3595"/>
      <c r="I18" s="3595"/>
      <c r="J18" s="3478" t="s">
        <v>3497</v>
      </c>
      <c r="K18" s="302" t="s">
        <v>1289</v>
      </c>
      <c r="L18" s="302">
        <f>IF(C1="",'数据-汇总表'!E3,SUMIF(项目类型,C1,'数据-汇总表'!E17:E26)+SUMIF(项目类型,C1,'数据-汇总表'!I17:I26))</f>
        <v>185.44</v>
      </c>
      <c r="M18" s="302">
        <f>IF(C1="",'数据-汇总表'!E3,SUMIF(项目类型,C1,'数据-汇总表'!E17:E26))</f>
        <v>185.44</v>
      </c>
    </row>
    <row r="19" spans="1:36" ht="14.4">
      <c r="A19" s="1761" t="s">
        <v>1290</v>
      </c>
      <c r="B19" s="1762" t="s">
        <v>1291</v>
      </c>
      <c r="C19" s="134">
        <f ca="1">SUMIF(INDIRECT("'"&amp;C4&amp;"'"&amp;"!A:A"),结果表!B19,INDIRECT("'"&amp;C4&amp;"'"&amp;"!B:B"))</f>
        <v>260.23930000000001</v>
      </c>
      <c r="D19" s="135">
        <f ca="1">SUMIF(INDIRECT("'"&amp;D4&amp;"'"&amp;"!A:A"),结果表!B19,INDIRECT("'"&amp;D4&amp;"'"&amp;"!B:B"))</f>
        <v>120.1343</v>
      </c>
      <c r="E19" s="1761" t="s">
        <v>1292</v>
      </c>
      <c r="F19" s="1762" t="s">
        <v>1291</v>
      </c>
      <c r="G19" s="136">
        <f ca="1">ROUND(C19*$C$18+D19*$D$18,0)</f>
        <v>204</v>
      </c>
      <c r="H19" s="1763" t="s">
        <v>1293</v>
      </c>
      <c r="I19" s="129"/>
      <c r="J19" s="725">
        <v>203</v>
      </c>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14034</v>
      </c>
      <c r="D20" s="138">
        <f ca="1">SUMIF(INDIRECT("'"&amp;D4&amp;"'"&amp;"!A:A"),结果表!B20,INDIRECT("'"&amp;D4&amp;"'"&amp;"!B:B"))</f>
        <v>6478</v>
      </c>
      <c r="E20" s="1764"/>
      <c r="F20" s="1026" t="s">
        <v>1295</v>
      </c>
      <c r="G20" s="139">
        <f ca="1">ROUND(C20*$C$18+D20*$D$18,0)</f>
        <v>11012</v>
      </c>
      <c r="H20" s="808" t="s">
        <v>1296</v>
      </c>
      <c r="I20" s="129"/>
      <c r="J20" s="725">
        <v>11000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1.1662364537022318</v>
      </c>
      <c r="E22" s="129"/>
      <c r="F22" s="129"/>
      <c r="G22" s="129"/>
      <c r="H22" s="129"/>
      <c r="I22" s="129"/>
    </row>
    <row r="23" spans="1:36" ht="13.8" thickBot="1">
      <c r="A23" s="1747"/>
      <c r="B23" s="1747"/>
      <c r="C23" s="1747"/>
      <c r="D23" s="1747"/>
      <c r="E23" s="129"/>
      <c r="F23" s="129"/>
      <c r="G23" s="129"/>
      <c r="H23" s="129"/>
      <c r="I23" s="129"/>
    </row>
    <row r="24" spans="1:36" ht="14.4">
      <c r="A24" s="3578" t="s">
        <v>1299</v>
      </c>
      <c r="B24" s="1762" t="s">
        <v>1291</v>
      </c>
      <c r="C24" s="136">
        <f>IF(B30=0,0,D30)</f>
        <v>0</v>
      </c>
      <c r="D24" s="1769"/>
      <c r="E24" s="129"/>
      <c r="F24" s="129"/>
      <c r="G24" s="129"/>
      <c r="H24" s="129"/>
      <c r="I24" s="129"/>
    </row>
    <row r="25" spans="1:36" ht="14.4">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11012</v>
      </c>
      <c r="D32" s="1775" t="s">
        <v>3489</v>
      </c>
      <c r="E32" s="129"/>
      <c r="F32" s="129"/>
      <c r="G32" s="129"/>
      <c r="H32" s="129"/>
      <c r="I32" s="129"/>
    </row>
    <row r="33" spans="1:15" ht="14.4">
      <c r="A33" s="786" t="s">
        <v>1306</v>
      </c>
      <c r="B33" s="1776"/>
      <c r="C33" s="1777" t="s">
        <v>3490</v>
      </c>
      <c r="D33" s="1778"/>
      <c r="E33" s="1779" t="s">
        <v>1307</v>
      </c>
      <c r="F33" s="1780" t="str">
        <f>IF(D32="楼面单价","取值（单价）","取值（总价）")</f>
        <v>取值（单价）</v>
      </c>
      <c r="G33" s="129"/>
      <c r="H33" s="129"/>
      <c r="I33" s="129"/>
    </row>
    <row r="34" spans="1:15" ht="14.4">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 thickBot="1">
      <c r="A36" s="3598" t="s">
        <v>1312</v>
      </c>
      <c r="B36" s="1787" t="s">
        <v>1313</v>
      </c>
      <c r="C36" s="145"/>
      <c r="D36" s="1788"/>
      <c r="E36" s="1789"/>
      <c r="F36" s="1790"/>
      <c r="G36" s="129"/>
      <c r="H36" s="129"/>
      <c r="I36" s="129"/>
    </row>
    <row r="37" spans="1:15" ht="15" thickBot="1">
      <c r="A37" s="3599"/>
      <c r="B37" s="1674" t="s">
        <v>1314</v>
      </c>
      <c r="C37" s="147"/>
      <c r="D37" s="1139"/>
      <c r="E37" s="1139"/>
      <c r="F37" s="1790"/>
      <c r="G37" s="129"/>
      <c r="H37" s="129"/>
      <c r="I37" s="129"/>
    </row>
    <row r="38" spans="1:15" ht="15" thickBot="1">
      <c r="A38" s="360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f ca="1">ROUND(H101*F45,0)</f>
        <v>204</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45427</v>
      </c>
      <c r="N47" s="3655"/>
      <c r="O47" s="3655"/>
    </row>
    <row r="48" spans="1:15" ht="26.4">
      <c r="A48" s="3603" t="s">
        <v>1338</v>
      </c>
      <c r="B48" s="3586"/>
      <c r="C48" s="358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4" t="s">
        <v>1340</v>
      </c>
      <c r="L48" s="3634"/>
      <c r="M48" s="3656">
        <f ca="1">H101</f>
        <v>204</v>
      </c>
      <c r="N48" s="3656"/>
      <c r="O48" s="3656"/>
    </row>
    <row r="49" spans="1:35" ht="25.5" customHeight="1">
      <c r="A49" s="2333" t="s">
        <v>1341</v>
      </c>
      <c r="B49" s="3570" t="s">
        <v>1342</v>
      </c>
      <c r="C49" s="3570"/>
      <c r="D49" s="1590">
        <v>0</v>
      </c>
      <c r="E49" s="324" t="s">
        <v>1343</v>
      </c>
      <c r="F49" s="2424" t="s">
        <v>28</v>
      </c>
      <c r="G49" s="3640"/>
      <c r="H49" s="2310" t="s">
        <v>2134</v>
      </c>
      <c r="I49" s="2311"/>
      <c r="J49" s="2523">
        <v>4</v>
      </c>
      <c r="K49" s="3634" t="str">
        <f>IF(项目基本情况!E8="房地产抵押价值","房地产抵押价值","抵押担保权已注销时的房地产抵押价值")</f>
        <v>房地产抵押价值</v>
      </c>
      <c r="L49" s="3634"/>
      <c r="M49" s="3656">
        <f ca="1">IF(项目基本情况!E8="房地产抵押价值",H107,H109)</f>
        <v>204</v>
      </c>
      <c r="N49" s="3656"/>
      <c r="O49" s="3656"/>
    </row>
    <row r="50" spans="1:35" ht="25.5" customHeight="1">
      <c r="A50" s="2551"/>
      <c r="B50" s="3570" t="s">
        <v>1344</v>
      </c>
      <c r="C50" s="3570"/>
      <c r="D50" s="2552"/>
      <c r="E50" s="332"/>
      <c r="F50" s="2424"/>
      <c r="G50" s="3641"/>
      <c r="H50" s="2312" t="s">
        <v>2135</v>
      </c>
      <c r="I50" s="2311"/>
      <c r="J50" s="3653" t="s">
        <v>1345</v>
      </c>
      <c r="K50" s="3653"/>
      <c r="L50" s="3653"/>
      <c r="M50" s="3653"/>
      <c r="N50" s="3653"/>
      <c r="O50" s="3653"/>
    </row>
    <row r="51" spans="1:35" ht="20.399999999999999" customHeight="1">
      <c r="A51" s="2553"/>
      <c r="B51" s="3570" t="s">
        <v>1346</v>
      </c>
      <c r="C51" s="3570"/>
      <c r="D51" s="1087"/>
      <c r="E51" s="327"/>
      <c r="F51" s="2424"/>
      <c r="G51" s="3642"/>
      <c r="H51" s="2312" t="s">
        <v>2136</v>
      </c>
      <c r="I51" s="2311"/>
      <c r="J51" s="2524" t="s">
        <v>1347</v>
      </c>
      <c r="K51" s="3634" t="s">
        <v>1348</v>
      </c>
      <c r="L51" s="3634"/>
      <c r="M51" s="2524" t="s">
        <v>1349</v>
      </c>
      <c r="N51" s="2524" t="s">
        <v>1350</v>
      </c>
      <c r="O51" s="2524" t="s">
        <v>1351</v>
      </c>
    </row>
    <row r="52" spans="1:35" ht="24" customHeight="1">
      <c r="A52" s="2335" t="s">
        <v>1352</v>
      </c>
      <c r="B52" s="3570" t="s">
        <v>1353</v>
      </c>
      <c r="C52" s="3570"/>
      <c r="D52" s="1087">
        <f ca="1">ROUND(D45*'数据-取费表'!B41/(1+'数据-取费表'!C42),0)</f>
        <v>11</v>
      </c>
      <c r="E52" s="2334" t="s">
        <v>1354</v>
      </c>
      <c r="F52" s="2554">
        <f>'数据-取费表'!B41</f>
        <v>5.5000000000000007E-2</v>
      </c>
      <c r="G52" s="2555"/>
      <c r="H52" s="2544"/>
      <c r="I52" s="1807"/>
      <c r="J52" s="2523">
        <v>1</v>
      </c>
      <c r="K52" s="3635" t="s">
        <v>1355</v>
      </c>
      <c r="L52" s="3635"/>
      <c r="M52" s="2525" t="b">
        <f>D48</f>
        <v>0</v>
      </c>
      <c r="N52" s="2523" t="str">
        <f>E48</f>
        <v>销售额×税（费）率</v>
      </c>
      <c r="O52" s="2526">
        <f>F48</f>
        <v>5.5000000000000007E-2</v>
      </c>
    </row>
    <row r="53" spans="1:35" ht="12" customHeight="1">
      <c r="A53" s="2335" t="s">
        <v>1356</v>
      </c>
      <c r="B53" s="3596" t="s">
        <v>2291</v>
      </c>
      <c r="C53" s="3597"/>
      <c r="D53" s="1087">
        <f ca="1">ROUND(D45*'数据-取费表'!B41/(1+'数据-取费表'!C42),0)</f>
        <v>11</v>
      </c>
      <c r="E53" s="2334" t="s">
        <v>1354</v>
      </c>
      <c r="F53" s="2554">
        <f>'数据-取费表'!B41</f>
        <v>5.5000000000000007E-2</v>
      </c>
      <c r="G53" s="2555"/>
      <c r="H53" s="2544"/>
      <c r="I53" s="1807"/>
      <c r="J53" s="2523">
        <v>2</v>
      </c>
      <c r="K53" s="3635" t="s">
        <v>1357</v>
      </c>
      <c r="L53" s="3635"/>
      <c r="M53" s="2525">
        <f t="shared" ref="M53:O54" ca="1" si="0">D55</f>
        <v>0</v>
      </c>
      <c r="N53" s="2523" t="str">
        <f t="shared" si="0"/>
        <v>销售额×税（费）率</v>
      </c>
      <c r="O53" s="2526" t="str">
        <f t="shared" si="0"/>
        <v>免征</v>
      </c>
    </row>
    <row r="54" spans="1:35" ht="12" customHeight="1">
      <c r="A54" s="2335" t="s">
        <v>1358</v>
      </c>
      <c r="B54" s="3596" t="s">
        <v>2292</v>
      </c>
      <c r="C54" s="3597"/>
      <c r="D54" s="1087">
        <f ca="1">C68</f>
        <v>11</v>
      </c>
      <c r="E54" s="327" t="s">
        <v>1359</v>
      </c>
      <c r="F54" s="2554">
        <f>'数据-取费表'!B41</f>
        <v>5.5000000000000007E-2</v>
      </c>
      <c r="G54" s="2555"/>
      <c r="H54" s="2556"/>
      <c r="I54" s="1807"/>
      <c r="J54" s="2523">
        <v>3</v>
      </c>
      <c r="K54" s="3635" t="s">
        <v>1360</v>
      </c>
      <c r="L54" s="3635"/>
      <c r="M54" s="2525">
        <f t="shared" ca="1" si="0"/>
        <v>115</v>
      </c>
      <c r="N54" s="2523" t="str">
        <f t="shared" si="0"/>
        <v>增值额×税（费）率</v>
      </c>
      <c r="O54" s="2527" t="str">
        <f t="shared" si="0"/>
        <v>免征</v>
      </c>
    </row>
    <row r="55" spans="1:35" ht="24" customHeight="1">
      <c r="A55" s="3585" t="s">
        <v>1361</v>
      </c>
      <c r="B55" s="3586"/>
      <c r="C55" s="3586"/>
      <c r="D55" s="2324">
        <f ca="1">IF(H55="个人住宅",0,ROUND(D45*I55,0))</f>
        <v>0</v>
      </c>
      <c r="E55" s="2334" t="s">
        <v>1362</v>
      </c>
      <c r="F55" s="2554" t="str">
        <f>IF(H55="正常",I55,"免征")</f>
        <v>免征</v>
      </c>
      <c r="G55" s="2555"/>
      <c r="H55" s="2550"/>
      <c r="I55" s="165">
        <f>'数据-取费表'!B49</f>
        <v>5.0000000000000001E-4</v>
      </c>
      <c r="J55" s="2523">
        <f>IF(H59="非个人房产","",4)</f>
        <v>4</v>
      </c>
      <c r="K55" s="3635" t="str">
        <f>IF(H59="非个人房产","——","个人所得税")</f>
        <v>个人所得税</v>
      </c>
      <c r="L55" s="3635"/>
      <c r="M55" s="2528">
        <f ca="1">D59</f>
        <v>2</v>
      </c>
      <c r="N55" s="2040" t="str">
        <f>E59</f>
        <v>差额计税</v>
      </c>
      <c r="O55" s="2529">
        <f>F59</f>
        <v>0.01</v>
      </c>
    </row>
    <row r="56" spans="1:35" ht="25.2">
      <c r="A56" s="3585" t="s">
        <v>1363</v>
      </c>
      <c r="B56" s="3586"/>
      <c r="C56" s="3586"/>
      <c r="D56" s="2324">
        <f ca="1">IF(H56="个人住宅",D57,D58)</f>
        <v>115</v>
      </c>
      <c r="E56" s="2334" t="s">
        <v>1364</v>
      </c>
      <c r="F56" s="2554" t="str">
        <f>IF(H56="正常",F58,"免征")</f>
        <v>免征</v>
      </c>
      <c r="G56" s="2557" t="s">
        <v>1365</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3.2">
      <c r="A57" s="2335" t="s">
        <v>1341</v>
      </c>
      <c r="B57" s="3596" t="s">
        <v>1366</v>
      </c>
      <c r="C57" s="3597"/>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117</v>
      </c>
      <c r="O57" s="2533"/>
      <c r="P57" s="2690">
        <f ca="1">N57/M49</f>
        <v>0.57352941176470584</v>
      </c>
    </row>
    <row r="58" spans="1:35" ht="25.2">
      <c r="A58" s="2335" t="s">
        <v>1352</v>
      </c>
      <c r="B58" s="3596" t="s">
        <v>1369</v>
      </c>
      <c r="C58" s="3570"/>
      <c r="D58" s="2324">
        <f ca="1">IF(H58="转让取得",C81,C97)</f>
        <v>115</v>
      </c>
      <c r="E58" s="2334" t="s">
        <v>1364</v>
      </c>
      <c r="F58" s="302" t="s">
        <v>28</v>
      </c>
      <c r="G58" s="2555"/>
      <c r="H58" s="2558"/>
      <c r="I58" s="1808"/>
      <c r="J58" s="3635"/>
      <c r="K58" s="3635"/>
      <c r="L58" s="2530" t="s">
        <v>1370</v>
      </c>
      <c r="M58" s="2534"/>
      <c r="N58" s="2535" t="str">
        <f ca="1">NUMBERSTRING(INT(N57*10000),2)&amp;"元整"</f>
        <v>壹佰壹拾柒万元整</v>
      </c>
      <c r="O58" s="2536"/>
    </row>
    <row r="59" spans="1:35" ht="24.6" thickBot="1">
      <c r="A59" s="3638" t="s">
        <v>1371</v>
      </c>
      <c r="B59" s="3639"/>
      <c r="C59" s="3639"/>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6">
        <f>J57+1</f>
        <v>6</v>
      </c>
      <c r="K59" s="3635" t="s">
        <v>1372</v>
      </c>
      <c r="L59" s="2523" t="s">
        <v>1368</v>
      </c>
      <c r="M59" s="2537"/>
      <c r="N59" s="2538">
        <f ca="1">M49-N57</f>
        <v>87</v>
      </c>
      <c r="O59" s="2539"/>
    </row>
    <row r="60" spans="1:35" ht="12" customHeight="1">
      <c r="A60" s="1809"/>
      <c r="B60" s="1747"/>
      <c r="C60" s="1747"/>
      <c r="D60" s="1747"/>
      <c r="E60" s="1578"/>
      <c r="F60" s="1808"/>
      <c r="G60" s="1808"/>
      <c r="H60" s="1810"/>
      <c r="I60" s="129"/>
      <c r="J60" s="3637"/>
      <c r="K60" s="3635"/>
      <c r="L60" s="2530" t="s">
        <v>1370</v>
      </c>
      <c r="M60" s="2534"/>
      <c r="N60" s="2535" t="str">
        <f ca="1">NUMBERSTRING(INT(N59*10000),2)&amp;"元整"</f>
        <v>捌拾柒万元整</v>
      </c>
      <c r="O60" s="2536"/>
    </row>
    <row r="61" spans="1:35" ht="13.8" thickBot="1">
      <c r="A61" s="3583" t="s">
        <v>1373</v>
      </c>
      <c r="B61" s="3583"/>
      <c r="C61" s="3583"/>
      <c r="D61" s="3583"/>
      <c r="E61" s="3583"/>
      <c r="F61" s="1808"/>
      <c r="G61" s="1808"/>
      <c r="H61" s="1810"/>
      <c r="I61" s="129"/>
      <c r="J61" s="2523">
        <f>J59+1</f>
        <v>7</v>
      </c>
      <c r="K61" s="3635" t="s">
        <v>1374</v>
      </c>
      <c r="L61" s="3635"/>
      <c r="M61" s="2540"/>
      <c r="N61" s="2541">
        <f ca="1">ROUND(N59*10000/'数据-汇总表'!E3,0)</f>
        <v>4692</v>
      </c>
      <c r="O61" s="2542"/>
    </row>
    <row r="62" spans="1:35" ht="13.2">
      <c r="A62" s="3601" t="s">
        <v>1375</v>
      </c>
      <c r="B62" s="3602"/>
      <c r="C62" s="2021"/>
      <c r="D62" s="2021" t="s">
        <v>1376</v>
      </c>
      <c r="E62" s="166" t="s">
        <v>1377</v>
      </c>
      <c r="F62" s="1808"/>
      <c r="G62" s="1808"/>
      <c r="H62" s="1810"/>
      <c r="I62" s="129"/>
    </row>
    <row r="63" spans="1:35" ht="13.2">
      <c r="A63" s="173" t="s">
        <v>330</v>
      </c>
      <c r="B63" s="167" t="s">
        <v>1378</v>
      </c>
      <c r="C63" s="2564">
        <f ca="1">ROUND((C64+C65)/(1+'数据-取费表'!C42),0)</f>
        <v>194</v>
      </c>
      <c r="D63" s="167"/>
      <c r="E63" s="168"/>
      <c r="F63" s="1808"/>
      <c r="G63" s="1808"/>
      <c r="H63" s="1810"/>
      <c r="I63" s="129"/>
      <c r="J63" s="3660" t="s">
        <v>1379</v>
      </c>
      <c r="K63" s="1332" t="s">
        <v>1380</v>
      </c>
      <c r="L63" s="1332">
        <f ca="1">IF(M49&gt;10000,M49*0.5%,IF(AND(M49&gt;1000,M49&lt;=10000),M49*1%,IF(AND(M49&gt;100,M49&lt;=1000),M49*3%,IF(AND(M49&gt;10,M49&lt;=100),M49*5%,M49*8%))))</f>
        <v>6.12</v>
      </c>
      <c r="M63" s="302">
        <f ca="1">ROUND(L63,1)</f>
        <v>6.1</v>
      </c>
      <c r="N63" s="2543"/>
      <c r="Z63" s="1752"/>
      <c r="AI63" s="1753"/>
    </row>
    <row r="64" spans="1:35" ht="14.25" customHeight="1">
      <c r="A64" s="169" t="s">
        <v>325</v>
      </c>
      <c r="B64" s="170" t="s">
        <v>1381</v>
      </c>
      <c r="C64" s="2565">
        <f ca="1">D45</f>
        <v>204</v>
      </c>
      <c r="D64" s="170" t="s">
        <v>26</v>
      </c>
      <c r="E64" s="172"/>
      <c r="F64" s="1808"/>
      <c r="G64" s="1808"/>
      <c r="H64" s="1810"/>
      <c r="I64" s="129"/>
      <c r="J64" s="3660"/>
      <c r="K64" s="1332" t="s">
        <v>1382</v>
      </c>
      <c r="L64" s="1332">
        <f ca="1">IF(M49&gt;2000,M49*0.5%,IF(AND(M49&gt;1000,M49&lt;=2000),M49*0.6%,IF(AND(M49&gt;500,M49&lt;=1000),M49*0.7%,IF(AND(M49&gt;200,M49&lt;=500),M49*0.8%,IF(AND(M49&gt;100,M49&lt;=200),M49*0.9%,IF(AND(M49&gt;50,M49&lt;=100),M49*1%,IF(AND(M49&gt;20,M49&lt;=50),M49*1.5%,IF(AND(M49&gt;10,M49&lt;=20),M49*2%,IF(AND(M49&gt;1,M49&lt;=10),M49*2.5%)))))))))</f>
        <v>1.6320000000000001</v>
      </c>
      <c r="M64" s="302">
        <f t="shared" ref="M64:M65" ca="1" si="1">ROUND(L64,1)</f>
        <v>1.6</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f ca="1">IF(M49&gt;1000,M49*0.1%,IF(AND(M49&gt;500,M49&lt;=1000),M49*0.5%,IF(AND(M49&gt;50,M49&lt;=500),M49*1%,IF(AND(M49&gt;1,M49&lt;=50),M49*1.5%))))</f>
        <v>2.04</v>
      </c>
      <c r="M65" s="302">
        <f t="shared" ca="1" si="1"/>
        <v>2</v>
      </c>
      <c r="N65" s="2544" t="s">
        <v>1383</v>
      </c>
      <c r="Z65" s="1752"/>
      <c r="AI65" s="1753"/>
    </row>
    <row r="66" spans="1:35" ht="14.25" customHeight="1">
      <c r="A66" s="173" t="s">
        <v>327</v>
      </c>
      <c r="B66" s="174" t="s">
        <v>1386</v>
      </c>
      <c r="C66" s="2567"/>
      <c r="D66" s="174" t="s">
        <v>26</v>
      </c>
      <c r="E66" s="1338" t="s">
        <v>671</v>
      </c>
      <c r="F66" s="1808"/>
      <c r="G66" s="1808"/>
      <c r="H66" s="1810"/>
      <c r="I66" s="129"/>
      <c r="J66" s="3660"/>
      <c r="K66" s="1332" t="s">
        <v>1387</v>
      </c>
      <c r="L66" s="1332">
        <f ca="1">M49*0.5%</f>
        <v>1.02</v>
      </c>
      <c r="M66" s="302">
        <f ca="1">IF(L66&gt;0.5,0.5,ROUND(L66,0))</f>
        <v>0.5</v>
      </c>
      <c r="N66" s="2544" t="s">
        <v>1388</v>
      </c>
      <c r="Z66" s="1752"/>
      <c r="AI66" s="1753"/>
    </row>
    <row r="67" spans="1:35" ht="14.25" customHeight="1">
      <c r="A67" s="173" t="s">
        <v>328</v>
      </c>
      <c r="B67" s="174" t="s">
        <v>1389</v>
      </c>
      <c r="C67" s="2568">
        <f ca="1">C63-C66</f>
        <v>194</v>
      </c>
      <c r="D67" s="170" t="s">
        <v>26</v>
      </c>
      <c r="E67" s="172"/>
      <c r="F67" s="1808"/>
      <c r="G67" s="1808"/>
      <c r="H67" s="1810"/>
      <c r="I67" s="129"/>
      <c r="J67" s="3660"/>
      <c r="K67" s="1332" t="s">
        <v>1390</v>
      </c>
      <c r="L67" s="1332">
        <f ca="1">IF(M49&gt;=10000,(8.25+(M49-10000)*0.01%),IF(AND(M49&gt;=8000,M49&lt;10000),(7.85+(M49-8000)*0.02%),IF(AND(M49&gt;=5000,M49&lt;8000),(6.65+(M49-5000)*0.04%),IF(AND(M49&gt;=2000,M49&lt;5000),(4.25+(PM49-2000)*0.08%),IF(AND(M49&gt;=1000,M49&lt;2000),(2.75+(M49-1000)*0.15%),IF(AND(M49&gt;=100,M49&lt;1000),(0.5+(M49-100)*0.25%),IF(AND(M49&gt;0,M49&lt;100),M49*0.5%)))))))</f>
        <v>0.76</v>
      </c>
      <c r="M67" s="302">
        <f ca="1">ROUND(L67*0.9,1)</f>
        <v>0.7</v>
      </c>
      <c r="N67" s="2543"/>
      <c r="Z67" s="1752"/>
      <c r="AI67" s="1753"/>
    </row>
    <row r="68" spans="1:35" ht="14.25" customHeight="1" thickBot="1">
      <c r="A68" s="176" t="s">
        <v>329</v>
      </c>
      <c r="B68" s="177" t="s">
        <v>1391</v>
      </c>
      <c r="C68" s="2569">
        <f ca="1">IF(C67&lt;=0,0,ROUND(C67*D68,0))</f>
        <v>11</v>
      </c>
      <c r="D68" s="2570">
        <f>'数据-取费表'!B41</f>
        <v>5.5000000000000007E-2</v>
      </c>
      <c r="E68" s="178"/>
      <c r="F68" s="1808"/>
      <c r="G68" s="1808"/>
      <c r="H68" s="1810"/>
      <c r="I68" s="129"/>
      <c r="J68" s="3660"/>
      <c r="K68" s="1332" t="s">
        <v>1392</v>
      </c>
      <c r="L68" s="1332">
        <f ca="1">IF(M49&gt;10000,M49*0.5%,IF(AND(M49&gt;5000,M49&lt;=10000),M49*1%,IF(AND(M49&gt;1000,M49&lt;=5000),M49*2%,IF(AND(M49&gt;200,M49&lt;=1000),M49*3%,M49*5%))))</f>
        <v>6.12</v>
      </c>
      <c r="M68" s="302">
        <f ca="1">ROUND(L68,1)</f>
        <v>6.1</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f ca="1">ROUND(SUM(M63:M68),0)</f>
        <v>17</v>
      </c>
      <c r="N69" s="2545">
        <f ca="1">M69/M49</f>
        <v>8.3333333333333329E-2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194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193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115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194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2" t="s">
        <v>2129</v>
      </c>
      <c r="H90" s="36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193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115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2" t="s">
        <v>1428</v>
      </c>
      <c r="B100" s="3563"/>
      <c r="C100" s="3563"/>
      <c r="D100" s="3582"/>
      <c r="E100" s="3563" t="s">
        <v>1429</v>
      </c>
      <c r="F100" s="3563"/>
      <c r="G100" s="3563"/>
      <c r="H100" s="3582"/>
      <c r="I100" s="129"/>
    </row>
    <row r="101" spans="1:35" ht="18.75" customHeight="1">
      <c r="A101" s="3643" t="s">
        <v>1430</v>
      </c>
      <c r="B101" s="3644"/>
      <c r="C101" s="2585" t="str">
        <f>C4</f>
        <v>成本法 (元)</v>
      </c>
      <c r="D101" s="2586" t="str">
        <f>D4</f>
        <v>收益法 (元)</v>
      </c>
      <c r="E101" s="3657" t="s">
        <v>1431</v>
      </c>
      <c r="F101" s="3614"/>
      <c r="G101" s="1827" t="s">
        <v>1432</v>
      </c>
      <c r="H101" s="2595">
        <f ca="1">H118</f>
        <v>204</v>
      </c>
      <c r="I101" s="129"/>
    </row>
    <row r="102" spans="1:35" ht="18.75" customHeight="1">
      <c r="A102" s="3616" t="s">
        <v>1433</v>
      </c>
      <c r="B102" s="2584" t="s">
        <v>1432</v>
      </c>
      <c r="C102" s="2585">
        <f ca="1">IF(D32="楼面单价",ROUND(C19,0),C19)</f>
        <v>260</v>
      </c>
      <c r="D102" s="2586">
        <f ca="1">IF(D32="楼面单价",ROUND(D19,0),D19)</f>
        <v>120</v>
      </c>
      <c r="E102" s="3657"/>
      <c r="F102" s="3614"/>
      <c r="G102" s="1827" t="s">
        <v>1434</v>
      </c>
      <c r="H102" s="2555">
        <f ca="1">I118</f>
        <v>11012</v>
      </c>
      <c r="I102" s="129"/>
    </row>
    <row r="103" spans="1:35" ht="42.75" customHeight="1">
      <c r="A103" s="3616"/>
      <c r="B103" s="2584" t="s">
        <v>1434</v>
      </c>
      <c r="C103" s="2587">
        <f ca="1">C20</f>
        <v>14034</v>
      </c>
      <c r="D103" s="2588">
        <f ca="1">D20</f>
        <v>6478</v>
      </c>
      <c r="E103" s="3651" t="s">
        <v>1435</v>
      </c>
      <c r="F103" s="3652"/>
      <c r="G103" s="1828" t="s">
        <v>1436</v>
      </c>
      <c r="H103" s="2595">
        <f>IF(D36="正常操作",H104+H105+H106,H105+H106)</f>
        <v>0</v>
      </c>
      <c r="I103" s="129"/>
    </row>
    <row r="104" spans="1:35" ht="18.75" customHeight="1">
      <c r="A104" s="3616" t="s">
        <v>1437</v>
      </c>
      <c r="B104" s="2589" t="s">
        <v>1432</v>
      </c>
      <c r="C104" s="2590">
        <f ca="1">H118</f>
        <v>204</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f ca="1">I118</f>
        <v>11012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f ca="1">IF(E107="——","——",H101-H103)</f>
        <v>204</v>
      </c>
      <c r="I107" s="129"/>
    </row>
    <row r="108" spans="1:35" ht="18.75" customHeight="1">
      <c r="A108" s="129"/>
      <c r="B108" s="129"/>
      <c r="C108" s="129"/>
      <c r="D108" s="129"/>
      <c r="E108" s="3613"/>
      <c r="F108" s="3614"/>
      <c r="G108" s="1827" t="s">
        <v>1434</v>
      </c>
      <c r="H108" s="2555">
        <f ca="1">IF(H107=H101,H102,ROUND(H107*10000/'数据-汇总表'!E3,0))</f>
        <v>11012</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北京市房山区良乡隆曦园2号楼-1层1-01,1层1-101房地产</v>
      </c>
      <c r="B118" s="2329">
        <f>M18</f>
        <v>185.44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204</v>
      </c>
      <c r="I118" s="2329">
        <f ca="1">ROUND(IF(D32="楼面单价",C32,H118*10000/B118),0)</f>
        <v>11012</v>
      </c>
    </row>
    <row r="119" spans="1:27" ht="18.75" customHeight="1">
      <c r="A119" s="3584" t="s">
        <v>1452</v>
      </c>
      <c r="B119" s="3584"/>
      <c r="C119" s="3584"/>
      <c r="D119" s="3624" t="str">
        <f>NUMBERSTRING(INT(D118*10000),2)&amp;"元整"</f>
        <v>零元整</v>
      </c>
      <c r="E119" s="3626"/>
      <c r="F119" s="3624" t="str">
        <f>NUMBERSTRING(INT(F118*10000),2)&amp;"元整"</f>
        <v>零元整</v>
      </c>
      <c r="G119" s="3626"/>
      <c r="H119" s="3624" t="str">
        <f ca="1">NUMBERSTRING(INT(H118*10000),2)&amp;"元整"</f>
        <v>贰佰零肆万元整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f ca="1">H107</f>
        <v>204</v>
      </c>
      <c r="E122" s="3649"/>
      <c r="F122" s="3649"/>
      <c r="G122" s="3649"/>
      <c r="H122" s="3649"/>
      <c r="I122" s="3650"/>
      <c r="AA122" s="725"/>
    </row>
    <row r="123" spans="1:27" ht="18.75" customHeight="1">
      <c r="A123" s="3584" t="s">
        <v>1452</v>
      </c>
      <c r="B123" s="3584"/>
      <c r="C123" s="3584"/>
      <c r="D123" s="3624" t="str">
        <f ca="1">NUMBERSTRING(INT(D122*10000),2)&amp;"元整"</f>
        <v>贰佰零肆万元整</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47990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2587899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37088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37088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185.44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185.44</v>
      </c>
      <c r="E19" s="211">
        <f>'数据-取费表'!B31</f>
        <v>200</v>
      </c>
      <c r="F19" s="231"/>
      <c r="G19" s="1856"/>
    </row>
    <row r="20" spans="1:7" s="214" customFormat="1" ht="13.5" customHeight="1">
      <c r="A20" s="255" t="s">
        <v>1493</v>
      </c>
      <c r="B20" s="210" t="s">
        <v>1494</v>
      </c>
      <c r="C20" s="232">
        <f ca="1">ROUND((C5+C19)*F20,0)</f>
        <v>742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1955</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1936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19</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4540</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4540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47939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185.44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5.0000000000000001E-4</v>
      </c>
      <c r="D44" s="238"/>
      <c r="E44" s="238"/>
      <c r="F44" s="239"/>
      <c r="G44" s="3666"/>
    </row>
    <row r="45" spans="1:7" s="214" customFormat="1" ht="13.5" customHeight="1">
      <c r="A45" s="255" t="s">
        <v>1547</v>
      </c>
      <c r="B45" s="244" t="s">
        <v>1513</v>
      </c>
      <c r="C45" s="245">
        <f ca="1">C46</f>
        <v>8</v>
      </c>
      <c r="D45" s="235">
        <f ca="1">C47</f>
        <v>2.3999999999999998E-3</v>
      </c>
      <c r="E45" s="236" t="s">
        <v>1539</v>
      </c>
      <c r="F45" s="246">
        <f ca="1">F27</f>
        <v>0.12</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0.64</v>
      </c>
      <c r="G50" s="247" t="s">
        <v>1557</v>
      </c>
    </row>
    <row r="51" spans="1:7" ht="16.5" customHeight="1">
      <c r="A51" s="255" t="s">
        <v>1558</v>
      </c>
      <c r="B51" s="210" t="s">
        <v>1559</v>
      </c>
      <c r="C51" s="232">
        <f ca="1">ROUND(C49*F50,0)</f>
        <v>51</v>
      </c>
      <c r="D51" s="232"/>
      <c r="E51" s="232"/>
      <c r="F51" s="264"/>
      <c r="G51" s="234" t="s">
        <v>1560</v>
      </c>
    </row>
    <row r="52" spans="1:7" s="208" customFormat="1" ht="16.8" thickBot="1">
      <c r="A52" s="265" t="s">
        <v>1561</v>
      </c>
      <c r="B52" s="266"/>
      <c r="C52" s="267">
        <f ca="1">C31+C51</f>
        <v>47990</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北京市房山区良乡隆曦园2号楼-1层1-01,1层1-101房地产抵押价值预评估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260.23930000000001</v>
      </c>
      <c r="C2" s="199" t="s">
        <v>1463</v>
      </c>
      <c r="D2" s="1853" t="s">
        <v>43</v>
      </c>
      <c r="E2" s="1169">
        <f ca="1">SUMIF(INDIRECT("'"&amp;G2&amp;"'"&amp;"!A:A"),"承租人权益价值",INDIRECT("'"&amp;G2&amp;"'"&amp;"!c:c"))</f>
        <v>0</v>
      </c>
      <c r="F2" s="1854" t="s">
        <v>1463</v>
      </c>
      <c r="G2" s="1855" t="s">
        <v>3411</v>
      </c>
    </row>
    <row r="3" spans="1:8" s="200" customFormat="1" ht="18" customHeight="1" thickBot="1">
      <c r="A3" s="203" t="s">
        <v>1464</v>
      </c>
      <c r="B3" s="204">
        <f ca="1">ROUND(B2*10000/(IF(B1="",'数据-汇总表'!E3,INDIRECT("'数据-取费表'!k"&amp;$G$1))),0)</f>
        <v>14034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1624776.77</v>
      </c>
      <c r="D5" s="211" t="s">
        <v>1469</v>
      </c>
      <c r="E5" s="212" t="s">
        <v>1470</v>
      </c>
      <c r="F5" s="212" t="s">
        <v>1471</v>
      </c>
      <c r="G5" s="213"/>
    </row>
    <row r="6" spans="1:8" s="214" customFormat="1" ht="13.5" customHeight="1">
      <c r="A6" s="778" t="s">
        <v>1472</v>
      </c>
      <c r="B6" s="215" t="s">
        <v>1473</v>
      </c>
      <c r="C6" s="216">
        <f>基准地价修正!C33*基准地价修正!D33+基准地价修正!C37*基准地价修正!D37</f>
        <v>1540697.77</v>
      </c>
      <c r="D6" s="217"/>
      <c r="E6" s="218"/>
      <c r="F6" s="218"/>
      <c r="G6" s="219"/>
    </row>
    <row r="7" spans="1:8" s="214" customFormat="1" ht="13.5" customHeight="1">
      <c r="A7" s="778" t="s">
        <v>1474</v>
      </c>
      <c r="B7" s="215" t="s">
        <v>1475</v>
      </c>
      <c r="C7" s="220">
        <f>ROUND(C6*F7,0)</f>
        <v>46991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37088</v>
      </c>
      <c r="D8" s="222"/>
      <c r="E8" s="220"/>
      <c r="F8" s="221"/>
      <c r="G8" s="1856" t="s">
        <v>3412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37088</v>
      </c>
      <c r="D10" s="845">
        <f ca="1">IF(B1="",'数据-汇总表'!E6,IF(INDIRECT("'数据-取费表'!c"&amp;$G$1)="住宅",INDIRECT("'数据-取费表'!s"&amp;$G$1),INDIRECT("'数据-取费表'!k"&amp;$G$1)+INDIRECT("'数据-取费表'!s"&amp;$G$1)))</f>
        <v>185.44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185.44</v>
      </c>
      <c r="E19" s="211">
        <f>'数据-取费表'!B31</f>
        <v>200</v>
      </c>
      <c r="F19" s="231"/>
      <c r="G19" s="1856" t="s">
        <v>3413</v>
      </c>
    </row>
    <row r="20" spans="1:7" s="214" customFormat="1" ht="13.5" customHeight="1">
      <c r="A20" s="255" t="s">
        <v>1574</v>
      </c>
      <c r="B20" s="210" t="s">
        <v>1575</v>
      </c>
      <c r="C20" s="232">
        <f ca="1">ROUND((C5+C19)*F20,0)</f>
        <v>32496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85640</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84803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837</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198873</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198873</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2099909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621224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556320</v>
      </c>
      <c r="D34" s="217"/>
      <c r="E34" s="220"/>
      <c r="F34" s="257"/>
      <c r="G34" s="219"/>
    </row>
    <row r="35" spans="1:7" ht="13.5" customHeight="1">
      <c r="A35" s="780" t="s">
        <v>351</v>
      </c>
      <c r="B35" s="215" t="s">
        <v>1527</v>
      </c>
      <c r="C35" s="220">
        <f ca="1">ROUND(C34*F35,0)</f>
        <v>16690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37088</v>
      </c>
      <c r="D37" s="217">
        <f ca="1">D19</f>
        <v>185.44</v>
      </c>
      <c r="E37" s="249">
        <f>'数据-取费表'!B35</f>
        <v>200</v>
      </c>
      <c r="F37" s="259"/>
      <c r="G37" s="261"/>
    </row>
    <row r="38" spans="1:7" ht="13.5" customHeight="1">
      <c r="A38" s="780" t="s">
        <v>354</v>
      </c>
      <c r="B38" s="215" t="s">
        <v>1533</v>
      </c>
      <c r="C38" s="220">
        <f ca="1">ROUND(C34*F38,0)</f>
        <v>11126</v>
      </c>
      <c r="D38" s="220"/>
      <c r="E38" s="220"/>
      <c r="F38" s="259">
        <f>'数据-取费表'!B36</f>
        <v>0.02</v>
      </c>
      <c r="G38" s="219" t="s">
        <v>1528</v>
      </c>
    </row>
    <row r="39" spans="1:7" s="214" customFormat="1" ht="13.5" customHeight="1">
      <c r="A39" s="255" t="s">
        <v>1534</v>
      </c>
      <c r="B39" s="210" t="s">
        <v>1535</v>
      </c>
      <c r="C39" s="232">
        <f ca="1">ROUND(C33*F20,0)</f>
        <v>12424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16326</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16006</v>
      </c>
      <c r="D42" s="238"/>
      <c r="E42" s="238"/>
      <c r="F42" s="239"/>
      <c r="G42" s="3664" t="s">
        <v>1591</v>
      </c>
    </row>
    <row r="43" spans="1:7" ht="13.5" customHeight="1">
      <c r="A43" s="780" t="s">
        <v>347</v>
      </c>
      <c r="B43" s="215" t="s">
        <v>1545</v>
      </c>
      <c r="C43" s="238">
        <f ca="1">ROUND(IF('数据-取费表'!B22&lt;=1,C39*F22*'数据-取费表'!B20/2,C39*(POWER((1+F22),'数据-取费表'!B20/2)-1)),0)</f>
        <v>320</v>
      </c>
      <c r="D43" s="238"/>
      <c r="E43" s="238"/>
      <c r="F43" s="239"/>
      <c r="G43" s="3665"/>
    </row>
    <row r="44" spans="1:7" ht="13.5" customHeight="1">
      <c r="A44" s="780" t="s">
        <v>348</v>
      </c>
      <c r="B44" s="215" t="s">
        <v>1546</v>
      </c>
      <c r="C44" s="238">
        <f ca="1">ROUND(IF('数据-取费表'!B22&lt;=1,C40*F22*'数据-取费表'!B20/2,C40*(POWER((1+F22),'数据-取费表'!B20/2)-1)),4)</f>
        <v>5.0000000000000001E-4</v>
      </c>
      <c r="D44" s="238"/>
      <c r="E44" s="238"/>
      <c r="F44" s="239"/>
      <c r="G44" s="3666"/>
    </row>
    <row r="45" spans="1:7" s="214" customFormat="1" ht="13.5" customHeight="1">
      <c r="A45" s="255" t="s">
        <v>1547</v>
      </c>
      <c r="B45" s="244" t="s">
        <v>1513</v>
      </c>
      <c r="C45" s="245">
        <f ca="1">C46</f>
        <v>76038</v>
      </c>
      <c r="D45" s="235">
        <f ca="1">C47</f>
        <v>2.3999999999999998E-3</v>
      </c>
      <c r="E45" s="236" t="s">
        <v>1539</v>
      </c>
      <c r="F45" s="246">
        <f ca="1">F27</f>
        <v>0.12</v>
      </c>
      <c r="G45" s="247" t="s">
        <v>1548</v>
      </c>
    </row>
    <row r="46" spans="1:7" s="214" customFormat="1" ht="13.5" customHeight="1">
      <c r="A46" s="780" t="s">
        <v>346</v>
      </c>
      <c r="B46" s="248" t="s">
        <v>1549</v>
      </c>
      <c r="C46" s="249">
        <f ca="1">ROUND((C33+C39)*F27,0)</f>
        <v>76038</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785132</v>
      </c>
      <c r="D49" s="232"/>
      <c r="E49" s="232"/>
      <c r="F49" s="264"/>
      <c r="G49" s="234" t="s">
        <v>1554</v>
      </c>
    </row>
    <row r="50" spans="1:7" s="258" customFormat="1">
      <c r="A50" s="255" t="s">
        <v>1555</v>
      </c>
      <c r="B50" s="210" t="s">
        <v>1556</v>
      </c>
      <c r="C50" s="232"/>
      <c r="D50" s="232"/>
      <c r="E50" s="232"/>
      <c r="F50" s="264">
        <f>IF('数据-取费表'!B24=0,'数据-取费表'!N16,1)</f>
        <v>0.64</v>
      </c>
      <c r="G50" s="247"/>
    </row>
    <row r="51" spans="1:7" ht="16.5" customHeight="1">
      <c r="A51" s="255" t="s">
        <v>1558</v>
      </c>
      <c r="B51" s="210" t="s">
        <v>1593</v>
      </c>
      <c r="C51" s="232">
        <f ca="1">ROUND(C49*F50,0)</f>
        <v>502484</v>
      </c>
      <c r="D51" s="232"/>
      <c r="E51" s="232"/>
      <c r="F51" s="264"/>
      <c r="G51" s="234" t="s">
        <v>1560</v>
      </c>
    </row>
    <row r="52" spans="1:7" s="208" customFormat="1" ht="16.8" thickBot="1">
      <c r="A52" s="265" t="s">
        <v>1561</v>
      </c>
      <c r="B52" s="266"/>
      <c r="C52" s="267">
        <f ca="1">C31+C51</f>
        <v>2602393</v>
      </c>
      <c r="D52" s="266"/>
      <c r="E52" s="266"/>
      <c r="F52" s="266"/>
      <c r="G52" s="268"/>
    </row>
    <row r="55" spans="1:7" ht="15">
      <c r="B55" s="270" t="s">
        <v>1562</v>
      </c>
      <c r="C55" s="271"/>
    </row>
    <row r="56" spans="1:7">
      <c r="B56" s="273" t="s">
        <v>802</v>
      </c>
      <c r="C56" s="275">
        <f ca="1">1-C57</f>
        <v>0.80699999999999994</v>
      </c>
    </row>
    <row r="57" spans="1:7">
      <c r="B57" s="273" t="s">
        <v>803</v>
      </c>
      <c r="C57" s="274">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41171</v>
      </c>
      <c r="C2" s="276" t="s">
        <v>1595</v>
      </c>
      <c r="D2" s="276"/>
      <c r="E2" s="2806"/>
      <c r="F2" s="2806"/>
      <c r="G2" s="2806"/>
      <c r="H2" s="2806"/>
      <c r="I2" s="2806"/>
      <c r="J2" s="2806"/>
      <c r="K2" s="2806"/>
    </row>
    <row r="3" spans="1:33" ht="18" customHeight="1" thickBot="1">
      <c r="A3" s="203" t="s">
        <v>1464</v>
      </c>
      <c r="B3" s="204">
        <f ca="1">ROUND(B2*10000/IF(C1="",'数据-汇总表'!E3,INDIRECT("'数据-取费表'!K"&amp;$K$1)),0)</f>
        <v>2220179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185.44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185.44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-37084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185.44</v>
      </c>
      <c r="E20" s="21">
        <f>'数据-取费表'!B28</f>
        <v>200</v>
      </c>
      <c r="F20" s="804"/>
      <c r="G20" s="12"/>
      <c r="H20" s="809"/>
      <c r="I20" s="809"/>
      <c r="J20" s="809"/>
      <c r="K20" s="810"/>
    </row>
    <row r="21" spans="1:33" s="803" customFormat="1" ht="13.5" customHeight="1">
      <c r="A21" s="790" t="s">
        <v>357</v>
      </c>
      <c r="B21" s="813" t="s">
        <v>1628</v>
      </c>
      <c r="C21" s="814">
        <f ca="1">C16+C17+C18</f>
        <v>-37084</v>
      </c>
      <c r="D21" s="815"/>
      <c r="E21" s="281"/>
      <c r="F21" s="281"/>
      <c r="G21" s="131" t="s">
        <v>1629</v>
      </c>
      <c r="H21" s="807"/>
      <c r="I21" s="807"/>
      <c r="J21" s="807"/>
      <c r="K21" s="808"/>
    </row>
    <row r="22" spans="1:33" s="803" customFormat="1" ht="13.5" customHeight="1">
      <c r="A22" s="790" t="s">
        <v>1601</v>
      </c>
      <c r="B22" s="813" t="s">
        <v>1630</v>
      </c>
      <c r="C22" s="814">
        <f ca="1">ROUND(C21*F22,0)</f>
        <v>-742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-4539</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-4539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41171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L5:P338"/>
  <sheetViews>
    <sheetView topLeftCell="A31" workbookViewId="0">
      <selection activeCell="O72" sqref="O72"/>
    </sheetView>
  </sheetViews>
  <sheetFormatPr defaultRowHeight="14.4"/>
  <sheetData>
    <row r="5" spans="12:14">
      <c r="M5" s="3462"/>
    </row>
    <row r="6" spans="12:14">
      <c r="L6" s="3462" t="s">
        <v>3436</v>
      </c>
    </row>
    <row r="7" spans="12:14">
      <c r="L7" s="3462" t="s">
        <v>3437</v>
      </c>
      <c r="M7">
        <v>1.9</v>
      </c>
    </row>
    <row r="10" spans="12:14">
      <c r="N10" s="3462"/>
    </row>
    <row r="12" spans="12:14">
      <c r="L12">
        <v>2003</v>
      </c>
    </row>
    <row r="13" spans="12:14">
      <c r="L13" s="3462" t="s">
        <v>3486</v>
      </c>
      <c r="M13">
        <f>1-(1-2%)*(2024-L12)/50</f>
        <v>0.58840000000000003</v>
      </c>
    </row>
    <row r="14" spans="12:14">
      <c r="L14" s="3462" t="s">
        <v>3487</v>
      </c>
      <c r="M14">
        <v>0.7</v>
      </c>
    </row>
    <row r="15" spans="12:14">
      <c r="L15" s="3462" t="s">
        <v>3488</v>
      </c>
      <c r="M15">
        <f>(M13+M14)/2</f>
        <v>0.64419999999999999</v>
      </c>
    </row>
    <row r="36" spans="12:16">
      <c r="N36" s="3462"/>
    </row>
    <row r="37" spans="12:16">
      <c r="M37" s="3462"/>
      <c r="O37" s="3462" t="s">
        <v>3498</v>
      </c>
    </row>
    <row r="38" spans="12:16">
      <c r="O38" s="3462" t="s">
        <v>3500</v>
      </c>
    </row>
    <row r="39" spans="12:16">
      <c r="N39" s="3462" t="s">
        <v>3439</v>
      </c>
      <c r="O39">
        <v>2.6</v>
      </c>
    </row>
    <row r="40" spans="12:16">
      <c r="L40" s="3462"/>
      <c r="O40" s="3462" t="s">
        <v>3501</v>
      </c>
    </row>
    <row r="44" spans="12:16">
      <c r="O44">
        <v>2002</v>
      </c>
    </row>
    <row r="45" spans="12:16">
      <c r="O45" s="3462" t="s">
        <v>3476</v>
      </c>
      <c r="P45">
        <f>1-(1-0)*(2024-O44)/60</f>
        <v>0.6333333333333333</v>
      </c>
    </row>
    <row r="46" spans="12:16">
      <c r="O46" s="3462" t="s">
        <v>3502</v>
      </c>
      <c r="P46">
        <v>0.7</v>
      </c>
    </row>
    <row r="47" spans="12:16">
      <c r="O47" s="3462" t="s">
        <v>3503</v>
      </c>
      <c r="P47">
        <f>ROUND((P45+P46)/2,2)</f>
        <v>0.67</v>
      </c>
    </row>
    <row r="64" spans="12:12">
      <c r="L64" s="3462"/>
    </row>
    <row r="65" spans="12:15">
      <c r="M65" s="3462"/>
    </row>
    <row r="66" spans="12:15">
      <c r="L66" s="3462"/>
    </row>
    <row r="69" spans="12:15">
      <c r="O69" s="3462" t="s">
        <v>3438</v>
      </c>
    </row>
    <row r="70" spans="12:15">
      <c r="O70" s="3462" t="s">
        <v>3440</v>
      </c>
    </row>
    <row r="71" spans="12:15">
      <c r="N71" s="3462" t="s">
        <v>3439</v>
      </c>
      <c r="O71">
        <v>2.5</v>
      </c>
    </row>
    <row r="96" spans="12:12">
      <c r="L96" s="3462"/>
    </row>
    <row r="126" spans="13:13">
      <c r="M126" s="3462"/>
    </row>
    <row r="158" spans="13:13">
      <c r="M158" s="3462"/>
    </row>
    <row r="165" spans="12:12">
      <c r="L165" s="3462"/>
    </row>
    <row r="186" spans="13:13">
      <c r="M186" s="3462"/>
    </row>
    <row r="219" spans="12:12">
      <c r="L219" s="3462"/>
    </row>
    <row r="280" spans="12:12">
      <c r="L280" s="3462"/>
    </row>
    <row r="307" spans="12:12">
      <c r="L307" s="3462"/>
    </row>
    <row r="338" spans="12:12">
      <c r="L338" s="3462"/>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1" sqref="K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673</v>
      </c>
      <c r="D1" s="1362" t="s">
        <v>43</v>
      </c>
      <c r="E1" s="1363" t="s">
        <v>678</v>
      </c>
      <c r="F1" s="1062">
        <f ca="1">J53</f>
        <v>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120.1343</v>
      </c>
      <c r="C2" s="1387" t="s">
        <v>879</v>
      </c>
      <c r="D2" s="1471">
        <f ca="1">C40+J29+L46</f>
        <v>1201343</v>
      </c>
      <c r="E2" s="1388" t="s">
        <v>880</v>
      </c>
      <c r="F2" s="1389"/>
      <c r="G2" s="2706"/>
      <c r="H2" s="2695"/>
      <c r="I2" s="2695"/>
      <c r="J2" s="2695"/>
      <c r="K2" s="2696"/>
      <c r="L2" s="2695"/>
      <c r="M2" s="2695"/>
    </row>
    <row r="3" spans="1:37" ht="18" customHeight="1" thickBot="1">
      <c r="A3" s="1390" t="s">
        <v>881</v>
      </c>
      <c r="B3" s="1391">
        <f ca="1">IF(ISERROR(D2/F43),0,ROUND(D2/F43,0))</f>
        <v>6478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86610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86502</v>
      </c>
      <c r="D6" s="155" t="s">
        <v>2106</v>
      </c>
      <c r="E6" s="302" t="s">
        <v>696</v>
      </c>
      <c r="F6" s="303">
        <f ca="1">INDIRECT("'数据-取费表'!u"&amp;$G$1)</f>
        <v>1.42</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185.44</v>
      </c>
      <c r="G7" s="1384"/>
      <c r="H7" s="304"/>
      <c r="I7" s="3670"/>
      <c r="J7" s="306"/>
      <c r="K7" s="307"/>
      <c r="L7" s="302" t="s">
        <v>697</v>
      </c>
      <c r="M7" s="303">
        <f ca="1">F7</f>
        <v>185.44</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108</v>
      </c>
      <c r="D10" s="1366" t="s">
        <v>2116</v>
      </c>
      <c r="E10" s="313" t="s">
        <v>701</v>
      </c>
      <c r="F10" s="1116" t="s">
        <v>3425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502484</v>
      </c>
      <c r="D13" s="1081" t="s">
        <v>705</v>
      </c>
      <c r="E13" s="1081" t="s">
        <v>706</v>
      </c>
      <c r="F13" s="1082">
        <f ca="1">INDIRECT("'数据-取费表'!y"&amp;$G$1)</f>
        <v>0.64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556320</v>
      </c>
      <c r="D14" s="1345" t="s">
        <v>708</v>
      </c>
      <c r="E14" s="1342"/>
      <c r="F14" s="319"/>
      <c r="G14" s="1384"/>
      <c r="H14" s="982" t="s">
        <v>398</v>
      </c>
      <c r="I14" s="302" t="s">
        <v>709</v>
      </c>
      <c r="J14" s="21">
        <f ca="1">C29</f>
        <v>785132</v>
      </c>
      <c r="K14" s="12"/>
      <c r="L14" s="807"/>
      <c r="M14" s="808"/>
    </row>
    <row r="15" spans="1:37" s="1397" customFormat="1" ht="18" customHeight="1" thickBot="1">
      <c r="A15" s="982" t="s">
        <v>399</v>
      </c>
      <c r="B15" s="302" t="s">
        <v>710</v>
      </c>
      <c r="C15" s="21">
        <f ca="1">ROUND(C14*F15,0)</f>
        <v>16690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3926</v>
      </c>
      <c r="K16" s="1087" t="s">
        <v>715</v>
      </c>
      <c r="L16" s="1088"/>
      <c r="M16" s="1072"/>
    </row>
    <row r="17" spans="1:37" s="1397" customFormat="1" ht="18" customHeight="1">
      <c r="A17" s="982" t="s">
        <v>681</v>
      </c>
      <c r="B17" s="302" t="s">
        <v>716</v>
      </c>
      <c r="C17" s="21">
        <f ca="1">ROUND(F17*(F43+INDIRECT("'数据-取费表'!S"&amp;$G$1)),0)</f>
        <v>37088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11126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621224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12424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3926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16326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-3926</v>
      </c>
      <c r="K25" s="1095" t="s">
        <v>753</v>
      </c>
      <c r="L25" s="1096"/>
      <c r="M25" s="1097"/>
    </row>
    <row r="26" spans="1:37" ht="18" customHeight="1">
      <c r="A26" s="982" t="s">
        <v>397</v>
      </c>
      <c r="B26" s="302" t="s">
        <v>754</v>
      </c>
      <c r="C26" s="21">
        <f ca="1">ROUND((C19+C20)*F26,0)</f>
        <v>76038</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785132</v>
      </c>
      <c r="D29" s="1092"/>
      <c r="E29" s="1090"/>
      <c r="F29" s="1093"/>
      <c r="G29" s="1396"/>
      <c r="H29" s="334" t="s">
        <v>396</v>
      </c>
      <c r="I29" s="335" t="s">
        <v>768</v>
      </c>
      <c r="J29" s="336">
        <f ca="1">ROUND(J26/(1+F40)^F41,0)</f>
        <v>0</v>
      </c>
      <c r="K29" s="337" t="s">
        <v>769</v>
      </c>
      <c r="L29" s="338"/>
      <c r="M29" s="339">
        <f ca="1">INDIRECT("'数据-取费表'!k"&amp;$G$1)</f>
        <v>185.44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19278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14417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4531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9886</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3926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502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433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67332</v>
      </c>
      <c r="D39" s="1095" t="s">
        <v>773</v>
      </c>
      <c r="E39" s="1096"/>
      <c r="F39" s="1097"/>
      <c r="G39" s="1384"/>
      <c r="H39" s="2700">
        <f ca="1">C39/C5</f>
        <v>0.77741600277104261</v>
      </c>
      <c r="I39" s="1398"/>
      <c r="J39" s="1399"/>
      <c r="K39" s="2704"/>
      <c r="L39" s="2700"/>
      <c r="M39" s="2700"/>
    </row>
    <row r="40" spans="1:18" ht="18" customHeight="1">
      <c r="A40" s="299" t="s">
        <v>395</v>
      </c>
      <c r="B40" s="300" t="s">
        <v>774</v>
      </c>
      <c r="C40" s="301">
        <f ca="1">ROUND(C39*(1-((1+F42)/(1+F40))^F41)/(F40-F42),0)</f>
        <v>1197205</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6456</v>
      </c>
      <c r="D43" s="337" t="s">
        <v>777</v>
      </c>
      <c r="E43" s="338" t="s">
        <v>778</v>
      </c>
      <c r="F43" s="339">
        <f ca="1">INDIRECT("'数据-取费表'!k"&amp;$G$1)</f>
        <v>185.44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-125.7385</v>
      </c>
      <c r="D45" s="3432" t="s">
        <v>3355</v>
      </c>
      <c r="E45" s="1400"/>
      <c r="F45" s="1400"/>
      <c r="O45" s="1403" t="s">
        <v>808</v>
      </c>
      <c r="P45" s="1461"/>
      <c r="Q45" s="1461"/>
      <c r="R45" s="1461"/>
    </row>
    <row r="46" spans="1:18" s="1384" customFormat="1" ht="13.8" thickBot="1">
      <c r="A46" s="1404" t="s">
        <v>809</v>
      </c>
      <c r="C46" s="1405">
        <f ca="1">ROUND(C45,0)</f>
        <v>-126</v>
      </c>
      <c r="D46" s="1406" t="str">
        <f>C2</f>
        <v>万元</v>
      </c>
      <c r="I46" s="1407" t="s">
        <v>810</v>
      </c>
      <c r="J46" s="1408"/>
      <c r="K46" s="1409"/>
      <c r="L46" s="1410">
        <f ca="1">IF(M47="住宅",0,IF(L48&gt;J51,L60,J60))</f>
        <v>4138</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3426</v>
      </c>
      <c r="K47" s="1416" t="s">
        <v>816</v>
      </c>
      <c r="L47" s="1417">
        <f ca="1">INDIRECT("'数据-取费表'!d"&amp;$G$1)</f>
        <v>40</v>
      </c>
      <c r="M47" s="1380" t="str">
        <f>IF(ISNUMBER(FIND("住宅",C1)),"住宅","非住宅")</f>
        <v>非住宅</v>
      </c>
      <c r="O47" s="1418" t="s">
        <v>403</v>
      </c>
      <c r="P47" s="1419" t="s">
        <v>817</v>
      </c>
      <c r="Q47" s="1420">
        <f ca="1">C40+J29</f>
        <v>1197205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3427</v>
      </c>
      <c r="K48" s="1423" t="s">
        <v>820</v>
      </c>
      <c r="L48" s="1424">
        <f ca="1">INDIRECT("'数据-取费表'!f"&amp;$G$1)</f>
        <v>29.55</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f>'数据-取费表'!L19</f>
        <v>2003</v>
      </c>
      <c r="K49" s="1423" t="s">
        <v>824</v>
      </c>
      <c r="L49" s="1427"/>
      <c r="O49" s="1428" t="s">
        <v>405</v>
      </c>
      <c r="P49" s="1419" t="s">
        <v>825</v>
      </c>
      <c r="Q49" s="1420">
        <f ca="1">C29</f>
        <v>785132</v>
      </c>
      <c r="R49" s="1420" t="s">
        <v>818</v>
      </c>
    </row>
    <row r="50" spans="1:18" s="1384" customFormat="1" ht="13.8" thickBot="1">
      <c r="A50" s="976"/>
      <c r="B50" s="979"/>
      <c r="C50" s="980"/>
      <c r="D50" s="953"/>
      <c r="E50" s="1056" t="s">
        <v>697</v>
      </c>
      <c r="F50" s="1057">
        <f ca="1">F7</f>
        <v>185.44</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486908</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v>0.05</v>
      </c>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29</v>
      </c>
      <c r="K53" s="3667" t="s">
        <v>837</v>
      </c>
      <c r="L53" s="3668"/>
      <c r="O53" s="1418" t="s">
        <v>409</v>
      </c>
      <c r="P53" s="1419" t="s">
        <v>838</v>
      </c>
      <c r="Q53" s="1420">
        <f ca="1">Q47+Q48</f>
        <v>1197205</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502484</v>
      </c>
      <c r="D56" s="1447"/>
      <c r="E56" s="1448"/>
      <c r="F56" s="1440"/>
      <c r="I56" s="1449" t="s">
        <v>842</v>
      </c>
      <c r="J56" s="1450" t="s">
        <v>3428</v>
      </c>
      <c r="K56" s="1421" t="s">
        <v>843</v>
      </c>
      <c r="L56" s="1424">
        <f ca="1">IF(L48&lt;J51,"——",L48-J51)</f>
        <v>0.55000000000000071</v>
      </c>
      <c r="O56" s="1418" t="s">
        <v>403</v>
      </c>
      <c r="P56" s="1419" t="s">
        <v>817</v>
      </c>
      <c r="Q56" s="1420">
        <f ca="1">C40+J29</f>
        <v>1197205</v>
      </c>
      <c r="R56" s="1420" t="s">
        <v>818</v>
      </c>
    </row>
    <row r="57" spans="1:18" s="1384" customFormat="1" ht="24.6" thickBot="1">
      <c r="A57" s="1451"/>
      <c r="B57" s="950" t="s">
        <v>767</v>
      </c>
      <c r="C57" s="238">
        <f ca="1">C29</f>
        <v>785132</v>
      </c>
      <c r="D57" s="1452"/>
      <c r="E57" s="1453"/>
      <c r="F57" s="1454"/>
      <c r="I57" s="1455" t="s">
        <v>844</v>
      </c>
      <c r="J57" s="1456" t="str">
        <f ca="1">IF(OR(M47="住宅",J51&lt;L48,J56="是"),"——",J51-L48)</f>
        <v>——</v>
      </c>
      <c r="K57" s="1421" t="s">
        <v>892</v>
      </c>
      <c r="L57" s="1424">
        <f ca="1">IF(L48&lt;J51,"——",IF(L55="比较法",L49,IF(L55="基准地价",L50,L51)))</f>
        <v>486908</v>
      </c>
      <c r="O57" s="1418" t="s">
        <v>404</v>
      </c>
      <c r="P57" s="1419" t="s">
        <v>893</v>
      </c>
      <c r="Q57" s="1420">
        <f ca="1">L60</f>
        <v>4138</v>
      </c>
      <c r="R57" s="1420" t="s">
        <v>894</v>
      </c>
    </row>
    <row r="58" spans="1:18" s="1384" customFormat="1" ht="24.6" thickBot="1">
      <c r="A58" s="315" t="s">
        <v>393</v>
      </c>
      <c r="B58" s="958" t="s">
        <v>714</v>
      </c>
      <c r="C58" s="316">
        <f ca="1">ROUND(C59+C64+C65+C66,0)</f>
        <v>4428</v>
      </c>
      <c r="D58" s="960" t="s">
        <v>715</v>
      </c>
      <c r="E58" s="961"/>
      <c r="F58" s="962"/>
      <c r="I58" s="1455" t="s">
        <v>848</v>
      </c>
      <c r="J58" s="1457" t="e">
        <f ca="1">IF(J55&lt;0.4,0.4,J55)</f>
        <v>#VALUE!</v>
      </c>
      <c r="K58" s="1434" t="s">
        <v>895</v>
      </c>
      <c r="L58" s="1424">
        <f ca="1">ROUND(POWER(1+L52,L47-L48)*(POWER(1+L52,L48)-1)/(POWER(1+L52,L47)-1),4)</f>
        <v>0.88990000000000002</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0.88239999999999996</v>
      </c>
      <c r="M59" s="1381">
        <f ca="1">ROUND(POWER(1+L52,L47-(J51+'数据-取费表'!B24))*(POWER(1+L52,(J51+'数据-取费表'!B24))-1)/(POWER(1+L52,L47)-1),4)</f>
        <v>0.88239999999999996</v>
      </c>
      <c r="N59" s="1381">
        <f ca="1">ROUND(POWER(1+L52,L47-(J51+'数据-取费表'!B20))*(POWER(1+L52,(J51+'数据-取费表'!B20))-1)/(POWER(1+L52,L47)-1),4)</f>
        <v>0.90239999999999998</v>
      </c>
      <c r="O59" s="1428" t="s">
        <v>406</v>
      </c>
      <c r="P59" s="1419" t="s">
        <v>852</v>
      </c>
      <c r="Q59" s="1431">
        <f>L52</f>
        <v>0.05</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4138</v>
      </c>
      <c r="O60" s="1428" t="s">
        <v>407</v>
      </c>
      <c r="P60" s="1419" t="s">
        <v>855</v>
      </c>
      <c r="Q60" s="1420">
        <f ca="1">L58</f>
        <v>0.88990000000000002</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f ca="1">L59</f>
        <v>0.88239999999999996</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1201343</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3926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502</v>
      </c>
      <c r="D65" s="964" t="s">
        <v>743</v>
      </c>
      <c r="E65" s="950" t="s">
        <v>744</v>
      </c>
      <c r="F65" s="330">
        <f t="shared" ca="1" si="0"/>
        <v>1E-3</v>
      </c>
      <c r="I65" s="1462" t="s">
        <v>867</v>
      </c>
      <c r="J65" s="1463">
        <v>40</v>
      </c>
      <c r="K65" s="1463">
        <v>30</v>
      </c>
      <c r="L65" s="1463">
        <v>50</v>
      </c>
      <c r="M65" s="1465">
        <v>0.02</v>
      </c>
      <c r="O65" s="1418" t="s">
        <v>403</v>
      </c>
      <c r="P65" s="1419" t="s">
        <v>868</v>
      </c>
      <c r="Q65" s="1420">
        <f ca="1">C40+J29</f>
        <v>1197205</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4138</v>
      </c>
      <c r="R66" s="1420" t="s">
        <v>869</v>
      </c>
    </row>
    <row r="67" spans="1:18" s="1384" customFormat="1" ht="24.6" thickBot="1">
      <c r="A67" s="957" t="s">
        <v>394</v>
      </c>
      <c r="B67" s="967" t="s">
        <v>752</v>
      </c>
      <c r="C67" s="316">
        <f ca="1">C48-C58</f>
        <v>-4428</v>
      </c>
      <c r="D67" s="963" t="s">
        <v>753</v>
      </c>
      <c r="E67" s="968"/>
      <c r="F67" s="969"/>
      <c r="O67" s="1428" t="s">
        <v>405</v>
      </c>
      <c r="P67" s="1419" t="s">
        <v>850</v>
      </c>
      <c r="Q67" s="1466">
        <f ca="1">L51</f>
        <v>486908</v>
      </c>
      <c r="R67" s="1420" t="s">
        <v>870</v>
      </c>
    </row>
    <row r="68" spans="1:18" s="1384" customFormat="1" ht="16.2" thickBot="1">
      <c r="A68" s="947" t="s">
        <v>395</v>
      </c>
      <c r="B68" s="948" t="s">
        <v>774</v>
      </c>
      <c r="C68" s="301">
        <f ca="1">ROUND(C67*(1-((1+F70)/(1+F68))^F69)/(F68-F70),0)</f>
        <v>-60180</v>
      </c>
      <c r="D68" s="965" t="s">
        <v>758</v>
      </c>
      <c r="E68" s="950" t="s">
        <v>759</v>
      </c>
      <c r="F68" s="312">
        <f ca="1">F40</f>
        <v>0.06</v>
      </c>
      <c r="O68" s="1428" t="s">
        <v>406</v>
      </c>
      <c r="P68" s="1467" t="s">
        <v>871</v>
      </c>
      <c r="Q68" s="1420">
        <f ca="1">ROUND(Q69-Q70*Q71,0)</f>
        <v>32158</v>
      </c>
      <c r="R68" s="1420" t="s">
        <v>414</v>
      </c>
    </row>
    <row r="69" spans="1:18" s="1384" customFormat="1" ht="13.8" thickBot="1">
      <c r="A69" s="951"/>
      <c r="B69" s="952"/>
      <c r="C69" s="306"/>
      <c r="D69" s="970" t="s">
        <v>762</v>
      </c>
      <c r="E69" s="950" t="s">
        <v>763</v>
      </c>
      <c r="F69" s="333">
        <f ca="1">F41</f>
        <v>29</v>
      </c>
      <c r="O69" s="1428" t="s">
        <v>411</v>
      </c>
      <c r="P69" s="1467" t="s">
        <v>872</v>
      </c>
      <c r="Q69" s="1420">
        <f ca="1">C39</f>
        <v>67332</v>
      </c>
      <c r="R69" s="1420" t="s">
        <v>818</v>
      </c>
    </row>
    <row r="70" spans="1:18" s="1384" customFormat="1" ht="13.8" thickBot="1">
      <c r="A70" s="954"/>
      <c r="B70" s="955"/>
      <c r="C70" s="310"/>
      <c r="D70" s="966"/>
      <c r="E70" s="950" t="s">
        <v>766</v>
      </c>
      <c r="F70" s="1054"/>
      <c r="O70" s="1428" t="s">
        <v>412</v>
      </c>
      <c r="P70" s="1467" t="s">
        <v>873</v>
      </c>
      <c r="Q70" s="1420">
        <f ca="1">C13</f>
        <v>502484</v>
      </c>
      <c r="R70" s="1420" t="s">
        <v>818</v>
      </c>
    </row>
    <row r="71" spans="1:18" s="1384" customFormat="1" ht="13.8" thickBot="1">
      <c r="A71" s="971" t="s">
        <v>396</v>
      </c>
      <c r="B71" s="972" t="s">
        <v>776</v>
      </c>
      <c r="C71" s="336">
        <f ca="1">ROUND(C68/F71,0)</f>
        <v>-325</v>
      </c>
      <c r="D71" s="973" t="s">
        <v>777</v>
      </c>
      <c r="E71" s="974" t="s">
        <v>778</v>
      </c>
      <c r="F71" s="339">
        <f ca="1">F43</f>
        <v>185.44</v>
      </c>
      <c r="O71" s="1428" t="s">
        <v>413</v>
      </c>
      <c r="P71" s="1467" t="s">
        <v>874</v>
      </c>
      <c r="Q71" s="1431">
        <f ca="1">C76</f>
        <v>7.0000000000000007E-2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0.88990000000000002</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0.88239999999999996</v>
      </c>
      <c r="R74" s="1420" t="s">
        <v>857</v>
      </c>
    </row>
    <row r="75" spans="1:18" ht="13.8" thickBot="1">
      <c r="A75" s="1384"/>
      <c r="B75" s="340" t="s">
        <v>795</v>
      </c>
      <c r="C75" s="341">
        <f ca="1">ROUND(C13*C76,0)</f>
        <v>35174</v>
      </c>
      <c r="D75" s="1384"/>
      <c r="E75" s="1384"/>
      <c r="F75" s="1384"/>
      <c r="K75" s="1402"/>
      <c r="L75" s="1384"/>
      <c r="O75" s="1418" t="s">
        <v>409</v>
      </c>
      <c r="P75" s="1419" t="s">
        <v>838</v>
      </c>
      <c r="Q75" s="1420">
        <f ca="1">Q65+Q66</f>
        <v>1201343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0.47799999999999998</v>
      </c>
    </row>
    <row r="80" spans="1:18">
      <c r="B80" s="340" t="s">
        <v>800</v>
      </c>
      <c r="C80" s="274">
        <f ca="1">ROUND(C75/C39,3)</f>
        <v>0.52200000000000002</v>
      </c>
    </row>
    <row r="81" spans="2:3">
      <c r="B81" s="270" t="s">
        <v>801</v>
      </c>
      <c r="C81" s="238"/>
    </row>
    <row r="82" spans="2:3">
      <c r="B82" s="273" t="s">
        <v>802</v>
      </c>
      <c r="C82" s="275">
        <f ca="1">1-C83</f>
        <v>0.58000000000000007</v>
      </c>
    </row>
    <row r="83" spans="2:3">
      <c r="B83" s="273" t="s">
        <v>803</v>
      </c>
      <c r="C83" s="274">
        <f ca="1">ROUND(C13/C40,3)</f>
        <v>0.42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2" customHeight="1">
      <c r="A2" s="1385" t="s">
        <v>2319</v>
      </c>
      <c r="B2" s="2843" t="e">
        <f>IF(D2="——",C40,C40+E2)</f>
        <v>#DIV/0!</v>
      </c>
      <c r="C2" s="2844" t="s">
        <v>2320</v>
      </c>
      <c r="D2" s="3443" t="s">
        <v>3361</v>
      </c>
      <c r="E2" s="3444"/>
      <c r="F2" s="2846"/>
      <c r="G2" s="2847"/>
      <c r="H2" s="2848"/>
      <c r="I2" s="2849"/>
      <c r="J2" s="3678" t="s">
        <v>2321</v>
      </c>
      <c r="K2" s="3679"/>
      <c r="L2" s="2850" t="s">
        <v>2322</v>
      </c>
      <c r="M2" s="2850" t="s">
        <v>2323</v>
      </c>
      <c r="N2" s="2850" t="s">
        <v>2324</v>
      </c>
      <c r="O2" s="2850" t="s">
        <v>2325</v>
      </c>
      <c r="P2" s="2850" t="s">
        <v>2326</v>
      </c>
      <c r="Q2" s="2851" t="s">
        <v>2327</v>
      </c>
      <c r="R2" s="2852" t="s">
        <v>2328</v>
      </c>
      <c r="S2" s="2841"/>
      <c r="T2" s="2841"/>
      <c r="U2" s="2841"/>
      <c r="V2" s="2849"/>
    </row>
    <row r="3" spans="1:22" s="2853" customFormat="1" ht="13.2" customHeight="1">
      <c r="A3" s="2854" t="s">
        <v>2329</v>
      </c>
      <c r="B3" s="2855" t="e">
        <f>ROUND(B2*10000/B4,0)</f>
        <v>#DIV/0!</v>
      </c>
      <c r="C3" s="2844" t="s">
        <v>2330</v>
      </c>
      <c r="D3" s="2844"/>
      <c r="E3" s="2845"/>
      <c r="F3" s="2846"/>
      <c r="G3" s="2847"/>
      <c r="H3" s="2848"/>
      <c r="I3" s="2849"/>
      <c r="J3" s="3680" t="s">
        <v>2331</v>
      </c>
      <c r="K3" s="3681"/>
      <c r="L3" s="2856"/>
      <c r="M3" s="2856"/>
      <c r="N3" s="2856"/>
      <c r="O3" s="2856"/>
      <c r="P3" s="2856"/>
      <c r="Q3" s="2857"/>
      <c r="R3" s="2858">
        <f>SUM(L3:Q3)</f>
        <v>0</v>
      </c>
      <c r="S3" s="2841"/>
      <c r="T3" s="2841"/>
      <c r="U3" s="2841"/>
      <c r="V3" s="2849"/>
    </row>
    <row r="4" spans="1:22" s="2853" customFormat="1" ht="13.2" customHeight="1">
      <c r="A4" s="2859" t="s">
        <v>2332</v>
      </c>
      <c r="B4" s="2860"/>
      <c r="C4" s="2844"/>
      <c r="D4" s="2844"/>
      <c r="E4" s="2845"/>
      <c r="F4" s="2846"/>
      <c r="G4" s="2847"/>
      <c r="H4" s="2848"/>
      <c r="I4" s="2849"/>
      <c r="J4" s="3680" t="s">
        <v>2333</v>
      </c>
      <c r="K4" s="3681"/>
      <c r="L4" s="2861"/>
      <c r="M4" s="2861"/>
      <c r="N4" s="2861"/>
      <c r="O4" s="2861"/>
      <c r="P4" s="2861"/>
      <c r="Q4" s="2862"/>
      <c r="R4" s="2863">
        <f>SUM(L4:Q4)</f>
        <v>0</v>
      </c>
      <c r="S4" s="2841"/>
      <c r="T4" s="2841"/>
      <c r="U4" s="2841"/>
      <c r="V4" s="2849"/>
    </row>
    <row r="5" spans="1:22" s="2853" customFormat="1" ht="13.2"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2" customHeight="1" thickBot="1">
      <c r="A6" s="3686" t="s">
        <v>2337</v>
      </c>
      <c r="B6" s="3687"/>
      <c r="C6" s="3688"/>
      <c r="D6" s="2870"/>
      <c r="E6" s="2871"/>
      <c r="F6" s="2872"/>
      <c r="G6" s="2873"/>
      <c r="H6" s="2848"/>
      <c r="I6" s="2849"/>
      <c r="J6" s="3672">
        <v>1</v>
      </c>
      <c r="K6" s="367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2" customHeight="1">
      <c r="A7" s="2876" t="s">
        <v>2347</v>
      </c>
      <c r="B7" s="2877"/>
      <c r="C7" s="2878"/>
      <c r="D7" s="2879">
        <f>SUM(D9,D10,D11,D17,0)</f>
        <v>0</v>
      </c>
      <c r="E7" s="2880" t="e">
        <f>E9+E10+E11+E17</f>
        <v>#DIV/0!</v>
      </c>
      <c r="F7" s="2881"/>
      <c r="G7" s="2882"/>
      <c r="H7" s="2848"/>
      <c r="I7" s="2849"/>
      <c r="J7" s="3672"/>
      <c r="K7" s="3674"/>
      <c r="L7" s="2883" t="s">
        <v>2348</v>
      </c>
      <c r="M7" s="2884"/>
      <c r="N7" s="2860"/>
      <c r="O7" s="2885"/>
      <c r="P7" s="2885"/>
      <c r="Q7" s="2886">
        <v>365</v>
      </c>
      <c r="R7" s="2887">
        <f>ROUND(M7*N7*O7*P7*Q7/10000,0)</f>
        <v>0</v>
      </c>
      <c r="S7" s="2841"/>
      <c r="T7" s="2841" t="s">
        <v>2349</v>
      </c>
      <c r="U7" s="2841"/>
      <c r="V7" s="2849"/>
    </row>
    <row r="8" spans="1:22" s="2853" customFormat="1" ht="13.2" customHeight="1">
      <c r="A8" s="2888" t="s">
        <v>2350</v>
      </c>
      <c r="B8" s="3689" t="s">
        <v>2351</v>
      </c>
      <c r="C8" s="3690"/>
      <c r="D8" s="2889" t="s">
        <v>2352</v>
      </c>
      <c r="E8" s="2890" t="s">
        <v>2353</v>
      </c>
      <c r="F8" s="2891" t="s">
        <v>2354</v>
      </c>
      <c r="G8" s="2892"/>
      <c r="H8" s="2848"/>
      <c r="I8" s="2849"/>
      <c r="J8" s="3672"/>
      <c r="K8" s="3674"/>
      <c r="L8" s="2883" t="s">
        <v>2355</v>
      </c>
      <c r="M8" s="2884"/>
      <c r="N8" s="2860"/>
      <c r="O8" s="2885"/>
      <c r="P8" s="2885"/>
      <c r="Q8" s="2886">
        <v>365</v>
      </c>
      <c r="R8" s="2887">
        <f t="shared" ref="R8:R13" si="0">ROUND(M8*N8*O8*P8*Q8/10000,0)</f>
        <v>0</v>
      </c>
      <c r="S8" s="2841"/>
      <c r="T8" s="2841" t="s">
        <v>2356</v>
      </c>
      <c r="U8" s="2841"/>
      <c r="V8" s="2849"/>
    </row>
    <row r="9" spans="1:22" s="2853" customFormat="1" ht="13.2" customHeight="1">
      <c r="A9" s="2888">
        <v>1</v>
      </c>
      <c r="B9" s="3689" t="s">
        <v>2357</v>
      </c>
      <c r="C9" s="3690"/>
      <c r="D9" s="2889">
        <f>ROUND(D6*E9,0)</f>
        <v>0</v>
      </c>
      <c r="E9" s="2893"/>
      <c r="F9" s="2894" t="s">
        <v>2358</v>
      </c>
      <c r="G9" s="2873"/>
      <c r="H9" s="2848"/>
      <c r="I9" s="2849"/>
      <c r="J9" s="3672"/>
      <c r="K9" s="3674"/>
      <c r="L9" s="2883" t="s">
        <v>2359</v>
      </c>
      <c r="M9" s="2884"/>
      <c r="N9" s="2860"/>
      <c r="O9" s="2885"/>
      <c r="P9" s="2885"/>
      <c r="Q9" s="2886">
        <v>365</v>
      </c>
      <c r="R9" s="2887">
        <f t="shared" si="0"/>
        <v>0</v>
      </c>
      <c r="S9" s="2841"/>
      <c r="T9" s="2841"/>
      <c r="U9" s="2841"/>
      <c r="V9" s="2849"/>
    </row>
    <row r="10" spans="1:22" s="2853" customFormat="1" ht="13.2" customHeight="1">
      <c r="A10" s="2888">
        <v>2</v>
      </c>
      <c r="B10" s="3689" t="s">
        <v>2360</v>
      </c>
      <c r="C10" s="3690"/>
      <c r="D10" s="2889">
        <f>ROUND(D6*E10,0)</f>
        <v>0</v>
      </c>
      <c r="E10" s="2893"/>
      <c r="F10" s="2894" t="s">
        <v>2361</v>
      </c>
      <c r="G10" s="2873"/>
      <c r="H10" s="2848"/>
      <c r="I10" s="2849"/>
      <c r="J10" s="3672"/>
      <c r="K10" s="3674"/>
      <c r="L10" s="2883" t="s">
        <v>2362</v>
      </c>
      <c r="M10" s="2884"/>
      <c r="N10" s="2860"/>
      <c r="O10" s="2885"/>
      <c r="P10" s="2885"/>
      <c r="Q10" s="2886">
        <v>365</v>
      </c>
      <c r="R10" s="2887">
        <f t="shared" si="0"/>
        <v>0</v>
      </c>
      <c r="S10" s="2841"/>
      <c r="T10" s="2841"/>
      <c r="U10" s="2841"/>
      <c r="V10" s="2849"/>
    </row>
    <row r="11" spans="1:22" s="2853" customFormat="1" ht="13.2" customHeight="1">
      <c r="A11" s="2888">
        <v>3</v>
      </c>
      <c r="B11" s="3689" t="s">
        <v>2363</v>
      </c>
      <c r="C11" s="3690"/>
      <c r="D11" s="2889">
        <f>D12+D14+D15+D16</f>
        <v>0</v>
      </c>
      <c r="E11" s="2895" t="e">
        <f>D11/D6</f>
        <v>#DIV/0!</v>
      </c>
      <c r="F11" s="2891"/>
      <c r="G11" s="2892"/>
      <c r="H11" s="2848"/>
      <c r="I11" s="2849"/>
      <c r="J11" s="3672"/>
      <c r="K11" s="3674"/>
      <c r="L11" s="2883" t="s">
        <v>2364</v>
      </c>
      <c r="M11" s="2884"/>
      <c r="N11" s="2860"/>
      <c r="O11" s="2885"/>
      <c r="P11" s="2885"/>
      <c r="Q11" s="2886">
        <v>365</v>
      </c>
      <c r="R11" s="2887">
        <f t="shared" si="0"/>
        <v>0</v>
      </c>
      <c r="S11" s="2841"/>
      <c r="T11" s="2841"/>
      <c r="U11" s="2841"/>
      <c r="V11" s="2849"/>
    </row>
    <row r="12" spans="1:22" s="2853" customFormat="1" ht="13.2" customHeight="1">
      <c r="A12" s="2896" t="s">
        <v>2365</v>
      </c>
      <c r="B12" s="3682" t="s">
        <v>2366</v>
      </c>
      <c r="C12" s="3683"/>
      <c r="D12" s="2897">
        <f>ROUND(D13*1.2%*(1-30%),0)</f>
        <v>0</v>
      </c>
      <c r="E12" s="2898">
        <v>1.2E-2</v>
      </c>
      <c r="F12" s="2891" t="s">
        <v>2367</v>
      </c>
      <c r="G12" s="2892"/>
      <c r="H12" s="2848"/>
      <c r="I12" s="2849"/>
      <c r="J12" s="3672"/>
      <c r="K12" s="3674"/>
      <c r="L12" s="2883" t="s">
        <v>2368</v>
      </c>
      <c r="M12" s="2884"/>
      <c r="N12" s="2860"/>
      <c r="O12" s="2885"/>
      <c r="P12" s="2885"/>
      <c r="Q12" s="2886">
        <v>365</v>
      </c>
      <c r="R12" s="2887">
        <f t="shared" si="0"/>
        <v>0</v>
      </c>
      <c r="S12" s="2841"/>
      <c r="T12" s="2841"/>
      <c r="U12" s="2841"/>
      <c r="V12" s="2849"/>
    </row>
    <row r="13" spans="1:22" s="2853" customFormat="1" ht="13.2" customHeight="1">
      <c r="A13" s="2896"/>
      <c r="B13" s="2899"/>
      <c r="C13" s="2900" t="s">
        <v>2369</v>
      </c>
      <c r="D13" s="2901"/>
      <c r="E13" s="2902"/>
      <c r="F13" s="2891"/>
      <c r="G13" s="2892"/>
      <c r="H13" s="2848"/>
      <c r="I13" s="2849"/>
      <c r="J13" s="3672"/>
      <c r="K13" s="3674"/>
      <c r="L13" s="2883" t="s">
        <v>2370</v>
      </c>
      <c r="M13" s="2884"/>
      <c r="N13" s="2860"/>
      <c r="O13" s="2885"/>
      <c r="P13" s="2885"/>
      <c r="Q13" s="2886">
        <v>365</v>
      </c>
      <c r="R13" s="2887">
        <f t="shared" si="0"/>
        <v>0</v>
      </c>
      <c r="S13" s="2841"/>
      <c r="T13" s="2841"/>
      <c r="U13" s="2841"/>
      <c r="V13" s="2849"/>
    </row>
    <row r="14" spans="1:22" s="2853" customFormat="1" ht="13.2" customHeight="1">
      <c r="A14" s="2896" t="s">
        <v>2371</v>
      </c>
      <c r="B14" s="3682" t="s">
        <v>2372</v>
      </c>
      <c r="C14" s="3683"/>
      <c r="D14" s="2897">
        <f>ROUND(E14*B5/10000,0)</f>
        <v>0</v>
      </c>
      <c r="E14" s="2886"/>
      <c r="F14" s="2891" t="s">
        <v>2373</v>
      </c>
      <c r="G14" s="2892"/>
      <c r="H14" s="2848"/>
      <c r="I14" s="2849"/>
      <c r="J14" s="3672"/>
      <c r="K14" s="367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2375</v>
      </c>
      <c r="B15" s="3682" t="s">
        <v>2376</v>
      </c>
      <c r="C15" s="3683"/>
      <c r="D15" s="2897">
        <f>ROUND(D6*E15,0)</f>
        <v>0</v>
      </c>
      <c r="E15" s="2898">
        <v>5.5E-2</v>
      </c>
      <c r="F15" s="2891" t="s">
        <v>2377</v>
      </c>
      <c r="G15" s="2873"/>
      <c r="H15" s="2848"/>
      <c r="I15" s="2849"/>
      <c r="J15" s="3672">
        <v>2</v>
      </c>
      <c r="K15" s="367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2" customHeight="1">
      <c r="A16" s="2896" t="s">
        <v>2384</v>
      </c>
      <c r="B16" s="3682" t="s">
        <v>2385</v>
      </c>
      <c r="C16" s="3683"/>
      <c r="D16" s="2908">
        <f>D6*E16</f>
        <v>0</v>
      </c>
      <c r="E16" s="2909"/>
      <c r="F16" s="2894" t="s">
        <v>2386</v>
      </c>
      <c r="G16" s="2873"/>
      <c r="H16" s="2848"/>
      <c r="I16" s="2849"/>
      <c r="J16" s="3672"/>
      <c r="K16" s="3674"/>
      <c r="L16" s="2883" t="s">
        <v>2387</v>
      </c>
      <c r="M16" s="2884"/>
      <c r="N16" s="2884"/>
      <c r="O16" s="2885"/>
      <c r="P16" s="2886">
        <v>365</v>
      </c>
      <c r="Q16" s="2860"/>
      <c r="R16" s="2907">
        <f>ROUND(M16*N16*O16*P16/10000,0)</f>
        <v>0</v>
      </c>
      <c r="S16" s="2841"/>
      <c r="T16" s="2841"/>
      <c r="U16" s="2841"/>
      <c r="V16" s="2849"/>
    </row>
    <row r="17" spans="1:22" s="2853" customFormat="1" ht="13.2" customHeight="1" thickBot="1">
      <c r="A17" s="2910">
        <v>4</v>
      </c>
      <c r="B17" s="3684" t="s">
        <v>2388</v>
      </c>
      <c r="C17" s="3685"/>
      <c r="D17" s="2911">
        <f>ROUND(D6*E17,0)</f>
        <v>0</v>
      </c>
      <c r="E17" s="2912"/>
      <c r="F17" s="2913" t="s">
        <v>2389</v>
      </c>
      <c r="G17" s="2873"/>
      <c r="H17" s="2848"/>
      <c r="I17" s="2849"/>
      <c r="J17" s="3672"/>
      <c r="K17" s="3674"/>
      <c r="L17" s="2883" t="s">
        <v>2390</v>
      </c>
      <c r="M17" s="2884"/>
      <c r="N17" s="2884"/>
      <c r="O17" s="2885"/>
      <c r="P17" s="2886">
        <v>365</v>
      </c>
      <c r="Q17" s="2860"/>
      <c r="R17" s="2907">
        <f>ROUND(M17*N17*O17*P17/10000,0)</f>
        <v>0</v>
      </c>
      <c r="S17" s="2841"/>
      <c r="T17" s="2841"/>
      <c r="U17" s="2841"/>
      <c r="V17" s="2849"/>
    </row>
    <row r="18" spans="1:22" s="2853" customFormat="1" ht="13.2" customHeight="1" thickBot="1">
      <c r="A18" s="2876" t="s">
        <v>2391</v>
      </c>
      <c r="B18" s="2877"/>
      <c r="C18" s="2877"/>
      <c r="D18" s="2914">
        <f>ROUND(D6*E18,0)</f>
        <v>0</v>
      </c>
      <c r="E18" s="2915"/>
      <c r="F18" s="2916" t="s">
        <v>2392</v>
      </c>
      <c r="G18" s="2873"/>
      <c r="H18" s="2848"/>
      <c r="I18" s="2849"/>
      <c r="J18" s="3672"/>
      <c r="K18" s="3674"/>
      <c r="L18" s="2883" t="s">
        <v>2393</v>
      </c>
      <c r="M18" s="2884"/>
      <c r="N18" s="2884"/>
      <c r="O18" s="2885"/>
      <c r="P18" s="2886">
        <v>365</v>
      </c>
      <c r="Q18" s="2860"/>
      <c r="R18" s="2907">
        <f>ROUND(M18*N18*O18*P18/10000,0)</f>
        <v>0</v>
      </c>
      <c r="S18" s="2841"/>
      <c r="T18" s="2841"/>
      <c r="U18" s="2841"/>
      <c r="V18" s="2849"/>
    </row>
    <row r="19" spans="1:22" s="2853" customFormat="1" ht="13.2" customHeight="1" thickBot="1">
      <c r="A19" s="2917" t="s">
        <v>2394</v>
      </c>
      <c r="B19" s="2871"/>
      <c r="C19" s="2871"/>
      <c r="D19" s="2871"/>
      <c r="E19" s="2871"/>
      <c r="F19" s="2872"/>
      <c r="G19" s="2892"/>
      <c r="H19" s="2848"/>
      <c r="I19" s="2849"/>
      <c r="J19" s="3672"/>
      <c r="K19" s="367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2">
        <v>3</v>
      </c>
      <c r="K20" s="367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2" customHeight="1">
      <c r="A21" s="2876"/>
      <c r="B21" s="2877"/>
      <c r="C21" s="2923" t="s">
        <v>2403</v>
      </c>
      <c r="D21" s="2924" t="s">
        <v>2404</v>
      </c>
      <c r="E21" s="2925" t="s">
        <v>2405</v>
      </c>
      <c r="F21" s="2920"/>
      <c r="G21" s="2892"/>
      <c r="H21" s="2848"/>
      <c r="I21" s="2849"/>
      <c r="J21" s="3672"/>
      <c r="K21" s="3674"/>
      <c r="L21" s="2883" t="s">
        <v>2406</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2407</v>
      </c>
      <c r="D22" s="2928" t="s">
        <v>2408</v>
      </c>
      <c r="E22" s="2929" t="s">
        <v>2409</v>
      </c>
      <c r="F22" s="2920"/>
      <c r="G22" s="2930"/>
      <c r="H22" s="2848"/>
      <c r="I22" s="2849"/>
      <c r="J22" s="3672"/>
      <c r="K22" s="3674"/>
      <c r="L22" s="2883" t="s">
        <v>2410</v>
      </c>
      <c r="M22" s="2884"/>
      <c r="N22" s="2884"/>
      <c r="O22" s="2885"/>
      <c r="P22" s="2886">
        <v>365</v>
      </c>
      <c r="Q22" s="2860"/>
      <c r="R22" s="2926">
        <f>ROUND(M22*N22*O22*P22/10000,0)</f>
        <v>0</v>
      </c>
      <c r="S22" s="2922"/>
      <c r="T22" s="2922"/>
      <c r="U22" s="2922"/>
      <c r="V22" s="2849"/>
    </row>
    <row r="23" spans="1:22" s="2853" customFormat="1" ht="13.2" customHeight="1">
      <c r="A23" s="2931">
        <v>1</v>
      </c>
      <c r="B23" s="2932" t="s">
        <v>2411</v>
      </c>
      <c r="C23" s="2933">
        <f>D6</f>
        <v>0</v>
      </c>
      <c r="D23" s="2934">
        <f>C23*(1+D24)</f>
        <v>0</v>
      </c>
      <c r="E23" s="2935">
        <f>D23*(1+E24)</f>
        <v>0</v>
      </c>
      <c r="F23" s="2936"/>
      <c r="G23" s="2937"/>
      <c r="H23" s="2848"/>
      <c r="I23" s="2849"/>
      <c r="J23" s="3672"/>
      <c r="K23" s="3674"/>
      <c r="L23" s="2883" t="s">
        <v>2412</v>
      </c>
      <c r="M23" s="2884"/>
      <c r="N23" s="2884"/>
      <c r="O23" s="2885"/>
      <c r="P23" s="2886">
        <v>365</v>
      </c>
      <c r="Q23" s="2860"/>
      <c r="R23" s="2926">
        <f>ROUND(M23*N23*O23*P23/10000,0)</f>
        <v>0</v>
      </c>
      <c r="S23" s="2841"/>
      <c r="T23" s="2841"/>
      <c r="U23" s="2841"/>
      <c r="V23" s="2849"/>
    </row>
    <row r="24" spans="1:22" s="2853" customFormat="1" ht="13.2" customHeight="1">
      <c r="A24" s="2938"/>
      <c r="B24" s="2939" t="s">
        <v>2413</v>
      </c>
      <c r="C24" s="2940"/>
      <c r="D24" s="2941"/>
      <c r="E24" s="2942"/>
      <c r="F24" s="2943"/>
      <c r="G24" s="2937"/>
      <c r="H24" s="2848"/>
      <c r="I24" s="2849"/>
      <c r="J24" s="3672"/>
      <c r="K24" s="367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2" customHeight="1">
      <c r="A26" s="2931">
        <v>2</v>
      </c>
      <c r="B26" s="2932" t="s">
        <v>2415</v>
      </c>
      <c r="C26" s="2933">
        <f>D7</f>
        <v>0</v>
      </c>
      <c r="D26" s="2934">
        <f>D23*D27</f>
        <v>0</v>
      </c>
      <c r="E26" s="2935">
        <f>E23*E27</f>
        <v>0</v>
      </c>
      <c r="F26" s="2936"/>
      <c r="G26" s="2937"/>
      <c r="H26" s="2848"/>
      <c r="I26" s="2849"/>
      <c r="J26" s="367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2" customHeight="1">
      <c r="A27" s="2938"/>
      <c r="B27" s="2939" t="s">
        <v>2421</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2"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2" customHeight="1">
      <c r="A32" s="2931">
        <v>4</v>
      </c>
      <c r="B32" s="2932" t="s">
        <v>2429</v>
      </c>
      <c r="C32" s="2933">
        <f>C23-C26-C29</f>
        <v>0</v>
      </c>
      <c r="D32" s="2934">
        <f>D23-D26-D29</f>
        <v>0</v>
      </c>
      <c r="E32" s="2935">
        <f>E23-E26-E29</f>
        <v>0</v>
      </c>
      <c r="F32" s="2936"/>
      <c r="G32" s="2930"/>
      <c r="H32" s="2848"/>
      <c r="I32" s="2849"/>
      <c r="J32" s="3678" t="s">
        <v>2321</v>
      </c>
      <c r="K32" s="3679"/>
      <c r="L32" s="2850" t="s">
        <v>2322</v>
      </c>
      <c r="M32" s="2850" t="s">
        <v>2323</v>
      </c>
      <c r="N32" s="2850" t="s">
        <v>2324</v>
      </c>
      <c r="O32" s="2850" t="s">
        <v>2325</v>
      </c>
      <c r="P32" s="2850" t="s">
        <v>2326</v>
      </c>
      <c r="Q32" s="2851" t="s">
        <v>2327</v>
      </c>
      <c r="R32" s="2973" t="s">
        <v>2328</v>
      </c>
      <c r="S32" s="2922"/>
      <c r="T32" s="2841"/>
      <c r="U32" s="2841"/>
      <c r="V32" s="2949"/>
    </row>
    <row r="33" spans="1:23" s="2853" customFormat="1" ht="13.2" customHeight="1">
      <c r="A33" s="2931"/>
      <c r="B33" s="2932"/>
      <c r="C33" s="2933"/>
      <c r="D33" s="2974"/>
      <c r="E33" s="2975"/>
      <c r="F33" s="2936"/>
      <c r="G33" s="2930"/>
      <c r="H33" s="2958"/>
      <c r="I33" s="2949"/>
      <c r="J33" s="3680" t="s">
        <v>2331</v>
      </c>
      <c r="K33" s="3681"/>
      <c r="L33" s="2856"/>
      <c r="M33" s="2856"/>
      <c r="N33" s="2856"/>
      <c r="O33" s="2856"/>
      <c r="P33" s="2856"/>
      <c r="Q33" s="2857"/>
      <c r="R33" s="2976">
        <f>SUM(L33:Q33)</f>
        <v>0</v>
      </c>
      <c r="S33" s="2922"/>
      <c r="T33" s="2841"/>
      <c r="U33" s="2841"/>
      <c r="V33" s="2849"/>
    </row>
    <row r="34" spans="1:23" s="2853" customFormat="1" ht="13.2" customHeight="1">
      <c r="A34" s="2931">
        <v>5</v>
      </c>
      <c r="B34" s="2932" t="s">
        <v>2430</v>
      </c>
      <c r="C34" s="2977"/>
      <c r="D34" s="2978"/>
      <c r="E34" s="2979"/>
      <c r="F34" s="2936"/>
      <c r="G34" s="2930"/>
      <c r="H34" s="2958"/>
      <c r="I34" s="2949"/>
      <c r="J34" s="3680" t="s">
        <v>2333</v>
      </c>
      <c r="K34" s="368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2" customHeight="1" thickBot="1">
      <c r="A36" s="2931">
        <v>7</v>
      </c>
      <c r="B36" s="2986" t="s">
        <v>2432</v>
      </c>
      <c r="C36" s="2987"/>
      <c r="D36" s="2988"/>
      <c r="E36" s="2989"/>
      <c r="F36" s="2990">
        <f>C36+D36+E36</f>
        <v>0</v>
      </c>
      <c r="G36" s="2930"/>
      <c r="H36" s="2848"/>
      <c r="I36" s="2849"/>
      <c r="J36" s="3672">
        <v>1</v>
      </c>
      <c r="K36" s="3673" t="s">
        <v>2433</v>
      </c>
      <c r="L36" s="2874"/>
      <c r="M36" s="2875"/>
      <c r="N36" s="2875"/>
      <c r="O36" s="2875"/>
      <c r="P36" s="2875"/>
      <c r="Q36" s="2875"/>
      <c r="R36" s="2858" t="s">
        <v>2345</v>
      </c>
      <c r="S36" s="2922"/>
      <c r="T36" s="2841" t="s">
        <v>2346</v>
      </c>
      <c r="U36" s="2841"/>
      <c r="V36" s="2849"/>
    </row>
    <row r="37" spans="1:23" s="2853" customFormat="1" ht="13.2" customHeight="1">
      <c r="A37" s="2931"/>
      <c r="B37" s="2932"/>
      <c r="C37" s="2932"/>
      <c r="D37" s="2932"/>
      <c r="E37" s="2932"/>
      <c r="F37" s="2936"/>
      <c r="G37" s="2930"/>
      <c r="H37" s="2848"/>
      <c r="I37" s="2849"/>
      <c r="J37" s="3672"/>
      <c r="K37" s="3674"/>
      <c r="L37" s="2883"/>
      <c r="M37" s="2884"/>
      <c r="N37" s="2860"/>
      <c r="O37" s="2885"/>
      <c r="P37" s="2885"/>
      <c r="Q37" s="2886"/>
      <c r="R37" s="2887"/>
      <c r="S37" s="2922"/>
      <c r="T37" s="2841" t="s">
        <v>2349</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2"/>
      <c r="K38" s="3674"/>
      <c r="L38" s="2883"/>
      <c r="M38" s="2884"/>
      <c r="N38" s="2860"/>
      <c r="O38" s="2885"/>
      <c r="P38" s="2885"/>
      <c r="Q38" s="2886"/>
      <c r="R38" s="2887"/>
      <c r="S38" s="2922"/>
      <c r="T38" s="2841" t="s">
        <v>2356</v>
      </c>
      <c r="U38" s="2841"/>
      <c r="V38" s="2849"/>
    </row>
    <row r="39" spans="1:23" s="2853" customFormat="1" ht="13.2" customHeight="1">
      <c r="A39" s="2931">
        <v>9</v>
      </c>
      <c r="B39" s="2932" t="s">
        <v>2434</v>
      </c>
      <c r="C39" s="2897" t="e">
        <f>C38</f>
        <v>#DIV/0!</v>
      </c>
      <c r="D39" s="2932">
        <f>D38/(1+D34)^C36</f>
        <v>0</v>
      </c>
      <c r="E39" s="2932">
        <f>E38/(1+E34)^(C36+D36)</f>
        <v>0</v>
      </c>
      <c r="F39" s="2936"/>
      <c r="G39" s="2991"/>
      <c r="H39" s="2848"/>
      <c r="I39" s="2849"/>
      <c r="J39" s="3672"/>
      <c r="K39" s="3674"/>
      <c r="L39" s="2883"/>
      <c r="M39" s="2884"/>
      <c r="N39" s="2860"/>
      <c r="O39" s="2885"/>
      <c r="P39" s="2885"/>
      <c r="Q39" s="2886"/>
      <c r="R39" s="2887"/>
      <c r="S39" s="2922"/>
      <c r="T39" s="2841"/>
      <c r="U39" s="2841"/>
      <c r="V39" s="2849"/>
    </row>
    <row r="40" spans="1:23" s="2853" customFormat="1" ht="13.2" customHeight="1">
      <c r="A40" s="2992">
        <v>10</v>
      </c>
      <c r="B40" s="2932" t="s">
        <v>2435</v>
      </c>
      <c r="C40" s="2993" t="e">
        <f>C39+D39+E39</f>
        <v>#DIV/0!</v>
      </c>
      <c r="D40" s="2994"/>
      <c r="E40" s="2994"/>
      <c r="F40" s="2995"/>
      <c r="G40" s="2930"/>
      <c r="H40" s="2848"/>
      <c r="I40" s="2849"/>
      <c r="J40" s="3672"/>
      <c r="K40" s="3675"/>
      <c r="L40" s="2903" t="s">
        <v>2374</v>
      </c>
      <c r="M40" s="2904"/>
      <c r="N40" s="2904"/>
      <c r="O40" s="2905"/>
      <c r="P40" s="2905"/>
      <c r="Q40" s="2906"/>
      <c r="R40" s="2852">
        <f>SUM(R37:R39)</f>
        <v>0</v>
      </c>
      <c r="S40" s="2922"/>
      <c r="T40" s="2841"/>
      <c r="U40" s="2841"/>
      <c r="V40" s="2849"/>
    </row>
    <row r="41" spans="1:23" s="2853" customFormat="1" ht="13.2"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2" customHeight="1">
      <c r="G42" s="3000"/>
      <c r="H42" s="2848"/>
      <c r="I42" s="2849"/>
      <c r="J42" s="3676">
        <v>3</v>
      </c>
      <c r="K42" s="2951" t="s">
        <v>2416</v>
      </c>
      <c r="L42" s="2952"/>
      <c r="M42" s="2953"/>
      <c r="N42" s="2954" t="s">
        <v>2417</v>
      </c>
      <c r="O42" s="2954" t="s">
        <v>2418</v>
      </c>
      <c r="P42" s="2955" t="s">
        <v>2419</v>
      </c>
      <c r="Q42" s="2955" t="s">
        <v>2420</v>
      </c>
      <c r="R42" s="2858" t="s">
        <v>2345</v>
      </c>
      <c r="S42" s="2956"/>
      <c r="T42" s="2956"/>
      <c r="U42" s="2841"/>
      <c r="V42" s="2849"/>
    </row>
    <row r="43" spans="1:23" ht="13.2"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120.1343</v>
      </c>
      <c r="C2" s="1872" t="s">
        <v>1651</v>
      </c>
      <c r="D2" s="1873" t="s">
        <v>1652</v>
      </c>
      <c r="E2" s="2607">
        <f>SUM(E6:E13)</f>
        <v>185.44</v>
      </c>
      <c r="F2" s="2707"/>
      <c r="G2" s="1489"/>
      <c r="H2" s="1489"/>
      <c r="I2" s="1489"/>
      <c r="J2" s="1489"/>
      <c r="K2" s="1489"/>
      <c r="L2" s="1489"/>
      <c r="M2" s="1489"/>
      <c r="N2" s="1489"/>
      <c r="O2" s="1489"/>
      <c r="P2" s="1489"/>
      <c r="Q2" s="1489"/>
      <c r="R2" s="1489"/>
      <c r="S2" s="1489"/>
    </row>
    <row r="3" spans="1:22" ht="15.6">
      <c r="A3" s="1870" t="s">
        <v>686</v>
      </c>
      <c r="B3" s="2601">
        <f ca="1">ROUND(B2*10000/E2,0)</f>
        <v>6478</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1" t="s">
        <v>1654</v>
      </c>
      <c r="C5" s="3692"/>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120.1343</v>
      </c>
      <c r="C6" s="1872" t="s">
        <v>1651</v>
      </c>
      <c r="D6" s="2709"/>
      <c r="E6" s="2606">
        <f>IF(OR(A6=0,F6="否"),0,'数据-取费表'!K6+'数据-取费表'!S6)</f>
        <v>185.44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185.44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c r="A5" s="358"/>
      <c r="B5" s="359"/>
      <c r="C5" s="3730" t="s">
        <v>1673</v>
      </c>
      <c r="D5" s="3731"/>
      <c r="E5" s="3737" t="s">
        <v>1674</v>
      </c>
      <c r="F5" s="3738"/>
      <c r="G5" s="3730" t="s">
        <v>1675</v>
      </c>
      <c r="H5" s="3731"/>
      <c r="I5" s="3730" t="s">
        <v>1676</v>
      </c>
      <c r="J5" s="3731"/>
      <c r="K5" s="1890"/>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28" t="s">
        <v>1677</v>
      </c>
      <c r="D6" s="3729"/>
      <c r="E6" s="3735" t="s">
        <v>1677</v>
      </c>
      <c r="F6" s="3736"/>
      <c r="G6" s="3728" t="s">
        <v>1677</v>
      </c>
      <c r="H6" s="3729"/>
      <c r="I6" s="3728" t="s">
        <v>1677</v>
      </c>
      <c r="J6" s="3729"/>
      <c r="K6" s="1890"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2" t="s">
        <v>1680</v>
      </c>
      <c r="Q7" s="3734"/>
      <c r="R7" s="701" t="s">
        <v>20</v>
      </c>
      <c r="S7" s="702">
        <f t="shared" ref="S7:S15" si="0">F7</f>
        <v>0</v>
      </c>
      <c r="T7" s="701" t="s">
        <v>20</v>
      </c>
      <c r="U7" s="702">
        <f t="shared" ref="U7:U15" si="1">H7</f>
        <v>0</v>
      </c>
      <c r="V7" s="701" t="s">
        <v>20</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7" zoomScale="60" zoomScaleNormal="70" workbookViewId="0">
      <selection activeCell="C25" sqref="C25"/>
    </sheetView>
  </sheetViews>
  <sheetFormatPr defaultColWidth="9" defaultRowHeight="13.8"/>
  <cols>
    <col min="1" max="1" width="10.44140625" style="357" customWidth="1"/>
    <col min="2" max="2" width="15.77734375" style="357" customWidth="1"/>
    <col min="3" max="3" width="17.88671875" style="357" customWidth="1"/>
    <col min="4" max="4" width="12.21875" style="357" customWidth="1"/>
    <col min="5" max="5" width="16.33203125" style="357" customWidth="1"/>
    <col min="6" max="6" width="12.21875" style="357" customWidth="1"/>
    <col min="7" max="7" width="16.109375" style="357" customWidth="1"/>
    <col min="8" max="8" width="12.21875" style="357" customWidth="1"/>
    <col min="9" max="9" width="15.8867187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6" t="s">
        <v>3431</v>
      </c>
      <c r="F1" s="1879" t="s">
        <v>3435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3.8899999999999997E-2</v>
      </c>
      <c r="C2" s="1881" t="s">
        <v>43</v>
      </c>
      <c r="D2" s="1115">
        <f ca="1">IF(E1="项目模式",SUMIF(INDIRECT("'"&amp;F2&amp;"'"&amp;"!A:A"),"承租人权益价值",INDIRECT("'"&amp;F2&amp;"'"&amp;"!c:c")),SUMIF(INDIRECT("'"&amp;F2&amp;"'"&amp;"!A:A"),"承租人权益价值（单套）",INDIRECT("'"&amp;F2&amp;"'"&amp;"!c:c")))</f>
        <v>-125.7385</v>
      </c>
      <c r="E2" s="1882" t="s">
        <v>1463</v>
      </c>
      <c r="F2" s="1883" t="s">
        <v>3398</v>
      </c>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2.1</v>
      </c>
      <c r="C3" s="354" t="s">
        <v>1768</v>
      </c>
      <c r="D3" s="353">
        <f>IF(D1="",'数据-汇总表'!E3,SUMIF('数据-汇总表'!$C19:$C33,D1,'数据-汇总表'!$E19:$E33))</f>
        <v>185.44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c r="A5" s="358"/>
      <c r="B5" s="359"/>
      <c r="C5" s="3739" t="s">
        <v>3432</v>
      </c>
      <c r="D5" s="3731"/>
      <c r="E5" s="3740" t="s">
        <v>3509</v>
      </c>
      <c r="F5" s="3738"/>
      <c r="G5" s="3739" t="s">
        <v>3508</v>
      </c>
      <c r="H5" s="3731"/>
      <c r="I5" s="3739" t="s">
        <v>3441</v>
      </c>
      <c r="J5" s="3731"/>
      <c r="K5" s="559"/>
      <c r="L5" s="2715"/>
      <c r="M5" s="2716"/>
      <c r="N5" s="2716"/>
      <c r="O5" s="2716"/>
      <c r="P5" s="3717"/>
      <c r="Q5" s="3718"/>
      <c r="R5" s="3723"/>
      <c r="S5" s="3724"/>
      <c r="T5" s="3723"/>
      <c r="U5" s="3724"/>
      <c r="V5" s="3727"/>
      <c r="W5" s="3727"/>
      <c r="X5" s="1355"/>
      <c r="Y5" s="3723"/>
      <c r="Z5" s="3724"/>
      <c r="AA5" s="3709"/>
      <c r="AB5" s="3727"/>
      <c r="AC5" s="3709"/>
    </row>
    <row r="6" spans="1:29" ht="1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27"/>
      <c r="AC6" s="3710"/>
    </row>
    <row r="7" spans="1:29" s="108" customFormat="1" ht="15" thickBot="1">
      <c r="A7" s="362" t="s">
        <v>1679</v>
      </c>
      <c r="B7" s="363"/>
      <c r="C7" s="364">
        <f>'数据-取费表'!B2</f>
        <v>45427</v>
      </c>
      <c r="D7" s="365">
        <v>100</v>
      </c>
      <c r="E7" s="366">
        <v>45428</v>
      </c>
      <c r="F7" s="367">
        <f>SUMIF(58:58,YEAR(E7)&amp;"-"&amp;MONTH(E7),59:59)</f>
        <v>100</v>
      </c>
      <c r="G7" s="366">
        <v>45409</v>
      </c>
      <c r="H7" s="365">
        <f>SUMIF(58:58,YEAR(G7)&amp;"-"&amp;MONTH(G7),59:59)</f>
        <v>100</v>
      </c>
      <c r="I7" s="366">
        <v>45409</v>
      </c>
      <c r="J7" s="365">
        <f>SUMIF(58:58,YEAR(I7)&amp;"-"&amp;MONTH(I7),59:59)</f>
        <v>100</v>
      </c>
      <c r="K7" s="560"/>
      <c r="L7" s="2717"/>
      <c r="M7" s="2718"/>
      <c r="N7" s="2718"/>
      <c r="O7" s="2718"/>
      <c r="P7" s="3732" t="s">
        <v>1680</v>
      </c>
      <c r="Q7" s="3734"/>
      <c r="R7" s="701" t="s">
        <v>14</v>
      </c>
      <c r="S7" s="702">
        <f t="shared" ref="S7:S15" si="0">F7</f>
        <v>100</v>
      </c>
      <c r="T7" s="701" t="s">
        <v>14</v>
      </c>
      <c r="U7" s="702">
        <f t="shared" ref="U7:U15" si="1">H7</f>
        <v>100</v>
      </c>
      <c r="V7" s="701" t="s">
        <v>14</v>
      </c>
      <c r="W7" s="702">
        <f t="shared" ref="W7:W15" si="2">J7</f>
        <v>100</v>
      </c>
      <c r="X7" s="703"/>
      <c r="Y7" s="3732" t="s">
        <v>1680</v>
      </c>
      <c r="Z7" s="3733"/>
      <c r="AA7" s="704">
        <f>D7/F7</f>
        <v>1</v>
      </c>
      <c r="AB7" s="704">
        <f>D7/H7</f>
        <v>1</v>
      </c>
      <c r="AC7" s="704">
        <f>D7/J7</f>
        <v>1</v>
      </c>
    </row>
    <row r="8" spans="1:29" s="108" customFormat="1" ht="15" thickBot="1">
      <c r="A8" s="362" t="s">
        <v>1681</v>
      </c>
      <c r="B8" s="363"/>
      <c r="C8" s="368" t="s">
        <v>3442</v>
      </c>
      <c r="D8" s="365">
        <v>100</v>
      </c>
      <c r="E8" s="368" t="s">
        <v>3442</v>
      </c>
      <c r="F8" s="367">
        <f>SUMIF(61:61,E8,62:62)-SUMIF(61:61,C8,62:62)+100</f>
        <v>100</v>
      </c>
      <c r="G8" s="368" t="s">
        <v>3443</v>
      </c>
      <c r="H8" s="365">
        <f>SUMIF(61:61,G8,62:62)-SUMIF(61:61,C8,62:62)+100</f>
        <v>105</v>
      </c>
      <c r="I8" s="368" t="s">
        <v>3443</v>
      </c>
      <c r="J8" s="365">
        <f>SUMIF(61:61,I8,62:62)-SUMIF(61:61,C8,62:62)+100</f>
        <v>105</v>
      </c>
      <c r="K8" s="560"/>
      <c r="L8" s="2717"/>
      <c r="M8" s="2718"/>
      <c r="N8" s="2718"/>
      <c r="O8" s="2718"/>
      <c r="P8" s="3732" t="s">
        <v>1683</v>
      </c>
      <c r="Q8" s="3733"/>
      <c r="R8" s="701" t="s">
        <v>14</v>
      </c>
      <c r="S8" s="702">
        <f t="shared" si="0"/>
        <v>100</v>
      </c>
      <c r="T8" s="701" t="s">
        <v>14</v>
      </c>
      <c r="U8" s="702">
        <f t="shared" si="1"/>
        <v>105</v>
      </c>
      <c r="V8" s="701" t="s">
        <v>14</v>
      </c>
      <c r="W8" s="702">
        <f t="shared" si="2"/>
        <v>105</v>
      </c>
      <c r="X8" s="703"/>
      <c r="Y8" s="3732" t="s">
        <v>1683</v>
      </c>
      <c r="Z8" s="3733"/>
      <c r="AA8" s="704">
        <f t="shared" ref="AA8:AA46" si="3">D8/F8</f>
        <v>1</v>
      </c>
      <c r="AB8" s="704">
        <f t="shared" ref="AB8:AB46" si="4">D8/H8</f>
        <v>0.95238095238095233</v>
      </c>
      <c r="AC8" s="704">
        <f t="shared" ref="AC8:AC46" si="5">D8/J8</f>
        <v>0.95238095238095233</v>
      </c>
    </row>
    <row r="9" spans="1:29" s="108" customFormat="1" ht="14.4">
      <c r="A9" s="369" t="s">
        <v>1684</v>
      </c>
      <c r="B9" s="63" t="s">
        <v>1685</v>
      </c>
      <c r="C9" s="3464" t="s">
        <v>3445</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v>1.89</v>
      </c>
      <c r="D11" s="127">
        <v>100</v>
      </c>
      <c r="E11" s="381">
        <v>2</v>
      </c>
      <c r="F11" s="376">
        <f>LOOKUP(E11,68:68,69:69)-LOOKUP(C11,68:68,69:69)+100</f>
        <v>100</v>
      </c>
      <c r="G11" s="380">
        <v>2</v>
      </c>
      <c r="H11" s="127">
        <f>LOOKUP(G11,68:68,69:69)-LOOKUP(C11,68:68,69:69)+100</f>
        <v>100</v>
      </c>
      <c r="I11" s="380">
        <v>2</v>
      </c>
      <c r="J11" s="127">
        <f>LOOKUP(I11,68:68,69:69)-LOOKUP(C11,68:68,69:69)+100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5.2">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t="s">
        <v>3399</v>
      </c>
      <c r="D16" s="399"/>
      <c r="E16" s="398" t="s">
        <v>3399</v>
      </c>
      <c r="F16" s="400"/>
      <c r="G16" s="398" t="s">
        <v>3399</v>
      </c>
      <c r="H16" s="401"/>
      <c r="I16" s="398" t="s">
        <v>3399</v>
      </c>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102</v>
      </c>
      <c r="K17" s="563">
        <v>2</v>
      </c>
      <c r="L17" s="2722"/>
      <c r="M17" s="2716"/>
      <c r="N17" s="2716"/>
      <c r="O17" s="2716"/>
      <c r="P17" s="3706"/>
      <c r="Q17" s="1352" t="str">
        <f>B17</f>
        <v>交通便捷度</v>
      </c>
      <c r="R17" s="705" t="s">
        <v>14</v>
      </c>
      <c r="S17" s="706">
        <f>F17</f>
        <v>100</v>
      </c>
      <c r="T17" s="705" t="s">
        <v>14</v>
      </c>
      <c r="U17" s="706">
        <f>H17</f>
        <v>100</v>
      </c>
      <c r="V17" s="705" t="s">
        <v>14</v>
      </c>
      <c r="W17" s="706">
        <f>J17</f>
        <v>102</v>
      </c>
      <c r="X17" s="1355"/>
      <c r="Y17" s="3699"/>
      <c r="Z17" s="1356" t="str">
        <f>Q17</f>
        <v>交通便捷度</v>
      </c>
      <c r="AA17" s="1353">
        <f t="shared" si="3"/>
        <v>1</v>
      </c>
      <c r="AB17" s="1353">
        <f t="shared" si="4"/>
        <v>1</v>
      </c>
      <c r="AC17" s="1353">
        <f t="shared" si="5"/>
        <v>0.98039215686274506</v>
      </c>
    </row>
    <row r="18" spans="1:29" ht="15">
      <c r="A18" s="379"/>
      <c r="B18" s="407"/>
      <c r="C18" s="1901" t="s">
        <v>3399</v>
      </c>
      <c r="D18" s="401"/>
      <c r="E18" s="1903" t="s">
        <v>3399</v>
      </c>
      <c r="F18" s="404"/>
      <c r="G18" s="1902" t="s">
        <v>3399</v>
      </c>
      <c r="H18" s="399"/>
      <c r="I18" s="1903" t="s">
        <v>3410</v>
      </c>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1</v>
      </c>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t="s">
        <v>3399</v>
      </c>
      <c r="D20" s="399"/>
      <c r="E20" s="1898" t="s">
        <v>3399</v>
      </c>
      <c r="F20" s="400"/>
      <c r="G20" s="1897" t="s">
        <v>3399</v>
      </c>
      <c r="H20" s="399"/>
      <c r="I20" s="1898" t="s">
        <v>3399</v>
      </c>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t="s">
        <v>3478</v>
      </c>
      <c r="D22" s="399"/>
      <c r="E22" s="398" t="str">
        <f>C22</f>
        <v>七通</v>
      </c>
      <c r="F22" s="400"/>
      <c r="G22" s="398" t="str">
        <f>C22</f>
        <v>七通</v>
      </c>
      <c r="H22" s="399"/>
      <c r="I22" s="398" t="str">
        <f>C22</f>
        <v>七通</v>
      </c>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41.4">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t="s">
        <v>3399</v>
      </c>
      <c r="D24" s="399"/>
      <c r="E24" s="1898" t="s">
        <v>3399</v>
      </c>
      <c r="F24" s="400"/>
      <c r="G24" s="1897" t="s">
        <v>3399</v>
      </c>
      <c r="H24" s="399"/>
      <c r="I24" s="1898" t="s">
        <v>3399</v>
      </c>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t="s">
        <v>3506</v>
      </c>
      <c r="D25" s="386">
        <v>100</v>
      </c>
      <c r="E25" s="565" t="s">
        <v>3506</v>
      </c>
      <c r="F25" s="412">
        <f>SUMIF(86:86,E25,87:87)-SUMIF(86:86,C25,87:87)+100</f>
        <v>100</v>
      </c>
      <c r="G25" s="565" t="s">
        <v>3506</v>
      </c>
      <c r="H25" s="386">
        <f>SUMIF(86:86,G25,87:87)-SUMIF(86:86,C25,87:87)+100</f>
        <v>100</v>
      </c>
      <c r="I25" s="565" t="s">
        <v>3507</v>
      </c>
      <c r="J25" s="386">
        <f>SUMIF(86:86,I25,87:87)-SUMIF(86:86,C25,87:87)+100</f>
        <v>102</v>
      </c>
      <c r="K25" s="561">
        <v>2</v>
      </c>
      <c r="L25" s="2722"/>
      <c r="M25" s="2716"/>
      <c r="N25" s="2716"/>
      <c r="O25" s="2716"/>
      <c r="P25" s="3706"/>
      <c r="Q25" s="1352" t="str">
        <f t="shared" ref="Q25:Q46" si="11">B25</f>
        <v>临街状况</v>
      </c>
      <c r="R25" s="705" t="s">
        <v>14</v>
      </c>
      <c r="S25" s="706">
        <f>F25</f>
        <v>100</v>
      </c>
      <c r="T25" s="705" t="s">
        <v>14</v>
      </c>
      <c r="U25" s="706">
        <f>H25</f>
        <v>100</v>
      </c>
      <c r="V25" s="705" t="s">
        <v>14</v>
      </c>
      <c r="W25" s="706">
        <f>J25</f>
        <v>102</v>
      </c>
      <c r="X25" s="1355"/>
      <c r="Y25" s="3699"/>
      <c r="Z25" s="1356" t="str">
        <f>Q25</f>
        <v>临街状况</v>
      </c>
      <c r="AA25" s="1353">
        <f t="shared" si="3"/>
        <v>1</v>
      </c>
      <c r="AB25" s="1353">
        <f t="shared" si="4"/>
        <v>1</v>
      </c>
      <c r="AC25" s="1353">
        <f t="shared" si="5"/>
        <v>0.98039215686274506</v>
      </c>
    </row>
    <row r="26" spans="1:29" ht="15">
      <c r="A26" s="379"/>
      <c r="B26" s="1133" t="s">
        <v>1781</v>
      </c>
      <c r="C26" s="3469" t="s">
        <v>3482</v>
      </c>
      <c r="D26" s="386">
        <v>100</v>
      </c>
      <c r="E26" s="3469" t="str">
        <f>C26</f>
        <v>较好</v>
      </c>
      <c r="F26" s="412">
        <f>SUMIF(88:88,E26,89:89)-SUMIF(88:88,C26,89:89)+100</f>
        <v>100</v>
      </c>
      <c r="G26" s="385" t="str">
        <f>C26</f>
        <v>较好</v>
      </c>
      <c r="H26" s="386">
        <f>SUMIF(88:88,G26,89:89)-SUMIF(88:88,C26,89:89)+100</f>
        <v>100</v>
      </c>
      <c r="I26" s="385" t="str">
        <f>C26</f>
        <v>较好</v>
      </c>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t="s">
        <v>3399</v>
      </c>
      <c r="D27" s="413">
        <v>100</v>
      </c>
      <c r="E27" s="1956" t="s">
        <v>3399</v>
      </c>
      <c r="F27" s="415">
        <f>SUMIF(90:90,E27,91:91)-SUMIF(90:90,C27,91:91)+100</f>
        <v>100</v>
      </c>
      <c r="G27" s="1956" t="s">
        <v>3399</v>
      </c>
      <c r="H27" s="413">
        <f>SUMIF(90:90,G27,91:91)-SUMIF(90:90,C27,91:91)+100</f>
        <v>100</v>
      </c>
      <c r="I27" s="1956" t="s">
        <v>3399</v>
      </c>
      <c r="J27" s="413">
        <f>SUMIF(90:90,I27,91:91)-SUMIF(90:90,C27,91:91)+100</f>
        <v>100</v>
      </c>
      <c r="K27" s="561">
        <v>2</v>
      </c>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t="s">
        <v>3461</v>
      </c>
      <c r="D32" s="418">
        <v>100</v>
      </c>
      <c r="E32" s="1910" t="s">
        <v>3461</v>
      </c>
      <c r="F32" s="412">
        <f>SUMIF(100:100,E32,101:101)-SUMIF(100:100,C32,101:101)+100</f>
        <v>100</v>
      </c>
      <c r="G32" s="1910" t="s">
        <v>3499</v>
      </c>
      <c r="H32" s="386">
        <f>SUMIF(100:100,G32,101:101)-SUMIF(100:100,C32,101:101)+100</f>
        <v>104</v>
      </c>
      <c r="I32" s="1910" t="s">
        <v>3475</v>
      </c>
      <c r="J32" s="418">
        <f>SUMIF(100:100,I32,101:101)-SUMIF(100:100,C32,101:101)+100</f>
        <v>102</v>
      </c>
      <c r="K32" s="561">
        <v>2</v>
      </c>
      <c r="L32" s="2722"/>
      <c r="M32" s="2716"/>
      <c r="N32" s="2716"/>
      <c r="O32" s="2716"/>
      <c r="P32" s="3700" t="s">
        <v>1696</v>
      </c>
      <c r="Q32" s="1352" t="str">
        <f t="shared" si="11"/>
        <v>商业类型</v>
      </c>
      <c r="R32" s="705" t="s">
        <v>14</v>
      </c>
      <c r="S32" s="706">
        <f t="shared" si="12"/>
        <v>100</v>
      </c>
      <c r="T32" s="705" t="s">
        <v>14</v>
      </c>
      <c r="U32" s="706">
        <f t="shared" si="13"/>
        <v>104</v>
      </c>
      <c r="V32" s="705" t="s">
        <v>14</v>
      </c>
      <c r="W32" s="706">
        <f t="shared" si="14"/>
        <v>102</v>
      </c>
      <c r="X32" s="1355"/>
      <c r="Y32" s="3703" t="s">
        <v>1696</v>
      </c>
      <c r="Z32" s="1356" t="str">
        <f t="shared" si="15"/>
        <v>商业类型</v>
      </c>
      <c r="AA32" s="1353">
        <f t="shared" si="3"/>
        <v>1</v>
      </c>
      <c r="AB32" s="1353">
        <f t="shared" si="4"/>
        <v>0.96153846153846156</v>
      </c>
      <c r="AC32" s="1353">
        <f t="shared" si="5"/>
        <v>0.98039215686274506</v>
      </c>
    </row>
    <row r="33" spans="1:29" s="422" customFormat="1" ht="15">
      <c r="A33" s="419"/>
      <c r="B33" s="375" t="s">
        <v>1697</v>
      </c>
      <c r="C33" s="420">
        <f>'数据-汇总表'!E8</f>
        <v>92.43</v>
      </c>
      <c r="D33" s="127">
        <v>100</v>
      </c>
      <c r="E33" s="381">
        <v>290</v>
      </c>
      <c r="F33" s="376">
        <f>LOOKUP(E33,103:103,104:104)-LOOKUP(C33,103:103,104:104)+100</f>
        <v>98</v>
      </c>
      <c r="G33" s="380">
        <v>248</v>
      </c>
      <c r="H33" s="127">
        <f>LOOKUP(G33,103:103,104:104)-LOOKUP(C33,103:103,104:104)+100</f>
        <v>98</v>
      </c>
      <c r="I33" s="380">
        <v>103</v>
      </c>
      <c r="J33" s="127">
        <f>LOOKUP(I33,103:103,104:104)-LOOKUP(C33,103:103,104:104)+100</f>
        <v>99</v>
      </c>
      <c r="K33" s="562"/>
      <c r="L33" s="2721"/>
      <c r="M33" s="2723"/>
      <c r="N33" s="2723"/>
      <c r="O33" s="2723"/>
      <c r="P33" s="3701"/>
      <c r="Q33" s="707" t="str">
        <f t="shared" si="11"/>
        <v>项目建筑规模</v>
      </c>
      <c r="R33" s="708" t="s">
        <v>14</v>
      </c>
      <c r="S33" s="709">
        <f t="shared" si="12"/>
        <v>98</v>
      </c>
      <c r="T33" s="708" t="s">
        <v>14</v>
      </c>
      <c r="U33" s="709">
        <f t="shared" si="13"/>
        <v>98</v>
      </c>
      <c r="V33" s="708" t="s">
        <v>14</v>
      </c>
      <c r="W33" s="709">
        <f t="shared" si="14"/>
        <v>99</v>
      </c>
      <c r="X33" s="710"/>
      <c r="Y33" s="3703"/>
      <c r="Z33" s="711" t="str">
        <f t="shared" si="15"/>
        <v>项目建筑规模</v>
      </c>
      <c r="AA33" s="1353">
        <f t="shared" si="3"/>
        <v>1.0204081632653061</v>
      </c>
      <c r="AB33" s="1353">
        <f t="shared" si="4"/>
        <v>1.0204081632653061</v>
      </c>
      <c r="AC33" s="1353">
        <f t="shared" si="5"/>
        <v>1.0101010101010102</v>
      </c>
    </row>
    <row r="34" spans="1:29" ht="15">
      <c r="A34" s="423"/>
      <c r="B34" s="375" t="s">
        <v>1698</v>
      </c>
      <c r="C34" s="1912" t="s">
        <v>3426</v>
      </c>
      <c r="D34" s="386">
        <v>100</v>
      </c>
      <c r="E34" s="1912" t="s">
        <v>3426</v>
      </c>
      <c r="F34" s="412">
        <f>SUMIF(105:105,E34,106:106)-SUMIF(105:105,C34,106:106)+100</f>
        <v>100</v>
      </c>
      <c r="G34" s="1912" t="s">
        <v>3426</v>
      </c>
      <c r="H34" s="386">
        <f>SUMIF(105:105,G34,106:106)-SUMIF(105:105,C34,106:106)+100</f>
        <v>100</v>
      </c>
      <c r="I34" s="1912" t="s">
        <v>3463</v>
      </c>
      <c r="J34" s="386">
        <f>SUMIF(105:105,I34,106:106)-SUMIF(105:105,C34,106:106)+100</f>
        <v>102</v>
      </c>
      <c r="K34" s="561">
        <v>2</v>
      </c>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102</v>
      </c>
      <c r="X34" s="1355"/>
      <c r="Y34" s="3703"/>
      <c r="Z34" s="1356" t="str">
        <f t="shared" si="15"/>
        <v>建筑结构</v>
      </c>
      <c r="AA34" s="1353">
        <f t="shared" si="3"/>
        <v>1</v>
      </c>
      <c r="AB34" s="1353">
        <f t="shared" si="4"/>
        <v>1</v>
      </c>
      <c r="AC34" s="1353">
        <f t="shared" si="5"/>
        <v>0.98039215686274506</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v>2</v>
      </c>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f>'数据-取费表'!N6</f>
        <v>0.64</v>
      </c>
      <c r="D36" s="386">
        <v>100</v>
      </c>
      <c r="E36" s="425">
        <v>0.64</v>
      </c>
      <c r="F36" s="412">
        <f>LOOKUP(E36,110:110,111:111)-LOOKUP(C36,110:110,111:111)+100</f>
        <v>100</v>
      </c>
      <c r="G36" s="425">
        <v>0.67</v>
      </c>
      <c r="H36" s="412">
        <f>LOOKUP(G36,110:110,111:111)-LOOKUP(C36,110:110,111:111)+100</f>
        <v>100</v>
      </c>
      <c r="I36" s="425">
        <v>0.88</v>
      </c>
      <c r="J36" s="386">
        <f>LOOKUP(I36,110:110,111:111)-LOOKUP(C36,110:110,111:111)+100</f>
        <v>102</v>
      </c>
      <c r="K36" s="561">
        <v>1</v>
      </c>
      <c r="L36" s="2722"/>
      <c r="M36" s="2716"/>
      <c r="N36" s="2716"/>
      <c r="O36" s="2716"/>
      <c r="P36" s="3701"/>
      <c r="Q36" s="1352" t="str">
        <f t="shared" si="11"/>
        <v>成新度</v>
      </c>
      <c r="R36" s="705" t="s">
        <v>14</v>
      </c>
      <c r="S36" s="706">
        <f t="shared" si="12"/>
        <v>100</v>
      </c>
      <c r="T36" s="705" t="s">
        <v>14</v>
      </c>
      <c r="U36" s="706">
        <f t="shared" si="13"/>
        <v>100</v>
      </c>
      <c r="V36" s="705" t="s">
        <v>14</v>
      </c>
      <c r="W36" s="706">
        <f t="shared" si="14"/>
        <v>102</v>
      </c>
      <c r="X36" s="1355"/>
      <c r="Y36" s="3703"/>
      <c r="Z36" s="1356" t="str">
        <f t="shared" si="15"/>
        <v>成新度</v>
      </c>
      <c r="AA36" s="1353">
        <f t="shared" si="3"/>
        <v>1</v>
      </c>
      <c r="AB36" s="1353">
        <f t="shared" si="4"/>
        <v>1</v>
      </c>
      <c r="AC36" s="1353">
        <f t="shared" si="5"/>
        <v>0.98039215686274506</v>
      </c>
    </row>
    <row r="37" spans="1:29" s="108" customFormat="1" ht="15">
      <c r="A37" s="424"/>
      <c r="B37" s="375" t="s">
        <v>1787</v>
      </c>
      <c r="C37" s="1906" t="s">
        <v>3477</v>
      </c>
      <c r="D37" s="127">
        <v>100</v>
      </c>
      <c r="E37" s="1906" t="s">
        <v>3477</v>
      </c>
      <c r="F37" s="412">
        <f>SUMIF(112:112,E37,113:113)-SUMIF(112:112,C37,113:113)+100</f>
        <v>100</v>
      </c>
      <c r="G37" s="1906" t="s">
        <v>3477</v>
      </c>
      <c r="H37" s="386">
        <f>SUMIF(112:112,G37,113:113)-SUMIF(112:112,C37,113:113)+100</f>
        <v>100</v>
      </c>
      <c r="I37" s="1906" t="s">
        <v>3478</v>
      </c>
      <c r="J37" s="386">
        <f>SUMIF(112:112,I37,113:113)-SUMIF(112:112,C37,113:113)+100</f>
        <v>102</v>
      </c>
      <c r="K37" s="561">
        <v>2</v>
      </c>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102</v>
      </c>
      <c r="X37" s="703"/>
      <c r="Y37" s="3703"/>
      <c r="Z37" s="52" t="str">
        <f t="shared" si="15"/>
        <v>市政基础设施</v>
      </c>
      <c r="AA37" s="704">
        <f t="shared" si="3"/>
        <v>1</v>
      </c>
      <c r="AB37" s="704">
        <f t="shared" si="4"/>
        <v>1</v>
      </c>
      <c r="AC37" s="704">
        <f t="shared" si="5"/>
        <v>0.98039215686274506</v>
      </c>
    </row>
    <row r="38" spans="1:29" ht="15">
      <c r="A38" s="423"/>
      <c r="B38" s="375" t="s">
        <v>1788</v>
      </c>
      <c r="C38" s="1906" t="s">
        <v>3479</v>
      </c>
      <c r="D38" s="386">
        <v>100</v>
      </c>
      <c r="E38" s="1906" t="s">
        <v>3479</v>
      </c>
      <c r="F38" s="412">
        <f>SUMIF(114:114,E38,115:115)-SUMIF(114:114,C38,115:115)+100</f>
        <v>100</v>
      </c>
      <c r="G38" s="1906" t="s">
        <v>3480</v>
      </c>
      <c r="H38" s="386">
        <f>SUMIF(114:114,G38,115:115)-SUMIF(114:114,C38,115:115)+100</f>
        <v>105</v>
      </c>
      <c r="I38" s="1906" t="s">
        <v>3480</v>
      </c>
      <c r="J38" s="386">
        <f>SUMIF(114:114,I38,115:115)-SUMIF(114:114,C38,115:115)+100</f>
        <v>105</v>
      </c>
      <c r="K38" s="561">
        <v>5</v>
      </c>
      <c r="L38" s="2722"/>
      <c r="M38" s="2716"/>
      <c r="N38" s="2716"/>
      <c r="O38" s="2716"/>
      <c r="P38" s="3701" t="s">
        <v>1696</v>
      </c>
      <c r="Q38" s="1352" t="str">
        <f t="shared" si="11"/>
        <v>业态</v>
      </c>
      <c r="R38" s="705" t="s">
        <v>14</v>
      </c>
      <c r="S38" s="706">
        <f t="shared" si="12"/>
        <v>100</v>
      </c>
      <c r="T38" s="705" t="s">
        <v>14</v>
      </c>
      <c r="U38" s="706">
        <f t="shared" si="13"/>
        <v>105</v>
      </c>
      <c r="V38" s="705" t="s">
        <v>14</v>
      </c>
      <c r="W38" s="706">
        <f t="shared" si="14"/>
        <v>105</v>
      </c>
      <c r="X38" s="1355"/>
      <c r="Y38" s="3703" t="s">
        <v>1696</v>
      </c>
      <c r="Z38" s="1356" t="str">
        <f t="shared" si="15"/>
        <v>业态</v>
      </c>
      <c r="AA38" s="1353">
        <f t="shared" si="3"/>
        <v>1</v>
      </c>
      <c r="AB38" s="1353">
        <f t="shared" si="4"/>
        <v>0.95238095238095233</v>
      </c>
      <c r="AC38" s="1353">
        <f t="shared" si="5"/>
        <v>0.95238095238095233</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t="s">
        <v>3481</v>
      </c>
      <c r="D42" s="386">
        <v>100</v>
      </c>
      <c r="E42" s="1906" t="s">
        <v>3481</v>
      </c>
      <c r="F42" s="412">
        <f>SUMIF(122:122,E42,123:123)-SUMIF(122:122,C42,123:123)+100</f>
        <v>100</v>
      </c>
      <c r="G42" s="1906" t="s">
        <v>3481</v>
      </c>
      <c r="H42" s="386">
        <f>SUMIF(122:122,G42,123:123)-SUMIF(122:122,C42,123:123)+100</f>
        <v>100</v>
      </c>
      <c r="I42" s="1906" t="s">
        <v>3505</v>
      </c>
      <c r="J42" s="386">
        <f>SUMIF(122:122,I42,123:123)-SUMIF(122:122,C42,123:123)+100</f>
        <v>98</v>
      </c>
      <c r="K42" s="561">
        <v>2</v>
      </c>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98</v>
      </c>
      <c r="X42" s="1355"/>
      <c r="Y42" s="3703"/>
      <c r="Z42" s="1356" t="str">
        <f t="shared" si="15"/>
        <v>内部装修</v>
      </c>
      <c r="AA42" s="1353">
        <f t="shared" si="3"/>
        <v>1</v>
      </c>
      <c r="AB42" s="1353">
        <f t="shared" si="4"/>
        <v>1</v>
      </c>
      <c r="AC42" s="1353">
        <f t="shared" si="5"/>
        <v>1.0204081632653061</v>
      </c>
    </row>
    <row r="43" spans="1:29" ht="28.8">
      <c r="A43" s="423"/>
      <c r="B43" s="375" t="s">
        <v>1707</v>
      </c>
      <c r="C43" s="1906" t="s">
        <v>3410</v>
      </c>
      <c r="D43" s="386">
        <v>100</v>
      </c>
      <c r="E43" s="1906" t="s">
        <v>3410</v>
      </c>
      <c r="F43" s="412">
        <f>SUMIF(124:124,E43,125:125)-SUMIF(124:124,C43,125:125)+100</f>
        <v>100</v>
      </c>
      <c r="G43" s="1906" t="s">
        <v>3410</v>
      </c>
      <c r="H43" s="386">
        <f>SUMIF(124:124,G43,125:125)-SUMIF(124:124,C43,125:125)+100</f>
        <v>100</v>
      </c>
      <c r="I43" s="1906" t="s">
        <v>3410</v>
      </c>
      <c r="J43" s="386">
        <f>SUMIF(124:124,I43,125:125)-SUMIF(124:124,C43,125:125)+100</f>
        <v>100</v>
      </c>
      <c r="K43" s="561">
        <v>2</v>
      </c>
      <c r="L43" s="2722"/>
      <c r="M43" s="3470" t="s">
        <v>3483</v>
      </c>
      <c r="N43" s="3470">
        <v>100</v>
      </c>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3471" t="s">
        <v>3484</v>
      </c>
      <c r="N44" s="3471">
        <v>50</v>
      </c>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3470"/>
      <c r="N45" s="3470"/>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3472" t="s">
        <v>3485</v>
      </c>
      <c r="N46" s="3470">
        <f>ROUND((N43+N44)/2/100,2)</f>
        <v>0.75</v>
      </c>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4.4">
      <c r="A47" s="430" t="s">
        <v>1708</v>
      </c>
      <c r="B47" s="431"/>
      <c r="C47" s="1154" t="s">
        <v>0</v>
      </c>
      <c r="D47" s="1155"/>
      <c r="E47" s="1156">
        <v>1.9</v>
      </c>
      <c r="F47" s="1157"/>
      <c r="G47" s="1158">
        <v>2.6</v>
      </c>
      <c r="H47" s="1159"/>
      <c r="I47" s="1156">
        <v>2.5</v>
      </c>
      <c r="J47" s="1159"/>
      <c r="K47" s="714"/>
      <c r="L47" s="2724"/>
      <c r="M47" s="3473"/>
      <c r="N47" s="3470">
        <f>C48*N46</f>
        <v>1.5750000000000002</v>
      </c>
      <c r="O47" s="2725"/>
      <c r="P47" s="3696" t="str">
        <f>A47</f>
        <v>成交单价（元/平方米）</v>
      </c>
      <c r="Q47" s="3696"/>
      <c r="R47" s="3727">
        <f>E47</f>
        <v>1.9</v>
      </c>
      <c r="S47" s="3727"/>
      <c r="T47" s="3727">
        <f>G47</f>
        <v>2.6</v>
      </c>
      <c r="U47" s="3727"/>
      <c r="V47" s="3727">
        <f>I47</f>
        <v>2.5</v>
      </c>
      <c r="W47" s="3727"/>
      <c r="X47" s="690"/>
      <c r="Y47" s="712"/>
      <c r="Z47" s="690"/>
      <c r="AA47" s="690"/>
      <c r="AB47" s="690"/>
      <c r="AC47" s="690"/>
    </row>
    <row r="48" spans="1:29" ht="15" thickBot="1">
      <c r="A48" s="437" t="s">
        <v>1793</v>
      </c>
      <c r="B48" s="438"/>
      <c r="C48" s="1160">
        <f>R49</f>
        <v>2.1</v>
      </c>
      <c r="D48" s="2317" t="s">
        <v>2138</v>
      </c>
      <c r="E48" s="1161">
        <f>R48</f>
        <v>1.9</v>
      </c>
      <c r="F48" s="2318"/>
      <c r="G48" s="1160">
        <f>T48</f>
        <v>2.2999999999999998</v>
      </c>
      <c r="H48" s="2318"/>
      <c r="I48" s="1161">
        <f>V48</f>
        <v>2.1</v>
      </c>
      <c r="J48" s="2318"/>
      <c r="K48" s="2320">
        <f>F48+H48+J48</f>
        <v>0</v>
      </c>
      <c r="L48" s="2724"/>
      <c r="M48" s="2725"/>
      <c r="N48" s="2716"/>
      <c r="O48" s="2725"/>
      <c r="P48" s="3696" t="str">
        <f>A48</f>
        <v>比较价值（元/平方米）</v>
      </c>
      <c r="Q48" s="3696"/>
      <c r="R48" s="3697">
        <f>IF(F1="售价",ROUND(PRODUCT(R47,AA7:AA46),0),ROUND(PRODUCT(R47,AA7:AA46),1))</f>
        <v>1.9</v>
      </c>
      <c r="S48" s="3697"/>
      <c r="T48" s="3697">
        <f>IF(F1="售价",ROUND(PRODUCT(T47,AB7:AB46),0),ROUND(PRODUCT(T47,AB7:AB46),1))</f>
        <v>2.2999999999999998</v>
      </c>
      <c r="U48" s="3697"/>
      <c r="V48" s="3697">
        <f>IF(F1="售价",ROUND(PRODUCT(V47,AC7:AC46),0),ROUND(PRODUCT(V47,AC7:AC46),1))</f>
        <v>2.1</v>
      </c>
      <c r="W48" s="3697"/>
      <c r="X48" s="690"/>
      <c r="Y48" s="690"/>
      <c r="Z48" s="690"/>
      <c r="AA48" s="690"/>
      <c r="AB48" s="690"/>
      <c r="AC48" s="690"/>
    </row>
    <row r="49" spans="1:29" ht="15" thickBot="1">
      <c r="A49" s="441" t="s">
        <v>1794</v>
      </c>
      <c r="B49" s="442"/>
      <c r="C49" s="1163">
        <f>R49</f>
        <v>2.1</v>
      </c>
      <c r="D49" s="1163"/>
      <c r="E49" s="1163"/>
      <c r="F49" s="1163"/>
      <c r="G49" s="1163"/>
      <c r="H49" s="1163"/>
      <c r="I49" s="1163"/>
      <c r="J49" s="1163"/>
      <c r="K49" s="715"/>
      <c r="L49" s="2724"/>
      <c r="M49" s="2725"/>
      <c r="N49" s="2716"/>
      <c r="O49" s="2725"/>
      <c r="P49" s="3693" t="str">
        <f>A49</f>
        <v>估价对象XX用房的比较价值（楼面单价，元/平方米）</v>
      </c>
      <c r="Q49" s="3694"/>
      <c r="R49" s="3695">
        <f>IF(F1="售价",ROUND(IF(D48="简单平均",AVERAGE(R48:V48),R48*F48+T48*H48+V48*J48),0),ROUND(IF(D48="简单平均",AVERAGE(R48:V48),R48*F48+T48*H48+V48*J48),1))</f>
        <v>2.1</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0.13043478260869579</v>
      </c>
      <c r="H52" s="449" t="str">
        <f>IF(OR(G52&gt;=0.3,G52&lt;=-0.3),"超过30%","")</f>
        <v/>
      </c>
      <c r="I52" s="448">
        <f>IF(I47&lt;I48,I48/I47-1,I47/I48-1)</f>
        <v>0.19047619047619047</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0.21052631578947367</v>
      </c>
      <c r="F53" s="449" t="str">
        <f>IF(OR(E53&gt;=0.2,E53&lt;=-0.2),"超过20%","")</f>
        <v>超过20%</v>
      </c>
      <c r="G53" s="448">
        <f>IF(G48&lt;I48,I48/G48-1,G48/I48-1)</f>
        <v>9.5238095238095122E-2</v>
      </c>
      <c r="H53" s="449" t="str">
        <f>IF(OR(G53&gt;=0.2,G53&lt;=-0.2),"超过20%","")</f>
        <v/>
      </c>
      <c r="I53" s="448">
        <f>IF(I48&lt;E48,E48/I48-1,I48/E48-1)</f>
        <v>0.10526315789473695</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0.36842105263157898</v>
      </c>
      <c r="F54" s="449" t="str">
        <f>IF(OR(E54&gt;=0.3,E54&lt;=-0.3),"超过30%","")</f>
        <v>超过30%</v>
      </c>
      <c r="G54" s="448">
        <f>IF(G47&lt;I47,I47/G47-1,G47/I47-1)</f>
        <v>4.0000000000000036E-2</v>
      </c>
      <c r="H54" s="449" t="str">
        <f>IF(OR(G54&gt;=0.3,G54&lt;=-0.3),"超过30%","")</f>
        <v/>
      </c>
      <c r="I54" s="448">
        <f>IF(I47&lt;E47,E47/I47-1,I47/E47-1)</f>
        <v>0.31578947368421062</v>
      </c>
      <c r="J54" s="449" t="str">
        <f>IF(OR(I54&gt;=0.3,I54&lt;=-0.3),"超过30%","")</f>
        <v>超过30%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v>100</v>
      </c>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3463" t="s">
        <v>3444</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v>0</v>
      </c>
      <c r="D68" s="498">
        <v>2</v>
      </c>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99</v>
      </c>
      <c r="E81" s="493">
        <f>D81-$K19</f>
        <v>98</v>
      </c>
      <c r="F81" s="493">
        <f>E81-$K19</f>
        <v>97</v>
      </c>
      <c r="G81" s="493">
        <f>F81-$K19</f>
        <v>96</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3465" t="s">
        <v>3446</v>
      </c>
      <c r="D86" s="3465" t="s">
        <v>3447</v>
      </c>
      <c r="E86" s="3465" t="s">
        <v>3448</v>
      </c>
      <c r="F86" s="3465" t="s">
        <v>3449</v>
      </c>
      <c r="G86" s="3465" t="s">
        <v>3450</v>
      </c>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 thickTop="1">
      <c r="A88" s="528"/>
      <c r="B88" s="487" t="str">
        <f>B26</f>
        <v>平面位置/可视性</v>
      </c>
      <c r="C88" s="3465" t="s">
        <v>3451</v>
      </c>
      <c r="D88" s="3465" t="s">
        <v>3452</v>
      </c>
      <c r="E88" s="3465" t="s">
        <v>3453</v>
      </c>
      <c r="F88" s="3466" t="s">
        <v>3454</v>
      </c>
      <c r="G88" s="3465" t="s">
        <v>3455</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 thickTop="1">
      <c r="A90" s="502"/>
      <c r="B90" s="487" t="str">
        <f>B27</f>
        <v>人流量</v>
      </c>
      <c r="C90" s="3465" t="s">
        <v>3456</v>
      </c>
      <c r="D90" s="3465" t="s">
        <v>3457</v>
      </c>
      <c r="E90" s="3465" t="s">
        <v>3458</v>
      </c>
      <c r="F90" s="3465" t="s">
        <v>3459</v>
      </c>
      <c r="G90" s="3465" t="s">
        <v>3460</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v>1</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3467" t="s">
        <v>3504</v>
      </c>
      <c r="D100" s="3467" t="s">
        <v>3475</v>
      </c>
      <c r="E100" s="3467" t="s">
        <v>3462</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0(含)-100</v>
      </c>
      <c r="D102" s="527" t="str">
        <f t="shared" ref="D102:L102" si="24">D103&amp;"(含)"&amp;"-"&amp;E103</f>
        <v>100(含)-200</v>
      </c>
      <c r="E102" s="527" t="str">
        <f t="shared" si="24"/>
        <v>200(含)-400</v>
      </c>
      <c r="F102" s="527" t="str">
        <f t="shared" si="24"/>
        <v>400(含)-600</v>
      </c>
      <c r="G102" s="527" t="str">
        <f t="shared" si="24"/>
        <v>600(含)-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600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v>100</v>
      </c>
      <c r="D104" s="485">
        <v>99</v>
      </c>
      <c r="E104" s="485">
        <v>98</v>
      </c>
      <c r="F104" s="485">
        <v>97</v>
      </c>
      <c r="G104" s="485">
        <v>96</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65" t="s">
        <v>3464</v>
      </c>
      <c r="D105" s="3465" t="s">
        <v>3465</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65" t="s">
        <v>3466</v>
      </c>
      <c r="D112" s="3465" t="s">
        <v>3467</v>
      </c>
      <c r="E112" s="3465" t="s">
        <v>3468</v>
      </c>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65" t="s">
        <v>3469</v>
      </c>
      <c r="D114" s="3465" t="s">
        <v>3470</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65" t="s">
        <v>3471</v>
      </c>
      <c r="D122" s="3465" t="s">
        <v>3472</v>
      </c>
      <c r="E122" s="3465" t="s">
        <v>3473</v>
      </c>
      <c r="F122" s="3468" t="s">
        <v>3474</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185.44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47" t="s">
        <v>1775</v>
      </c>
      <c r="Q4" s="3748"/>
      <c r="R4" s="3751" t="s">
        <v>1771</v>
      </c>
      <c r="S4" s="3752"/>
      <c r="T4" s="3751" t="s">
        <v>1772</v>
      </c>
      <c r="U4" s="3752"/>
      <c r="V4" s="3753" t="s">
        <v>1773</v>
      </c>
      <c r="W4" s="3753"/>
      <c r="X4" s="1958"/>
      <c r="Y4" s="3751" t="s">
        <v>1775</v>
      </c>
      <c r="Z4" s="3752"/>
      <c r="AA4" s="3755" t="s">
        <v>1771</v>
      </c>
      <c r="AB4" s="3755" t="s">
        <v>1772</v>
      </c>
      <c r="AC4" s="3744" t="s">
        <v>1773</v>
      </c>
    </row>
    <row r="5" spans="1:29">
      <c r="A5" s="358"/>
      <c r="B5" s="359"/>
      <c r="C5" s="3730" t="s">
        <v>1673</v>
      </c>
      <c r="D5" s="3731"/>
      <c r="E5" s="3737" t="s">
        <v>1674</v>
      </c>
      <c r="F5" s="3738"/>
      <c r="G5" s="3730" t="s">
        <v>1675</v>
      </c>
      <c r="H5" s="3731"/>
      <c r="I5" s="3730" t="s">
        <v>1676</v>
      </c>
      <c r="J5" s="3731"/>
      <c r="K5" s="559"/>
      <c r="L5" s="2715"/>
      <c r="M5" s="2716"/>
      <c r="N5" s="2716"/>
      <c r="O5" s="2716"/>
      <c r="P5" s="3749"/>
      <c r="Q5" s="3718"/>
      <c r="R5" s="3723"/>
      <c r="S5" s="3724"/>
      <c r="T5" s="3723"/>
      <c r="U5" s="3724"/>
      <c r="V5" s="3727"/>
      <c r="W5" s="3727"/>
      <c r="X5" s="1355"/>
      <c r="Y5" s="3723"/>
      <c r="Z5" s="3724"/>
      <c r="AA5" s="3709"/>
      <c r="AB5" s="3709"/>
      <c r="AC5" s="3745"/>
    </row>
    <row r="6" spans="1:29" ht="15" thickBot="1">
      <c r="A6" s="360"/>
      <c r="B6" s="361"/>
      <c r="C6" s="3728" t="s">
        <v>1677</v>
      </c>
      <c r="D6" s="3729"/>
      <c r="E6" s="3735" t="s">
        <v>1677</v>
      </c>
      <c r="F6" s="3736"/>
      <c r="G6" s="3728" t="s">
        <v>1677</v>
      </c>
      <c r="H6" s="3729"/>
      <c r="I6" s="3728" t="s">
        <v>1677</v>
      </c>
      <c r="J6" s="3729"/>
      <c r="K6" s="559" t="s">
        <v>1678</v>
      </c>
      <c r="L6" s="2715"/>
      <c r="M6" s="2716"/>
      <c r="N6" s="2716"/>
      <c r="O6" s="2716"/>
      <c r="P6" s="3750"/>
      <c r="Q6" s="3720"/>
      <c r="R6" s="3723"/>
      <c r="S6" s="3724"/>
      <c r="T6" s="3725"/>
      <c r="U6" s="3726"/>
      <c r="V6" s="3727"/>
      <c r="W6" s="3727"/>
      <c r="X6" s="1355"/>
      <c r="Y6" s="3725"/>
      <c r="Z6" s="3726"/>
      <c r="AA6" s="3710"/>
      <c r="AB6" s="3710"/>
      <c r="AC6" s="3746"/>
    </row>
    <row r="7" spans="1:29" s="108" customFormat="1" ht="15" thickBot="1">
      <c r="A7" s="362" t="s">
        <v>1679</v>
      </c>
      <c r="B7" s="363"/>
      <c r="C7" s="364">
        <f>'数据-取费表'!B2</f>
        <v>45427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7" t="str">
        <f>A48</f>
        <v>成交单价（元/平方米）</v>
      </c>
      <c r="Q48" s="3696"/>
      <c r="R48" s="3697">
        <f>E48</f>
        <v>0</v>
      </c>
      <c r="S48" s="3697"/>
      <c r="T48" s="3697">
        <f>G48</f>
        <v>0</v>
      </c>
      <c r="U48" s="3697"/>
      <c r="V48" s="3697">
        <f>I48</f>
        <v>0</v>
      </c>
      <c r="W48" s="369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受贵公司委托，我公司对北京市房山区良乡隆曦园2号楼-1层1-01,1层1-101房地产抵押价值进行了预评估。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估价对象为北京市房山区良乡隆曦园2号楼-1层1-01,1层1-101房地产，为所有。根据《国有土地使用证》[]，估价对象（分摊）出让国有建设用地使用权面积为0平方米，建筑面积为185.44平方米。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良乡隆曦园2号楼-1层1-01,1层1-101房地产,属开发建设的商业项目，该项目尚在开发建设中。根据《国有土地使用证》[]，估价对象（分摊）出让国有建设用地使用权面积为0平方米，规划建筑面积为185.44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山区良乡隆曦园2号楼-1层1-01,1层1-101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2024年5月15日（评估专业人员实地查勘之日）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15日，估价对象规划用途为商业，土地取得方式为出让，出让国有建设用地使用权剩余土地使用年限为29.55，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29.55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185.44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30" t="s">
        <v>1673</v>
      </c>
      <c r="D5" s="3731"/>
      <c r="E5" s="3737" t="s">
        <v>1674</v>
      </c>
      <c r="F5" s="3738"/>
      <c r="G5" s="3730" t="s">
        <v>1675</v>
      </c>
      <c r="H5" s="3731"/>
      <c r="I5" s="3730" t="s">
        <v>1676</v>
      </c>
      <c r="J5" s="3731"/>
      <c r="K5" s="559"/>
      <c r="L5" s="913"/>
      <c r="M5" s="914"/>
      <c r="N5" s="914"/>
      <c r="O5" s="914"/>
      <c r="P5" s="3717"/>
      <c r="Q5" s="3718"/>
      <c r="R5" s="3723"/>
      <c r="S5" s="3724"/>
      <c r="T5" s="3723"/>
      <c r="U5" s="3724"/>
      <c r="V5" s="3727"/>
      <c r="W5" s="3727"/>
      <c r="X5" s="1355"/>
      <c r="Y5" s="3723"/>
      <c r="Z5" s="3724"/>
      <c r="AA5" s="3709"/>
      <c r="AB5" s="3709"/>
      <c r="AC5" s="3709"/>
    </row>
    <row r="6" spans="1:29" ht="15" thickBot="1">
      <c r="A6" s="360"/>
      <c r="B6" s="361"/>
      <c r="C6" s="3728" t="s">
        <v>1677</v>
      </c>
      <c r="D6" s="3729"/>
      <c r="E6" s="3735" t="s">
        <v>1677</v>
      </c>
      <c r="F6" s="3736"/>
      <c r="G6" s="3728" t="s">
        <v>1677</v>
      </c>
      <c r="H6" s="3729"/>
      <c r="I6" s="3728"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45427</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30" ht="1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30" s="108" customFormat="1" ht="15" thickBot="1">
      <c r="A7" s="362" t="s">
        <v>1679</v>
      </c>
      <c r="B7" s="363"/>
      <c r="C7" s="364">
        <f>'数据-取费表'!B2</f>
        <v>45427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96"/>
      <c r="Q10" s="1343" t="str">
        <f t="shared" si="6"/>
        <v>土地使用年限（年）</v>
      </c>
      <c r="R10" s="701" t="s">
        <v>14</v>
      </c>
      <c r="S10" s="702">
        <f t="shared" si="0"/>
        <v>112</v>
      </c>
      <c r="T10" s="701" t="s">
        <v>14</v>
      </c>
      <c r="U10" s="702">
        <f t="shared" si="1"/>
        <v>112</v>
      </c>
      <c r="V10" s="701" t="s">
        <v>14</v>
      </c>
      <c r="W10" s="702">
        <f t="shared" si="2"/>
        <v>112</v>
      </c>
      <c r="X10" s="703"/>
      <c r="Y10" s="3571"/>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727">
        <f>E46</f>
        <v>0</v>
      </c>
      <c r="S46" s="3727"/>
      <c r="T46" s="3727">
        <f>G46</f>
        <v>0</v>
      </c>
      <c r="U46" s="3727"/>
      <c r="V46" s="3727">
        <f>I46</f>
        <v>0</v>
      </c>
      <c r="W46" s="372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92.43</v>
      </c>
      <c r="F56" s="886" t="e">
        <f t="shared" ref="F56:F64" si="15">ROUND(B56*E56/10000,0)</f>
        <v>#DIV/0!</v>
      </c>
      <c r="G56" s="3707"/>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92.43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61" t="s">
        <v>1919</v>
      </c>
      <c r="D6" s="3762"/>
      <c r="E6" s="3763" t="s">
        <v>1919</v>
      </c>
      <c r="F6" s="3764"/>
      <c r="G6" s="3761" t="s">
        <v>1919</v>
      </c>
      <c r="H6" s="3762"/>
      <c r="I6" s="3761" t="s">
        <v>1919</v>
      </c>
      <c r="J6" s="3762"/>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96"/>
      <c r="Q10" s="1343" t="str">
        <f t="shared" si="6"/>
        <v>土地使用年限（年）</v>
      </c>
      <c r="R10" s="701" t="s">
        <v>14</v>
      </c>
      <c r="S10" s="702">
        <f t="shared" si="0"/>
        <v>112</v>
      </c>
      <c r="T10" s="701" t="s">
        <v>14</v>
      </c>
      <c r="U10" s="702">
        <f t="shared" si="1"/>
        <v>112</v>
      </c>
      <c r="V10" s="701" t="s">
        <v>14</v>
      </c>
      <c r="W10" s="702">
        <f t="shared" si="2"/>
        <v>112</v>
      </c>
      <c r="X10" s="703"/>
      <c r="Y10" s="3571"/>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727">
        <f>E41</f>
        <v>0</v>
      </c>
      <c r="S41" s="3727"/>
      <c r="T41" s="3727">
        <f>G41</f>
        <v>0</v>
      </c>
      <c r="U41" s="3727"/>
      <c r="V41" s="3727">
        <f>I41</f>
        <v>0</v>
      </c>
      <c r="W41" s="372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1"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92.43</v>
      </c>
      <c r="F51" s="639" t="e">
        <f t="shared" ref="F51:F60" si="15">ROUND(B51*E51/10000,0)</f>
        <v>#DIV/0!</v>
      </c>
      <c r="G51" s="3707"/>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44</v>
      </c>
      <c r="C2" s="2145" t="s">
        <v>2074</v>
      </c>
      <c r="D2" s="2145" t="s">
        <v>2075</v>
      </c>
      <c r="E2" s="2612">
        <f ca="1">SUMIF(E6:E13,"&lt;&gt;#ref!",E6:E13)</f>
        <v>185.44</v>
      </c>
      <c r="F2" s="2793"/>
      <c r="G2" s="2793"/>
      <c r="H2" s="2793"/>
      <c r="I2" s="2793"/>
      <c r="J2" s="2793"/>
      <c r="K2" s="2793"/>
      <c r="L2" s="2793"/>
      <c r="M2" s="2793"/>
      <c r="N2" s="2793"/>
      <c r="O2" s="2793"/>
      <c r="P2" s="2793"/>
    </row>
    <row r="3" spans="1:16" ht="15.6">
      <c r="A3" s="2145" t="s">
        <v>2076</v>
      </c>
      <c r="B3" s="2602">
        <f ca="1">ROUND(B2*10000/E2,0)</f>
        <v>2373</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44</v>
      </c>
      <c r="C6" s="2145" t="s">
        <v>2074</v>
      </c>
      <c r="D6" s="2793"/>
      <c r="E6" s="2612">
        <f ca="1">SUMIF(INDIRECT("'"&amp;A6&amp;"'"&amp;"!C:C"),"建筑面积",INDIRECT("'"&amp;A6&amp;"'"&amp;"!D:D"))</f>
        <v>185.44</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9" zoomScaleNormal="80" zoomScaleSheetLayoutView="100" workbookViewId="0">
      <selection activeCell="C6" sqref="C6"/>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185.44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44</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11889</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2373</v>
      </c>
      <c r="C3" s="1999" t="s">
        <v>1941</v>
      </c>
      <c r="D3" s="2000" t="s">
        <v>1942</v>
      </c>
      <c r="E3" s="3420" t="s">
        <v>2443</v>
      </c>
      <c r="F3" s="2004" t="s">
        <v>3395</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9371</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7920</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8424</v>
      </c>
      <c r="D5" s="1339">
        <f>ROUND(C6*C17+C20,0)</f>
        <v>8424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6985</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6713</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t="e">
        <f>G3</f>
        <v>#DIV/0!</v>
      </c>
      <c r="AA7" s="1216"/>
      <c r="AB7" s="1216"/>
      <c r="AC7" s="1217"/>
      <c r="AD7" s="1218"/>
      <c r="AE7" s="1218"/>
      <c r="AF7" s="1218"/>
      <c r="AG7" s="1218"/>
      <c r="AH7" s="1218"/>
      <c r="AI7" s="1218"/>
      <c r="AJ7" s="1219"/>
    </row>
    <row r="8" spans="1:36" ht="26.4">
      <c r="A8" s="3299"/>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2" t="s">
        <v>3258</v>
      </c>
      <c r="B20" s="167" t="s">
        <v>1994</v>
      </c>
      <c r="C20" s="3325">
        <f>ROUND(IF(F21="与级别开发程度一致",0,(G21-E21)/C21),0)</f>
        <v>-16</v>
      </c>
      <c r="D20" s="3341" t="s">
        <v>1998</v>
      </c>
      <c r="E20" s="3342"/>
      <c r="F20" s="3788" t="s">
        <v>1995</v>
      </c>
      <c r="G20" s="3789"/>
      <c r="H20" s="3326" t="s">
        <v>3402</v>
      </c>
      <c r="I20" s="3326" t="s">
        <v>3403</v>
      </c>
      <c r="J20" s="3327" t="s">
        <v>3404</v>
      </c>
      <c r="K20" s="2047" t="s">
        <v>3405</v>
      </c>
      <c r="L20" s="2047" t="s">
        <v>3406</v>
      </c>
      <c r="M20" s="2047" t="s">
        <v>3407</v>
      </c>
      <c r="N20" s="2047"/>
      <c r="O20" s="2048" t="s">
        <v>3408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3491</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45427</v>
      </c>
      <c r="H23" s="3343" t="s">
        <v>3259</v>
      </c>
      <c r="I23" s="3344" t="str">
        <f>IF(H23="季度增幅（自定义）",SUMIF(N25:N28,E2,O25:O28),"")</f>
        <v/>
      </c>
      <c r="J23" s="3446" t="s">
        <v>3430</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0.9002</v>
      </c>
      <c r="D24" s="2060" t="s">
        <v>2007</v>
      </c>
      <c r="E24" s="1335">
        <f>存贷款利率!E24/100</f>
        <v>4.3499999999999997E-2</v>
      </c>
      <c r="F24" s="2060" t="s">
        <v>1999</v>
      </c>
      <c r="G24" s="768">
        <f>SUMIF(M30:Q30,E2,M33:Q33)</f>
        <v>5.5E-2</v>
      </c>
      <c r="H24" s="2060" t="s">
        <v>2008</v>
      </c>
      <c r="I24" s="769">
        <f>SUMIF('数据-取费表'!C6:C15,E2,'数据-取费表'!F6:F15)/COUNTIF('数据-取费表'!C6:C15,E2)</f>
        <v>29.55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3401</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3260</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3261</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44</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11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11889</v>
      </c>
      <c r="D33" s="2098">
        <f>'数据-汇总表'!F19</f>
        <v>92.43</v>
      </c>
      <c r="E33" s="773">
        <f>ROUND(C33*D33/10000,0)</f>
        <v>110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6"/>
      <c r="B37" s="2113" t="s">
        <v>2036</v>
      </c>
      <c r="C37" s="175">
        <f>ROUND(D5*C22*C23*C24*C28*F37,0)</f>
        <v>4750</v>
      </c>
      <c r="D37" s="2098">
        <f>'数据-汇总表'!G19</f>
        <v>93.01</v>
      </c>
      <c r="E37" s="171">
        <f>ROUND(C37*D37/10000,0)</f>
        <v>44</v>
      </c>
      <c r="F37" s="171">
        <f>SUMIF(修正!A57:A68,G2,修正!B57:B68)</f>
        <v>0.6</v>
      </c>
      <c r="G37" s="171">
        <f>ROUND(IF(E2="工业",C37*$M$42,C37*$M$41),0)</f>
        <v>1188</v>
      </c>
      <c r="H37" s="171">
        <f>D37</f>
        <v>93.01</v>
      </c>
      <c r="I37" s="171">
        <f>ROUND(G37*H37/10000,0)</f>
        <v>11</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2375</v>
      </c>
      <c r="D38" s="2098"/>
      <c r="E38" s="171">
        <f t="shared" ref="E38:E42" si="4">ROUND(C38*D38/10000,0)</f>
        <v>0</v>
      </c>
      <c r="F38" s="171">
        <f>SUMIF(修正!A57:A68,G2,修正!C57:C68)</f>
        <v>0.3</v>
      </c>
      <c r="G38" s="171">
        <f>ROUND(IF(E2="工业",C38*$M$42,C38*$M$41),0)</f>
        <v>594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7"/>
      <c r="B39" s="2041" t="s">
        <v>3262</v>
      </c>
      <c r="C39" s="175">
        <f>ROUND(D5*C22*C23*C24*C28*F39,0)</f>
        <v>1979</v>
      </c>
      <c r="D39" s="2098"/>
      <c r="E39" s="171">
        <f t="shared" si="4"/>
        <v>0</v>
      </c>
      <c r="F39" s="171">
        <f>SUMIF(修正!A57:A68,G2,修正!D57:D68)</f>
        <v>0.25</v>
      </c>
      <c r="G39" s="171">
        <f>ROUND(IF(E2="工业",C39*$M$42,C39*$M$41),0)</f>
        <v>495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1979</v>
      </c>
      <c r="D40" s="2098"/>
      <c r="E40" s="171">
        <f t="shared" si="4"/>
        <v>0</v>
      </c>
      <c r="F40" s="175">
        <f>SUMIF(修正!A57:A68,G2,修正!E57:E68)</f>
        <v>0.25</v>
      </c>
      <c r="G40" s="171">
        <f>ROUND(IF(E2="工业",C40*$M$42,C40*$M$41),0)</f>
        <v>495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t="s">
        <v>3399</v>
      </c>
      <c r="D50" s="1065">
        <f t="shared" ref="D50:D58" si="7">SUMIF($J$49:$N$49,C50,J50:N50)</f>
        <v>0</v>
      </c>
      <c r="E50" s="744">
        <f>ROUND(SUM(D50:D58),4)</f>
        <v>0</v>
      </c>
      <c r="F50" s="1814">
        <f>IF(E2="商业",SUMIF(L1:L12,G2,N1:N12),"——")</f>
        <v>0.13</v>
      </c>
      <c r="G50" s="1063">
        <f t="shared" ref="G50:G58" si="8">H50</f>
        <v>1.95E-2</v>
      </c>
      <c r="H50" s="1066">
        <f t="shared" ref="H50:H58" si="9">IFERROR(ROUNDDOWN($F$50*I50/2,4),"——")</f>
        <v>1.95E-2</v>
      </c>
      <c r="I50" s="3367">
        <v>0.3</v>
      </c>
      <c r="J50" s="1064">
        <f t="shared" ref="J50:J58" si="10">K50+$G50</f>
        <v>3.9E-2</v>
      </c>
      <c r="K50" s="1064">
        <f t="shared" ref="K50:K58" si="11">$L50+$G50</f>
        <v>1.95E-2</v>
      </c>
      <c r="L50" s="1064">
        <v>0</v>
      </c>
      <c r="M50" s="1064">
        <f t="shared" ref="M50:N58" si="12">L50-$G50</f>
        <v>-1.95E-2</v>
      </c>
      <c r="N50" s="1064">
        <f t="shared" si="12"/>
        <v>-3.9E-2</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t="s">
        <v>3399</v>
      </c>
      <c r="D51" s="1065">
        <f t="shared" si="7"/>
        <v>0</v>
      </c>
      <c r="E51" s="745"/>
      <c r="F51" s="1814"/>
      <c r="G51" s="1063">
        <f t="shared" si="8"/>
        <v>1.43E-2</v>
      </c>
      <c r="H51" s="1066">
        <f t="shared" si="9"/>
        <v>1.43E-2</v>
      </c>
      <c r="I51" s="3367">
        <v>0.22</v>
      </c>
      <c r="J51" s="1064">
        <f t="shared" si="10"/>
        <v>2.86E-2</v>
      </c>
      <c r="K51" s="1064">
        <f t="shared" si="11"/>
        <v>1.43E-2</v>
      </c>
      <c r="L51" s="1064">
        <v>0</v>
      </c>
      <c r="M51" s="1064">
        <f t="shared" si="12"/>
        <v>-1.43E-2</v>
      </c>
      <c r="N51" s="1064">
        <f t="shared" si="12"/>
        <v>-2.86E-2</v>
      </c>
      <c r="AA51" s="1120"/>
      <c r="AB51" s="1120"/>
      <c r="AC51" s="1120"/>
      <c r="AD51" s="1120"/>
      <c r="AE51" s="1120"/>
      <c r="AF51" s="1120"/>
      <c r="AG51" s="1120"/>
      <c r="AH51" s="1120"/>
      <c r="AI51" s="1120"/>
      <c r="AJ51" s="1120"/>
      <c r="AK51" s="1120"/>
    </row>
    <row r="52" spans="1:37" s="1119" customFormat="1" ht="48">
      <c r="A52" s="3369" t="s">
        <v>3272</v>
      </c>
      <c r="B52" s="2134">
        <f>估价对象房地状况!C19</f>
        <v>0</v>
      </c>
      <c r="C52" s="2044" t="s">
        <v>3399</v>
      </c>
      <c r="D52" s="1065">
        <f t="shared" si="7"/>
        <v>0</v>
      </c>
      <c r="E52" s="745"/>
      <c r="F52" s="1814"/>
      <c r="G52" s="1063">
        <f t="shared" si="8"/>
        <v>7.7999999999999996E-3</v>
      </c>
      <c r="H52" s="1066">
        <f t="shared" si="9"/>
        <v>7.7999999999999996E-3</v>
      </c>
      <c r="I52" s="3367">
        <v>0.12</v>
      </c>
      <c r="J52" s="1064">
        <f t="shared" si="10"/>
        <v>1.5599999999999999E-2</v>
      </c>
      <c r="K52" s="1064">
        <f t="shared" si="11"/>
        <v>7.7999999999999996E-3</v>
      </c>
      <c r="L52" s="1064">
        <v>0</v>
      </c>
      <c r="M52" s="1064">
        <f t="shared" si="12"/>
        <v>-7.7999999999999996E-3</v>
      </c>
      <c r="N52" s="1064">
        <f t="shared" si="12"/>
        <v>-1.5599999999999999E-2</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3399</v>
      </c>
      <c r="D53" s="1065">
        <f t="shared" si="7"/>
        <v>0</v>
      </c>
      <c r="E53" s="745"/>
      <c r="F53" s="1814"/>
      <c r="G53" s="1063">
        <f t="shared" si="8"/>
        <v>3.2000000000000002E-3</v>
      </c>
      <c r="H53" s="1066">
        <f t="shared" si="9"/>
        <v>3.2000000000000002E-3</v>
      </c>
      <c r="I53" s="3367">
        <v>0.05</v>
      </c>
      <c r="J53" s="1064">
        <f t="shared" si="10"/>
        <v>6.4000000000000003E-3</v>
      </c>
      <c r="K53" s="1064">
        <f t="shared" si="11"/>
        <v>3.2000000000000002E-3</v>
      </c>
      <c r="L53" s="1064">
        <v>0</v>
      </c>
      <c r="M53" s="1064">
        <f t="shared" si="12"/>
        <v>-3.2000000000000002E-3</v>
      </c>
      <c r="N53" s="1064">
        <f t="shared" si="12"/>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-5.1999999999999998E-3</v>
      </c>
      <c r="E54" s="745"/>
      <c r="F54" s="1814"/>
      <c r="G54" s="1063">
        <f t="shared" si="8"/>
        <v>5.1999999999999998E-3</v>
      </c>
      <c r="H54" s="1066">
        <f t="shared" si="9"/>
        <v>5.1999999999999998E-3</v>
      </c>
      <c r="I54" s="3367">
        <v>0.08</v>
      </c>
      <c r="J54" s="1064">
        <f t="shared" si="10"/>
        <v>1.04E-2</v>
      </c>
      <c r="K54" s="1064">
        <f t="shared" si="11"/>
        <v>5.1999999999999998E-3</v>
      </c>
      <c r="L54" s="1064">
        <v>0</v>
      </c>
      <c r="M54" s="1064">
        <f t="shared" si="12"/>
        <v>-5.1999999999999998E-3</v>
      </c>
      <c r="N54" s="1064">
        <f t="shared" si="12"/>
        <v>-1.04E-2</v>
      </c>
      <c r="AA54" s="1120"/>
      <c r="AB54" s="1120"/>
      <c r="AC54" s="1120"/>
      <c r="AD54" s="1120"/>
      <c r="AE54" s="1120"/>
      <c r="AF54" s="1120"/>
      <c r="AG54" s="1120"/>
      <c r="AH54" s="1120"/>
      <c r="AI54" s="1120"/>
      <c r="AJ54" s="1120"/>
      <c r="AK54" s="1120"/>
    </row>
    <row r="55" spans="1:37" s="1119" customFormat="1" ht="36">
      <c r="A55" s="2130" t="s">
        <v>2057</v>
      </c>
      <c r="B55" s="2136" t="s">
        <v>2058</v>
      </c>
      <c r="C55" s="2044" t="s">
        <v>3399</v>
      </c>
      <c r="D55" s="1065">
        <f t="shared" si="7"/>
        <v>0</v>
      </c>
      <c r="E55" s="745"/>
      <c r="F55" s="1814"/>
      <c r="G55" s="1063">
        <f t="shared" si="8"/>
        <v>3.2000000000000002E-3</v>
      </c>
      <c r="H55" s="1066">
        <f t="shared" si="9"/>
        <v>3.2000000000000002E-3</v>
      </c>
      <c r="I55" s="3367">
        <v>0.05</v>
      </c>
      <c r="J55" s="1064">
        <f t="shared" si="10"/>
        <v>6.4000000000000003E-3</v>
      </c>
      <c r="K55" s="1064">
        <f t="shared" si="11"/>
        <v>3.2000000000000002E-3</v>
      </c>
      <c r="L55" s="1064">
        <v>0</v>
      </c>
      <c r="M55" s="1064">
        <f t="shared" si="12"/>
        <v>-3.2000000000000002E-3</v>
      </c>
      <c r="N55" s="1064">
        <f t="shared" si="12"/>
        <v>-6.4000000000000003E-3</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t="s">
        <v>3399</v>
      </c>
      <c r="D56" s="1065">
        <f t="shared" si="7"/>
        <v>0</v>
      </c>
      <c r="E56" s="745"/>
      <c r="F56" s="1814"/>
      <c r="G56" s="1063">
        <f t="shared" si="8"/>
        <v>3.2000000000000002E-3</v>
      </c>
      <c r="H56" s="1066">
        <f t="shared" si="9"/>
        <v>3.2000000000000002E-3</v>
      </c>
      <c r="I56" s="3367">
        <v>0.05</v>
      </c>
      <c r="J56" s="1064">
        <f t="shared" si="10"/>
        <v>6.4000000000000003E-3</v>
      </c>
      <c r="K56" s="1064">
        <f t="shared" si="11"/>
        <v>3.2000000000000002E-3</v>
      </c>
      <c r="L56" s="1064">
        <v>0</v>
      </c>
      <c r="M56" s="1064">
        <f t="shared" si="12"/>
        <v>-3.2000000000000002E-3</v>
      </c>
      <c r="N56" s="1064">
        <f t="shared" si="12"/>
        <v>-6.4000000000000003E-3</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t="s">
        <v>3410</v>
      </c>
      <c r="D57" s="1065">
        <f t="shared" si="7"/>
        <v>5.1999999999999998E-3</v>
      </c>
      <c r="E57" s="745"/>
      <c r="F57" s="1814"/>
      <c r="G57" s="1063">
        <f t="shared" si="8"/>
        <v>5.1999999999999998E-3</v>
      </c>
      <c r="H57" s="1066">
        <f t="shared" si="9"/>
        <v>5.1999999999999998E-3</v>
      </c>
      <c r="I57" s="3367">
        <v>0.08</v>
      </c>
      <c r="J57" s="1064">
        <f t="shared" si="10"/>
        <v>1.04E-2</v>
      </c>
      <c r="K57" s="1064">
        <f t="shared" si="11"/>
        <v>5.1999999999999998E-3</v>
      </c>
      <c r="L57" s="1064">
        <v>0</v>
      </c>
      <c r="M57" s="1064">
        <f t="shared" si="12"/>
        <v>-5.1999999999999998E-3</v>
      </c>
      <c r="N57" s="1064">
        <f t="shared" si="12"/>
        <v>-1.04E-2</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t="s">
        <v>3399</v>
      </c>
      <c r="D58" s="1065">
        <f t="shared" si="7"/>
        <v>0</v>
      </c>
      <c r="E58" s="746"/>
      <c r="F58" s="1814"/>
      <c r="G58" s="1063">
        <f t="shared" si="8"/>
        <v>3.2000000000000002E-3</v>
      </c>
      <c r="H58" s="1066">
        <f t="shared" si="9"/>
        <v>3.2000000000000002E-3</v>
      </c>
      <c r="I58" s="3368">
        <v>0.05</v>
      </c>
      <c r="J58" s="1064">
        <f t="shared" si="10"/>
        <v>6.4000000000000003E-3</v>
      </c>
      <c r="K58" s="1064">
        <f t="shared" si="11"/>
        <v>3.2000000000000002E-3</v>
      </c>
      <c r="L58" s="1064">
        <v>0</v>
      </c>
      <c r="M58" s="1064">
        <f t="shared" si="12"/>
        <v>-3.2000000000000002E-3</v>
      </c>
      <c r="N58" s="1064">
        <f t="shared" si="12"/>
        <v>-6.4000000000000003E-3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48">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48">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6.4">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36">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36.6"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48">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3.8">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6.4">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6.4">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36">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40.200000000000003"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3.8">
      <c r="A91" s="3377" t="s">
        <v>2616</v>
      </c>
      <c r="B91" s="3378">
        <f>1+E93</f>
        <v>1</v>
      </c>
      <c r="C91" s="3371"/>
      <c r="D91" s="3372"/>
      <c r="E91" s="1814"/>
      <c r="F91" s="1814"/>
      <c r="G91" s="3373"/>
      <c r="H91" s="3374"/>
      <c r="I91" s="3375"/>
      <c r="J91" s="3376"/>
      <c r="K91" s="3376"/>
      <c r="L91" s="3376"/>
      <c r="M91" s="3376"/>
      <c r="N91" s="3376"/>
    </row>
    <row r="92" spans="1:37" ht="25.2">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4" t="s">
        <v>3297</v>
      </c>
      <c r="B103" s="3784"/>
      <c r="C103" s="3784"/>
      <c r="D103" s="3784"/>
      <c r="E103" s="3784"/>
      <c r="F103" s="3784"/>
      <c r="G103" s="3784"/>
      <c r="H103" s="3784"/>
      <c r="I103" s="3784"/>
      <c r="J103" s="3784"/>
      <c r="K103" s="3390"/>
      <c r="L103" s="3390"/>
      <c r="M103" s="3390"/>
      <c r="N103" s="3390"/>
    </row>
    <row r="104" spans="1:14">
      <c r="A104" s="3785" t="s">
        <v>3298</v>
      </c>
      <c r="B104" s="3785" t="s">
        <v>3299</v>
      </c>
      <c r="C104" s="3391" t="s">
        <v>3300</v>
      </c>
      <c r="D104" s="3392"/>
      <c r="E104" s="3392"/>
      <c r="F104" s="3392"/>
      <c r="G104" s="3392"/>
      <c r="H104" s="3392"/>
      <c r="I104" s="3392"/>
      <c r="J104" s="3393"/>
      <c r="K104" s="3394"/>
      <c r="L104" s="3394"/>
      <c r="M104" s="3394"/>
      <c r="N104" s="3394"/>
    </row>
    <row r="105" spans="1:14">
      <c r="A105" s="3785"/>
      <c r="B105" s="3785"/>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71"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3271</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73"/>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74" t="s">
        <v>3314</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3315</v>
      </c>
      <c r="B116" s="3416" t="e">
        <f>G3</f>
        <v>#DIV/0!</v>
      </c>
      <c r="C116" s="3400" t="s">
        <v>3316</v>
      </c>
      <c r="D116" s="3401" t="e">
        <f>SUMPRODUCT((A118:A122=F116)*(B117:M117=H116)*B118:M122)</f>
        <v>#DIV/0!</v>
      </c>
      <c r="E116" s="2000" t="s">
        <v>3317</v>
      </c>
      <c r="F116" s="3402" t="str">
        <f>E2</f>
        <v>商业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6">I118</f>
        <v>#DIV/0!</v>
      </c>
      <c r="K118" s="3388" t="e">
        <f t="shared" si="36"/>
        <v>#DIV/0!</v>
      </c>
      <c r="L118" s="3388" t="e">
        <f t="shared" si="36"/>
        <v>#DIV/0!</v>
      </c>
      <c r="M118" s="3411" t="e">
        <f t="shared" si="36"/>
        <v>#DIV/0!</v>
      </c>
      <c r="N118" s="3398"/>
    </row>
    <row r="119" spans="1:14">
      <c r="A119" s="3410" t="s">
        <v>3332</v>
      </c>
      <c r="B119" s="3388" t="e">
        <f>ROUND(0.993-0.0112*B116,4)</f>
        <v>#DIV/0!</v>
      </c>
      <c r="C119" s="3388" t="e">
        <f>B119</f>
        <v>#DIV/0!</v>
      </c>
      <c r="D119" s="3388" t="e">
        <f>ROUND(0.9415-0.0142*B116,4)</f>
        <v>#DIV/0!</v>
      </c>
      <c r="E119" s="3388" t="e">
        <f t="shared" ref="E119:H120" si="37">D119</f>
        <v>#DIV/0!</v>
      </c>
      <c r="F119" s="3388" t="e">
        <f t="shared" si="37"/>
        <v>#DIV/0!</v>
      </c>
      <c r="G119" s="3388" t="e">
        <f t="shared" si="37"/>
        <v>#DIV/0!</v>
      </c>
      <c r="H119" s="3388" t="e">
        <f t="shared" si="37"/>
        <v>#DIV/0!</v>
      </c>
      <c r="I119" s="3388" t="e">
        <f>ROUND(0.838-0.0182*B116,4)</f>
        <v>#DIV/0!</v>
      </c>
      <c r="J119" s="3388" t="e">
        <f t="shared" si="36"/>
        <v>#DIV/0!</v>
      </c>
      <c r="K119" s="3388" t="e">
        <f t="shared" si="36"/>
        <v>#DIV/0!</v>
      </c>
      <c r="L119" s="3388" t="e">
        <f t="shared" si="36"/>
        <v>#DIV/0!</v>
      </c>
      <c r="M119" s="3411" t="e">
        <f t="shared" si="36"/>
        <v>#DIV/0!</v>
      </c>
      <c r="N119" s="3398"/>
    </row>
    <row r="120" spans="1:14">
      <c r="A120" s="3410" t="s">
        <v>3333</v>
      </c>
      <c r="B120" s="3388" t="e">
        <f>ROUND(0.9448-0.0115*B116,4)</f>
        <v>#DIV/0!</v>
      </c>
      <c r="C120" s="3388" t="e">
        <f>B120</f>
        <v>#DIV/0!</v>
      </c>
      <c r="D120" s="3388" t="e">
        <f>ROUND(0.937-0.0145*B116,4)</f>
        <v>#DIV/0!</v>
      </c>
      <c r="E120" s="3388" t="e">
        <f t="shared" si="37"/>
        <v>#DIV/0!</v>
      </c>
      <c r="F120" s="3388" t="e">
        <f t="shared" si="37"/>
        <v>#DIV/0!</v>
      </c>
      <c r="G120" s="3388" t="e">
        <f t="shared" si="37"/>
        <v>#DIV/0!</v>
      </c>
      <c r="H120" s="3388" t="e">
        <f t="shared" si="37"/>
        <v>#DIV/0!</v>
      </c>
      <c r="I120" s="3388" t="e">
        <f>ROUND(0.7965-0.0185*B116,4)</f>
        <v>#DIV/0!</v>
      </c>
      <c r="J120" s="3388" t="e">
        <f t="shared" si="36"/>
        <v>#DIV/0!</v>
      </c>
      <c r="K120" s="3388" t="e">
        <f t="shared" si="36"/>
        <v>#DIV/0!</v>
      </c>
      <c r="L120" s="3388" t="e">
        <f t="shared" si="36"/>
        <v>#DIV/0!</v>
      </c>
      <c r="M120" s="3411" t="e">
        <f t="shared" si="36"/>
        <v>#DIV/0!</v>
      </c>
      <c r="N120" s="3398"/>
    </row>
    <row r="121" spans="1:14" ht="13.8" thickBot="1">
      <c r="A121" s="3412" t="s">
        <v>3334</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6"/>
        <v>#DIV/0!</v>
      </c>
      <c r="K121" s="3413" t="e">
        <f t="shared" si="36"/>
        <v>#DIV/0!</v>
      </c>
      <c r="L121" s="3413" t="e">
        <f t="shared" si="36"/>
        <v>#DIV/0!</v>
      </c>
      <c r="M121" s="3414" t="e">
        <f t="shared" si="36"/>
        <v>#DIV/0!</v>
      </c>
      <c r="N121" s="3398"/>
    </row>
    <row r="122" spans="1:14">
      <c r="A122" s="3415" t="s">
        <v>2616</v>
      </c>
      <c r="B122" s="3388" t="e">
        <f>ROUND(0.9404-0.0106*B116,4)</f>
        <v>#DIV/0!</v>
      </c>
      <c r="C122" s="3388" t="e">
        <f>B122</f>
        <v>#DIV/0!</v>
      </c>
      <c r="D122" s="3388" t="e">
        <f>ROUND(0.8955-0.0135*B116,4)</f>
        <v>#DIV/0!</v>
      </c>
      <c r="E122" s="3388" t="e">
        <f t="shared" ref="E122:H122" si="38">D122</f>
        <v>#DIV/0!</v>
      </c>
      <c r="F122" s="3388" t="e">
        <f t="shared" si="38"/>
        <v>#DIV/0!</v>
      </c>
      <c r="G122" s="3388" t="e">
        <f t="shared" si="38"/>
        <v>#DIV/0!</v>
      </c>
      <c r="H122" s="3388" t="e">
        <f t="shared" si="38"/>
        <v>#DIV/0!</v>
      </c>
      <c r="I122" s="3388" t="e">
        <f>ROUND(0.7632-0.0166*B116,4)</f>
        <v>#DIV/0!</v>
      </c>
      <c r="J122" s="3388" t="e">
        <f t="shared" si="36"/>
        <v>#DIV/0!</v>
      </c>
      <c r="K122" s="3388" t="e">
        <f t="shared" si="36"/>
        <v>#DIV/0!</v>
      </c>
      <c r="L122" s="3388" t="e">
        <f t="shared" si="36"/>
        <v>#DIV/0!</v>
      </c>
      <c r="M122" s="3411" t="e">
        <f t="shared" si="36"/>
        <v>#DIV/0!</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99" t="s">
        <v>2611</v>
      </c>
      <c r="B20" s="3794" t="s">
        <v>2632</v>
      </c>
      <c r="C20" s="3103" t="s">
        <v>2443</v>
      </c>
      <c r="D20" s="3104"/>
      <c r="E20" s="3105">
        <v>1</v>
      </c>
      <c r="F20" s="3106" t="s">
        <v>2444</v>
      </c>
      <c r="G20" s="3106"/>
    </row>
    <row r="21" spans="1:13" ht="19.5" customHeight="1">
      <c r="A21" s="3800"/>
      <c r="B21" s="3793"/>
      <c r="C21" s="3107" t="s">
        <v>2445</v>
      </c>
      <c r="D21" s="3108"/>
      <c r="E21" s="3109">
        <v>1</v>
      </c>
      <c r="F21" s="3106" t="s">
        <v>2446</v>
      </c>
      <c r="G21" s="3106"/>
    </row>
    <row r="22" spans="1:13" ht="19.5" customHeight="1">
      <c r="A22" s="3800"/>
      <c r="B22" s="3793"/>
      <c r="C22" s="3107" t="s">
        <v>2447</v>
      </c>
      <c r="D22" s="3108"/>
      <c r="E22" s="3109">
        <v>0.9</v>
      </c>
      <c r="F22" s="3106" t="s">
        <v>2448</v>
      </c>
      <c r="G22" s="3106"/>
    </row>
    <row r="23" spans="1:13" ht="19.5" customHeight="1">
      <c r="A23" s="3800"/>
      <c r="B23" s="3793"/>
      <c r="C23" s="3107" t="s">
        <v>2449</v>
      </c>
      <c r="D23" s="3108"/>
      <c r="E23" s="3109">
        <v>0.9</v>
      </c>
      <c r="F23" s="3106" t="s">
        <v>2450</v>
      </c>
      <c r="G23" s="3106"/>
    </row>
    <row r="24" spans="1:13" ht="19.5" customHeight="1">
      <c r="A24" s="3800"/>
      <c r="B24" s="3793"/>
      <c r="C24" s="3107" t="s">
        <v>2451</v>
      </c>
      <c r="D24" s="3108"/>
      <c r="E24" s="3109">
        <v>0.8</v>
      </c>
      <c r="F24" s="3106" t="s">
        <v>2452</v>
      </c>
      <c r="G24" s="3106"/>
    </row>
    <row r="25" spans="1:13" ht="19.5" customHeight="1" thickBot="1">
      <c r="A25" s="3801"/>
      <c r="B25" s="379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96" t="s">
        <v>2635</v>
      </c>
      <c r="B27" s="3794" t="s">
        <v>2616</v>
      </c>
      <c r="C27" s="3103" t="s">
        <v>2456</v>
      </c>
      <c r="D27" s="3104"/>
      <c r="E27" s="3105">
        <v>1</v>
      </c>
      <c r="F27" s="3106" t="s">
        <v>2457</v>
      </c>
      <c r="G27" s="3106"/>
    </row>
    <row r="28" spans="1:13" ht="19.5" customHeight="1">
      <c r="A28" s="3797"/>
      <c r="B28" s="3793"/>
      <c r="C28" s="3107" t="s">
        <v>2458</v>
      </c>
      <c r="D28" s="3108"/>
      <c r="E28" s="3109">
        <v>1</v>
      </c>
      <c r="F28" s="3106" t="s">
        <v>2459</v>
      </c>
      <c r="G28" s="3106"/>
    </row>
    <row r="29" spans="1:13" ht="19.5" customHeight="1">
      <c r="A29" s="3797"/>
      <c r="B29" s="3793"/>
      <c r="C29" s="3107" t="s">
        <v>2460</v>
      </c>
      <c r="D29" s="3108"/>
      <c r="E29" s="3109">
        <v>0.8</v>
      </c>
      <c r="F29" s="3106" t="s">
        <v>2461</v>
      </c>
      <c r="G29" s="3106"/>
    </row>
    <row r="30" spans="1:13" ht="19.5" customHeight="1">
      <c r="A30" s="3797"/>
      <c r="B30" s="3793"/>
      <c r="C30" s="3107" t="s">
        <v>2462</v>
      </c>
      <c r="D30" s="3108"/>
      <c r="E30" s="3109">
        <v>0.8</v>
      </c>
      <c r="F30" s="3106" t="s">
        <v>2463</v>
      </c>
      <c r="G30" s="3106"/>
    </row>
    <row r="31" spans="1:13" ht="19.5" customHeight="1">
      <c r="A31" s="3797"/>
      <c r="B31" s="3793"/>
      <c r="C31" s="3107" t="s">
        <v>2464</v>
      </c>
      <c r="D31" s="3108"/>
      <c r="E31" s="3109">
        <v>0.8</v>
      </c>
      <c r="F31" s="3106" t="s">
        <v>2465</v>
      </c>
      <c r="G31" s="3106"/>
    </row>
    <row r="32" spans="1:13" ht="19.5" customHeight="1">
      <c r="A32" s="3797"/>
      <c r="B32" s="3793"/>
      <c r="C32" s="3107" t="s">
        <v>2466</v>
      </c>
      <c r="D32" s="3108"/>
      <c r="E32" s="3109">
        <v>0.7</v>
      </c>
      <c r="F32" s="3106" t="s">
        <v>2467</v>
      </c>
      <c r="G32" s="3106"/>
    </row>
    <row r="33" spans="1:7" ht="19.5" customHeight="1">
      <c r="A33" s="3797"/>
      <c r="B33" s="3793"/>
      <c r="C33" s="3107" t="s">
        <v>2468</v>
      </c>
      <c r="D33" s="3108"/>
      <c r="E33" s="3109">
        <v>0.8</v>
      </c>
      <c r="F33" s="3106" t="s">
        <v>2469</v>
      </c>
      <c r="G33" s="3106"/>
    </row>
    <row r="34" spans="1:7" ht="19.5" customHeight="1">
      <c r="A34" s="3797"/>
      <c r="B34" s="3793"/>
      <c r="C34" s="3107" t="s">
        <v>2470</v>
      </c>
      <c r="D34" s="3108"/>
      <c r="E34" s="3109">
        <v>0.6</v>
      </c>
      <c r="F34" s="3106" t="s">
        <v>2471</v>
      </c>
      <c r="G34" s="3106"/>
    </row>
    <row r="35" spans="1:7" ht="19.5" customHeight="1">
      <c r="A35" s="3797"/>
      <c r="B35" s="3793"/>
      <c r="C35" s="3107" t="s">
        <v>2472</v>
      </c>
      <c r="D35" s="3108"/>
      <c r="E35" s="3109">
        <v>0.2</v>
      </c>
      <c r="F35" s="3106" t="s">
        <v>2473</v>
      </c>
      <c r="G35" s="3106"/>
    </row>
    <row r="36" spans="1:7" ht="19.5" customHeight="1">
      <c r="A36" s="3797"/>
      <c r="B36" s="3793"/>
      <c r="C36" s="3107" t="s">
        <v>2474</v>
      </c>
      <c r="D36" s="3108"/>
      <c r="E36" s="3109">
        <v>0.2</v>
      </c>
      <c r="F36" s="3106" t="s">
        <v>2475</v>
      </c>
      <c r="G36" s="3106"/>
    </row>
    <row r="37" spans="1:7" ht="19.5" customHeight="1">
      <c r="A37" s="3797"/>
      <c r="B37" s="3791" t="s">
        <v>2636</v>
      </c>
      <c r="C37" s="3107" t="s">
        <v>2476</v>
      </c>
      <c r="D37" s="3108"/>
      <c r="E37" s="3109">
        <v>0.6</v>
      </c>
      <c r="F37" s="3106" t="s">
        <v>2477</v>
      </c>
      <c r="G37" s="3106"/>
    </row>
    <row r="38" spans="1:7" ht="19.5" customHeight="1">
      <c r="A38" s="3797"/>
      <c r="B38" s="3793"/>
      <c r="C38" s="3107" t="s">
        <v>2478</v>
      </c>
      <c r="D38" s="3108"/>
      <c r="E38" s="3109">
        <v>0.6</v>
      </c>
      <c r="F38" s="3106" t="s">
        <v>2479</v>
      </c>
      <c r="G38" s="3106"/>
    </row>
    <row r="39" spans="1:7" ht="19.5" customHeight="1" thickBot="1">
      <c r="A39" s="3798"/>
      <c r="B39" s="379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99" t="s">
        <v>2614</v>
      </c>
      <c r="B41" s="3794" t="s">
        <v>2638</v>
      </c>
      <c r="C41" s="3103" t="s">
        <v>2483</v>
      </c>
      <c r="D41" s="3104"/>
      <c r="E41" s="3105">
        <v>1</v>
      </c>
      <c r="F41" s="3106" t="s">
        <v>2484</v>
      </c>
      <c r="G41" s="3106"/>
    </row>
    <row r="42" spans="1:7" ht="19.5" customHeight="1">
      <c r="A42" s="3800"/>
      <c r="B42" s="3793"/>
      <c r="C42" s="3107" t="s">
        <v>2485</v>
      </c>
      <c r="D42" s="3108"/>
      <c r="E42" s="3109">
        <v>1</v>
      </c>
      <c r="F42" s="3106" t="s">
        <v>2486</v>
      </c>
      <c r="G42" s="3106"/>
    </row>
    <row r="43" spans="1:7" ht="19.5" customHeight="1">
      <c r="A43" s="3800"/>
      <c r="B43" s="3792"/>
      <c r="C43" s="3107" t="s">
        <v>2487</v>
      </c>
      <c r="D43" s="3108"/>
      <c r="E43" s="3109">
        <v>1.5</v>
      </c>
      <c r="F43" s="3106" t="s">
        <v>2488</v>
      </c>
      <c r="G43" s="3106"/>
    </row>
    <row r="44" spans="1:7" ht="19.5" customHeight="1">
      <c r="A44" s="3800"/>
      <c r="B44" s="3118" t="s">
        <v>2639</v>
      </c>
      <c r="C44" s="3107" t="s">
        <v>2640</v>
      </c>
      <c r="D44" s="3108"/>
      <c r="E44" s="3109">
        <v>2</v>
      </c>
      <c r="F44" s="3106" t="s">
        <v>2489</v>
      </c>
      <c r="G44" s="3106"/>
    </row>
    <row r="45" spans="1:7" ht="19.5" customHeight="1">
      <c r="A45" s="3800"/>
      <c r="B45" s="3791" t="s">
        <v>2641</v>
      </c>
      <c r="C45" s="3107" t="s">
        <v>2490</v>
      </c>
      <c r="D45" s="3108"/>
      <c r="E45" s="3109">
        <v>1</v>
      </c>
      <c r="F45" s="3106" t="s">
        <v>2491</v>
      </c>
      <c r="G45" s="3106"/>
    </row>
    <row r="46" spans="1:7" ht="19.5" customHeight="1">
      <c r="A46" s="3800"/>
      <c r="B46" s="3793"/>
      <c r="C46" s="3107" t="s">
        <v>2492</v>
      </c>
      <c r="D46" s="3108"/>
      <c r="E46" s="3109">
        <v>1</v>
      </c>
      <c r="F46" s="3106" t="s">
        <v>2493</v>
      </c>
      <c r="G46" s="3106"/>
    </row>
    <row r="47" spans="1:7" ht="19.5" customHeight="1">
      <c r="A47" s="3800"/>
      <c r="B47" s="3793"/>
      <c r="C47" s="3107" t="s">
        <v>2494</v>
      </c>
      <c r="D47" s="3108"/>
      <c r="E47" s="3109">
        <v>1</v>
      </c>
      <c r="F47" s="3106" t="s">
        <v>2495</v>
      </c>
      <c r="G47" s="3106"/>
    </row>
    <row r="48" spans="1:7" ht="19.5" customHeight="1">
      <c r="A48" s="3800"/>
      <c r="B48" s="3793"/>
      <c r="C48" s="3107" t="s">
        <v>2496</v>
      </c>
      <c r="D48" s="3108"/>
      <c r="E48" s="3109">
        <v>1</v>
      </c>
      <c r="F48" s="3106" t="s">
        <v>2497</v>
      </c>
      <c r="G48" s="3106"/>
    </row>
    <row r="49" spans="1:7" ht="19.5" customHeight="1">
      <c r="A49" s="3800"/>
      <c r="B49" s="3793"/>
      <c r="C49" s="3107" t="s">
        <v>2498</v>
      </c>
      <c r="D49" s="3108"/>
      <c r="E49" s="3109">
        <v>1</v>
      </c>
      <c r="F49" s="3106" t="s">
        <v>2499</v>
      </c>
      <c r="G49" s="3106"/>
    </row>
    <row r="50" spans="1:7" ht="19.5" customHeight="1">
      <c r="A50" s="3800"/>
      <c r="B50" s="3793"/>
      <c r="C50" s="3107" t="s">
        <v>2500</v>
      </c>
      <c r="D50" s="3108"/>
      <c r="E50" s="3109">
        <v>1</v>
      </c>
      <c r="F50" s="3106" t="s">
        <v>2501</v>
      </c>
      <c r="G50" s="3106"/>
    </row>
    <row r="51" spans="1:7" ht="19.5" customHeight="1" thickBot="1">
      <c r="A51" s="3801"/>
      <c r="B51" s="379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4.4">
      <c r="A72" s="3118"/>
      <c r="B72" s="3118"/>
      <c r="C72" s="3118" t="s">
        <v>2654</v>
      </c>
      <c r="D72" s="3118"/>
      <c r="E72" s="3118" t="s">
        <v>2625</v>
      </c>
      <c r="F72" s="3118" t="s">
        <v>2625</v>
      </c>
    </row>
    <row r="73" spans="1:7" ht="14.4">
      <c r="A73" s="3118">
        <v>1</v>
      </c>
      <c r="B73" s="3791" t="s">
        <v>2655</v>
      </c>
      <c r="C73" s="3092" t="s">
        <v>2656</v>
      </c>
      <c r="D73" s="3092" t="s">
        <v>2657</v>
      </c>
      <c r="E73" s="3118">
        <v>0.2</v>
      </c>
      <c r="F73" s="3118">
        <v>25</v>
      </c>
    </row>
    <row r="74" spans="1:7" ht="24">
      <c r="A74" s="3118">
        <v>2</v>
      </c>
      <c r="B74" s="3793"/>
      <c r="C74" s="3092" t="s">
        <v>2658</v>
      </c>
      <c r="D74" s="3092" t="s">
        <v>2659</v>
      </c>
      <c r="E74" s="3118">
        <v>0.2</v>
      </c>
      <c r="F74" s="3118">
        <v>25</v>
      </c>
    </row>
    <row r="75" spans="1:7" ht="24">
      <c r="A75" s="3118">
        <v>3</v>
      </c>
      <c r="B75" s="3793"/>
      <c r="C75" s="3092" t="s">
        <v>2660</v>
      </c>
      <c r="D75" s="3092" t="s">
        <v>2661</v>
      </c>
      <c r="E75" s="3118">
        <v>0.2</v>
      </c>
      <c r="F75" s="3118">
        <v>25</v>
      </c>
    </row>
    <row r="76" spans="1:7" ht="14.4">
      <c r="A76" s="3118">
        <v>4</v>
      </c>
      <c r="B76" s="3793"/>
      <c r="C76" s="3092" t="s">
        <v>2662</v>
      </c>
      <c r="D76" s="3092" t="s">
        <v>2663</v>
      </c>
      <c r="E76" s="3118">
        <v>0.15</v>
      </c>
      <c r="F76" s="3118">
        <v>20</v>
      </c>
    </row>
    <row r="77" spans="1:7" ht="24">
      <c r="A77" s="3118">
        <v>5</v>
      </c>
      <c r="B77" s="3793"/>
      <c r="C77" s="3092" t="s">
        <v>2664</v>
      </c>
      <c r="D77" s="3092" t="s">
        <v>2665</v>
      </c>
      <c r="E77" s="3118">
        <v>0.15</v>
      </c>
      <c r="F77" s="3118">
        <v>20</v>
      </c>
    </row>
    <row r="78" spans="1:7" ht="24">
      <c r="A78" s="3118">
        <v>6</v>
      </c>
      <c r="B78" s="3793"/>
      <c r="C78" s="3092" t="s">
        <v>2666</v>
      </c>
      <c r="D78" s="3092" t="s">
        <v>2667</v>
      </c>
      <c r="E78" s="3118">
        <v>0.15</v>
      </c>
      <c r="F78" s="3118">
        <v>20</v>
      </c>
    </row>
    <row r="79" spans="1:7" ht="24">
      <c r="A79" s="3118">
        <v>7</v>
      </c>
      <c r="B79" s="3793"/>
      <c r="C79" s="3092" t="s">
        <v>2668</v>
      </c>
      <c r="D79" s="3092" t="s">
        <v>2669</v>
      </c>
      <c r="E79" s="3118">
        <v>0.15</v>
      </c>
      <c r="F79" s="3118">
        <v>20</v>
      </c>
    </row>
    <row r="80" spans="1:7" ht="24">
      <c r="A80" s="3118">
        <v>8</v>
      </c>
      <c r="B80" s="3793"/>
      <c r="C80" s="3092" t="s">
        <v>2670</v>
      </c>
      <c r="D80" s="3092" t="s">
        <v>2671</v>
      </c>
      <c r="E80" s="3118">
        <v>0.1</v>
      </c>
      <c r="F80" s="3118">
        <v>15</v>
      </c>
    </row>
    <row r="81" spans="1:6" ht="24">
      <c r="A81" s="3118">
        <v>9</v>
      </c>
      <c r="B81" s="3793"/>
      <c r="C81" s="3092" t="s">
        <v>2672</v>
      </c>
      <c r="D81" s="3092" t="s">
        <v>2673</v>
      </c>
      <c r="E81" s="3118">
        <v>0.1</v>
      </c>
      <c r="F81" s="3118">
        <v>15</v>
      </c>
    </row>
    <row r="82" spans="1:6" ht="24">
      <c r="A82" s="3118">
        <v>10</v>
      </c>
      <c r="B82" s="3793"/>
      <c r="C82" s="3092" t="s">
        <v>2674</v>
      </c>
      <c r="D82" s="3092" t="s">
        <v>2675</v>
      </c>
      <c r="E82" s="3118">
        <v>0.1</v>
      </c>
      <c r="F82" s="3118">
        <v>15</v>
      </c>
    </row>
    <row r="83" spans="1:6" ht="24">
      <c r="A83" s="3118">
        <v>11</v>
      </c>
      <c r="B83" s="3793"/>
      <c r="C83" s="3092" t="s">
        <v>2676</v>
      </c>
      <c r="D83" s="3092" t="s">
        <v>2677</v>
      </c>
      <c r="E83" s="3118">
        <v>0.1</v>
      </c>
      <c r="F83" s="3118">
        <v>15</v>
      </c>
    </row>
    <row r="84" spans="1:6" ht="24">
      <c r="A84" s="3118">
        <v>12</v>
      </c>
      <c r="B84" s="3793"/>
      <c r="C84" s="3092" t="s">
        <v>2678</v>
      </c>
      <c r="D84" s="3092" t="s">
        <v>2679</v>
      </c>
      <c r="E84" s="3118">
        <v>0.1</v>
      </c>
      <c r="F84" s="3118">
        <v>15</v>
      </c>
    </row>
    <row r="85" spans="1:6" ht="24">
      <c r="A85" s="3118">
        <v>13</v>
      </c>
      <c r="B85" s="3793"/>
      <c r="C85" s="3092" t="s">
        <v>2680</v>
      </c>
      <c r="D85" s="3092" t="s">
        <v>2681</v>
      </c>
      <c r="E85" s="3118">
        <v>0.1</v>
      </c>
      <c r="F85" s="3118">
        <v>15</v>
      </c>
    </row>
    <row r="86" spans="1:6" ht="24">
      <c r="A86" s="3118">
        <v>14</v>
      </c>
      <c r="B86" s="3793"/>
      <c r="C86" s="3092" t="s">
        <v>2682</v>
      </c>
      <c r="D86" s="3092" t="s">
        <v>2683</v>
      </c>
      <c r="E86" s="3118">
        <v>0.1</v>
      </c>
      <c r="F86" s="3118">
        <v>15</v>
      </c>
    </row>
    <row r="87" spans="1:6" ht="24">
      <c r="A87" s="3118">
        <v>15</v>
      </c>
      <c r="B87" s="3793"/>
      <c r="C87" s="3092" t="s">
        <v>2684</v>
      </c>
      <c r="D87" s="3092" t="s">
        <v>2685</v>
      </c>
      <c r="E87" s="3118">
        <v>0.1</v>
      </c>
      <c r="F87" s="3118">
        <v>15</v>
      </c>
    </row>
    <row r="88" spans="1:6" ht="24">
      <c r="A88" s="3118">
        <v>16</v>
      </c>
      <c r="B88" s="3793"/>
      <c r="C88" s="3092" t="s">
        <v>2686</v>
      </c>
      <c r="D88" s="3092" t="s">
        <v>2687</v>
      </c>
      <c r="E88" s="3118">
        <v>0.1</v>
      </c>
      <c r="F88" s="3118">
        <v>15</v>
      </c>
    </row>
    <row r="89" spans="1:6" ht="24">
      <c r="A89" s="3118">
        <v>17</v>
      </c>
      <c r="B89" s="3792"/>
      <c r="C89" s="3092" t="s">
        <v>2688</v>
      </c>
      <c r="D89" s="3092" t="s">
        <v>2689</v>
      </c>
      <c r="E89" s="3118">
        <v>0.1</v>
      </c>
      <c r="F89" s="3118">
        <v>15</v>
      </c>
    </row>
    <row r="90" spans="1:6" ht="14.4">
      <c r="A90" s="3118">
        <v>18</v>
      </c>
      <c r="B90" s="3791" t="s">
        <v>2690</v>
      </c>
      <c r="C90" s="3092" t="s">
        <v>2691</v>
      </c>
      <c r="D90" s="3092" t="s">
        <v>2692</v>
      </c>
      <c r="E90" s="3118">
        <v>0.2</v>
      </c>
      <c r="F90" s="3118">
        <v>25</v>
      </c>
    </row>
    <row r="91" spans="1:6" ht="24">
      <c r="A91" s="3118">
        <v>19</v>
      </c>
      <c r="B91" s="3793"/>
      <c r="C91" s="3092" t="s">
        <v>2693</v>
      </c>
      <c r="D91" s="3092" t="s">
        <v>2694</v>
      </c>
      <c r="E91" s="3118">
        <v>0.2</v>
      </c>
      <c r="F91" s="3118">
        <v>25</v>
      </c>
    </row>
    <row r="92" spans="1:6" ht="14.4">
      <c r="A92" s="3118">
        <v>20</v>
      </c>
      <c r="B92" s="3793"/>
      <c r="C92" s="3092" t="s">
        <v>2695</v>
      </c>
      <c r="D92" s="3092" t="s">
        <v>2696</v>
      </c>
      <c r="E92" s="3118">
        <v>0.15</v>
      </c>
      <c r="F92" s="3118">
        <v>20</v>
      </c>
    </row>
    <row r="93" spans="1:6" ht="24">
      <c r="A93" s="3118">
        <v>21</v>
      </c>
      <c r="B93" s="3793"/>
      <c r="C93" s="3092" t="s">
        <v>2697</v>
      </c>
      <c r="D93" s="3092" t="s">
        <v>2698</v>
      </c>
      <c r="E93" s="3118">
        <v>0.15</v>
      </c>
      <c r="F93" s="3118">
        <v>20</v>
      </c>
    </row>
    <row r="94" spans="1:6" ht="24">
      <c r="A94" s="3118">
        <v>22</v>
      </c>
      <c r="B94" s="3793"/>
      <c r="C94" s="3092" t="s">
        <v>2699</v>
      </c>
      <c r="D94" s="3092" t="s">
        <v>2700</v>
      </c>
      <c r="E94" s="3118">
        <v>0.15</v>
      </c>
      <c r="F94" s="3118">
        <v>20</v>
      </c>
    </row>
    <row r="95" spans="1:6" ht="36">
      <c r="A95" s="3118">
        <v>23</v>
      </c>
      <c r="B95" s="3793"/>
      <c r="C95" s="3092" t="s">
        <v>2701</v>
      </c>
      <c r="D95" s="3092" t="s">
        <v>2702</v>
      </c>
      <c r="E95" s="3118">
        <v>0.15</v>
      </c>
      <c r="F95" s="3118">
        <v>20</v>
      </c>
    </row>
    <row r="96" spans="1:6" ht="24">
      <c r="A96" s="3118">
        <v>24</v>
      </c>
      <c r="B96" s="3793"/>
      <c r="C96" s="3092" t="s">
        <v>2703</v>
      </c>
      <c r="D96" s="3092" t="s">
        <v>2704</v>
      </c>
      <c r="E96" s="3118">
        <v>0.1</v>
      </c>
      <c r="F96" s="3118">
        <v>15</v>
      </c>
    </row>
    <row r="97" spans="1:6" ht="24">
      <c r="A97" s="3118">
        <v>25</v>
      </c>
      <c r="B97" s="3793"/>
      <c r="C97" s="3092" t="s">
        <v>2705</v>
      </c>
      <c r="D97" s="3092" t="s">
        <v>2706</v>
      </c>
      <c r="E97" s="3118">
        <v>0.1</v>
      </c>
      <c r="F97" s="3118">
        <v>15</v>
      </c>
    </row>
    <row r="98" spans="1:6" ht="24">
      <c r="A98" s="3118">
        <v>26</v>
      </c>
      <c r="B98" s="3793"/>
      <c r="C98" s="3092" t="s">
        <v>2707</v>
      </c>
      <c r="D98" s="3092" t="s">
        <v>2708</v>
      </c>
      <c r="E98" s="3118">
        <v>0.1</v>
      </c>
      <c r="F98" s="3118">
        <v>15</v>
      </c>
    </row>
    <row r="99" spans="1:6" ht="24">
      <c r="A99" s="3118">
        <v>27</v>
      </c>
      <c r="B99" s="3793"/>
      <c r="C99" s="3092" t="s">
        <v>2709</v>
      </c>
      <c r="D99" s="3092" t="s">
        <v>2710</v>
      </c>
      <c r="E99" s="3118">
        <v>0.1</v>
      </c>
      <c r="F99" s="3118">
        <v>15</v>
      </c>
    </row>
    <row r="100" spans="1:6" ht="24">
      <c r="A100" s="3118">
        <v>28</v>
      </c>
      <c r="B100" s="3793"/>
      <c r="C100" s="3092" t="s">
        <v>2711</v>
      </c>
      <c r="D100" s="3092" t="s">
        <v>2712</v>
      </c>
      <c r="E100" s="3118">
        <v>0.1</v>
      </c>
      <c r="F100" s="3118">
        <v>15</v>
      </c>
    </row>
    <row r="101" spans="1:6" ht="24">
      <c r="A101" s="3118">
        <v>29</v>
      </c>
      <c r="B101" s="3793"/>
      <c r="C101" s="3092" t="s">
        <v>2713</v>
      </c>
      <c r="D101" s="3092" t="s">
        <v>2714</v>
      </c>
      <c r="E101" s="3118">
        <v>0.1</v>
      </c>
      <c r="F101" s="3118">
        <v>15</v>
      </c>
    </row>
    <row r="102" spans="1:6" ht="24">
      <c r="A102" s="3118">
        <v>30</v>
      </c>
      <c r="B102" s="3793"/>
      <c r="C102" s="3092" t="s">
        <v>2715</v>
      </c>
      <c r="D102" s="3092" t="s">
        <v>2716</v>
      </c>
      <c r="E102" s="3118">
        <v>0.1</v>
      </c>
      <c r="F102" s="3118">
        <v>15</v>
      </c>
    </row>
    <row r="103" spans="1:6" ht="24">
      <c r="A103" s="3118">
        <v>31</v>
      </c>
      <c r="B103" s="3793"/>
      <c r="C103" s="3092" t="s">
        <v>2717</v>
      </c>
      <c r="D103" s="3092" t="s">
        <v>2718</v>
      </c>
      <c r="E103" s="3118">
        <v>0.1</v>
      </c>
      <c r="F103" s="3118">
        <v>15</v>
      </c>
    </row>
    <row r="104" spans="1:6" ht="24">
      <c r="A104" s="3118">
        <v>32</v>
      </c>
      <c r="B104" s="3793"/>
      <c r="C104" s="3092" t="s">
        <v>2719</v>
      </c>
      <c r="D104" s="3092" t="s">
        <v>2720</v>
      </c>
      <c r="E104" s="3118">
        <v>0.1</v>
      </c>
      <c r="F104" s="3118">
        <v>15</v>
      </c>
    </row>
    <row r="105" spans="1:6" ht="24">
      <c r="A105" s="3118">
        <v>33</v>
      </c>
      <c r="B105" s="3793"/>
      <c r="C105" s="3092" t="s">
        <v>2721</v>
      </c>
      <c r="D105" s="3092" t="s">
        <v>2722</v>
      </c>
      <c r="E105" s="3118">
        <v>0.1</v>
      </c>
      <c r="F105" s="3118">
        <v>15</v>
      </c>
    </row>
    <row r="106" spans="1:6" ht="24">
      <c r="A106" s="3118">
        <v>34</v>
      </c>
      <c r="B106" s="3792"/>
      <c r="C106" s="3092" t="s">
        <v>2723</v>
      </c>
      <c r="D106" s="3092" t="s">
        <v>2724</v>
      </c>
      <c r="E106" s="3118">
        <v>0.1</v>
      </c>
      <c r="F106" s="3118">
        <v>15</v>
      </c>
    </row>
    <row r="107" spans="1:6" ht="36">
      <c r="A107" s="3118">
        <v>35</v>
      </c>
      <c r="B107" s="3791" t="s">
        <v>2725</v>
      </c>
      <c r="C107" s="3118" t="s">
        <v>2726</v>
      </c>
      <c r="D107" s="3092" t="s">
        <v>2727</v>
      </c>
      <c r="E107" s="3118">
        <v>0.15</v>
      </c>
      <c r="F107" s="3118">
        <v>20</v>
      </c>
    </row>
    <row r="108" spans="1:6" ht="24">
      <c r="A108" s="3118">
        <v>36</v>
      </c>
      <c r="B108" s="3793"/>
      <c r="C108" s="3118" t="s">
        <v>2728</v>
      </c>
      <c r="D108" s="3092" t="s">
        <v>2729</v>
      </c>
      <c r="E108" s="3118">
        <v>0.15</v>
      </c>
      <c r="F108" s="3118">
        <v>20</v>
      </c>
    </row>
    <row r="109" spans="1:6" ht="24">
      <c r="A109" s="3118">
        <v>37</v>
      </c>
      <c r="B109" s="3793"/>
      <c r="C109" s="3118" t="s">
        <v>2730</v>
      </c>
      <c r="D109" s="3092" t="s">
        <v>2731</v>
      </c>
      <c r="E109" s="3118">
        <v>0.15</v>
      </c>
      <c r="F109" s="3118">
        <v>20</v>
      </c>
    </row>
    <row r="110" spans="1:6" ht="24">
      <c r="A110" s="3118">
        <v>38</v>
      </c>
      <c r="B110" s="3793"/>
      <c r="C110" s="3118" t="s">
        <v>2732</v>
      </c>
      <c r="D110" s="3092" t="s">
        <v>2733</v>
      </c>
      <c r="E110" s="3118">
        <v>0.1</v>
      </c>
      <c r="F110" s="3118">
        <v>15</v>
      </c>
    </row>
    <row r="111" spans="1:6" ht="24">
      <c r="A111" s="3118">
        <v>39</v>
      </c>
      <c r="B111" s="3793"/>
      <c r="C111" s="3118" t="s">
        <v>2734</v>
      </c>
      <c r="D111" s="3092" t="s">
        <v>2735</v>
      </c>
      <c r="E111" s="3118">
        <v>0.1</v>
      </c>
      <c r="F111" s="3118">
        <v>15</v>
      </c>
    </row>
    <row r="112" spans="1:6" ht="24">
      <c r="A112" s="3118">
        <v>40</v>
      </c>
      <c r="B112" s="3792"/>
      <c r="C112" s="3118" t="s">
        <v>2736</v>
      </c>
      <c r="D112" s="3092" t="s">
        <v>2737</v>
      </c>
      <c r="E112" s="3118">
        <v>0.1</v>
      </c>
      <c r="F112" s="3118">
        <v>15</v>
      </c>
    </row>
    <row r="113" spans="1:6" ht="24">
      <c r="A113" s="3118">
        <v>41</v>
      </c>
      <c r="B113" s="3790" t="s">
        <v>2738</v>
      </c>
      <c r="C113" s="3118" t="s">
        <v>2739</v>
      </c>
      <c r="D113" s="3092" t="s">
        <v>2740</v>
      </c>
      <c r="E113" s="3118">
        <v>0.1</v>
      </c>
      <c r="F113" s="3118">
        <v>15</v>
      </c>
    </row>
    <row r="114" spans="1:6" ht="24">
      <c r="A114" s="3118">
        <v>42</v>
      </c>
      <c r="B114" s="3790"/>
      <c r="C114" s="3118" t="s">
        <v>2741</v>
      </c>
      <c r="D114" s="3092" t="s">
        <v>2742</v>
      </c>
      <c r="E114" s="3118">
        <v>0.1</v>
      </c>
      <c r="F114" s="3118">
        <v>15</v>
      </c>
    </row>
    <row r="115" spans="1:6" ht="24">
      <c r="A115" s="3118">
        <v>43</v>
      </c>
      <c r="B115" s="3790"/>
      <c r="C115" s="3118" t="s">
        <v>2743</v>
      </c>
      <c r="D115" s="3092" t="s">
        <v>2744</v>
      </c>
      <c r="E115" s="3118">
        <v>0.1</v>
      </c>
      <c r="F115" s="3118">
        <v>15</v>
      </c>
    </row>
    <row r="116" spans="1:6" ht="24">
      <c r="A116" s="3118">
        <v>44</v>
      </c>
      <c r="B116" s="3791" t="s">
        <v>2745</v>
      </c>
      <c r="C116" s="3118" t="s">
        <v>2746</v>
      </c>
      <c r="D116" s="3092" t="s">
        <v>2747</v>
      </c>
      <c r="E116" s="3118">
        <v>0.1</v>
      </c>
      <c r="F116" s="3118">
        <v>15</v>
      </c>
    </row>
    <row r="117" spans="1:6" ht="24">
      <c r="A117" s="3118">
        <v>45</v>
      </c>
      <c r="B117" s="3792"/>
      <c r="C117" s="3092" t="s">
        <v>2748</v>
      </c>
      <c r="D117" s="3092" t="s">
        <v>2749</v>
      </c>
      <c r="E117" s="3118">
        <v>0.1</v>
      </c>
      <c r="F117" s="3118">
        <v>15</v>
      </c>
    </row>
    <row r="118" spans="1:6" ht="24">
      <c r="A118" s="3118">
        <v>46</v>
      </c>
      <c r="B118" s="3791" t="s">
        <v>2750</v>
      </c>
      <c r="C118" s="3118" t="s">
        <v>2751</v>
      </c>
      <c r="D118" s="3092" t="s">
        <v>2752</v>
      </c>
      <c r="E118" s="3118">
        <v>0.1</v>
      </c>
      <c r="F118" s="3118">
        <v>15</v>
      </c>
    </row>
    <row r="119" spans="1:6" ht="24">
      <c r="A119" s="3118">
        <v>47</v>
      </c>
      <c r="B119" s="3792"/>
      <c r="C119" s="3118" t="s">
        <v>2753</v>
      </c>
      <c r="D119" s="3092" t="s">
        <v>2754</v>
      </c>
      <c r="E119" s="3118">
        <v>0.1</v>
      </c>
      <c r="F119" s="3118">
        <v>15</v>
      </c>
    </row>
    <row r="120" spans="1:6" ht="24">
      <c r="A120" s="3118">
        <v>48</v>
      </c>
      <c r="B120" s="3791" t="s">
        <v>2755</v>
      </c>
      <c r="C120" s="3118" t="s">
        <v>2756</v>
      </c>
      <c r="D120" s="3092" t="s">
        <v>2757</v>
      </c>
      <c r="E120" s="3118">
        <v>0.1</v>
      </c>
      <c r="F120" s="3118">
        <v>15</v>
      </c>
    </row>
    <row r="121" spans="1:6" ht="24">
      <c r="A121" s="3118">
        <v>49</v>
      </c>
      <c r="B121" s="3792"/>
      <c r="C121" s="3118" t="s">
        <v>2758</v>
      </c>
      <c r="D121" s="3092" t="s">
        <v>2759</v>
      </c>
      <c r="E121" s="3118">
        <v>0.1</v>
      </c>
      <c r="F121" s="3118">
        <v>15</v>
      </c>
    </row>
    <row r="122" spans="1:6" ht="24">
      <c r="A122" s="3118">
        <v>50</v>
      </c>
      <c r="B122" s="3790" t="s">
        <v>2760</v>
      </c>
      <c r="C122" s="3118" t="s">
        <v>2761</v>
      </c>
      <c r="D122" s="3092" t="s">
        <v>2762</v>
      </c>
      <c r="E122" s="3118">
        <v>0.1</v>
      </c>
      <c r="F122" s="3118">
        <v>15</v>
      </c>
    </row>
    <row r="123" spans="1:6" ht="24">
      <c r="A123" s="3118">
        <v>51</v>
      </c>
      <c r="B123" s="3790"/>
      <c r="C123" s="3118" t="s">
        <v>2763</v>
      </c>
      <c r="D123" s="3092" t="s">
        <v>2764</v>
      </c>
      <c r="E123" s="3118">
        <v>0.1</v>
      </c>
      <c r="F123" s="3118">
        <v>15</v>
      </c>
    </row>
    <row r="124" spans="1:6" ht="24">
      <c r="A124" s="3118">
        <v>52</v>
      </c>
      <c r="B124" s="3790" t="s">
        <v>2765</v>
      </c>
      <c r="C124" s="3118" t="s">
        <v>2766</v>
      </c>
      <c r="D124" s="3092" t="s">
        <v>2767</v>
      </c>
      <c r="E124" s="3118">
        <v>0.1</v>
      </c>
      <c r="F124" s="3118">
        <v>15</v>
      </c>
    </row>
    <row r="125" spans="1:6" ht="24">
      <c r="A125" s="3118">
        <v>53</v>
      </c>
      <c r="B125" s="3790"/>
      <c r="C125" s="3118" t="s">
        <v>2768</v>
      </c>
      <c r="D125" s="3092" t="s">
        <v>2769</v>
      </c>
      <c r="E125" s="3118">
        <v>0.1</v>
      </c>
      <c r="F125" s="3118">
        <v>15</v>
      </c>
    </row>
    <row r="126" spans="1:6" ht="24">
      <c r="A126" s="3118">
        <v>54</v>
      </c>
      <c r="B126" s="3118" t="s">
        <v>2770</v>
      </c>
      <c r="C126" s="3118" t="s">
        <v>2771</v>
      </c>
      <c r="D126" s="3092" t="s">
        <v>2772</v>
      </c>
      <c r="E126" s="3118">
        <v>0.1</v>
      </c>
      <c r="F126" s="3118">
        <v>15</v>
      </c>
    </row>
    <row r="127" spans="1:6" ht="24">
      <c r="A127" s="3118">
        <v>55</v>
      </c>
      <c r="B127" s="3790" t="s">
        <v>2773</v>
      </c>
      <c r="C127" s="3118" t="s">
        <v>2774</v>
      </c>
      <c r="D127" s="3092" t="s">
        <v>2775</v>
      </c>
      <c r="E127" s="3118">
        <v>0.1</v>
      </c>
      <c r="F127" s="3118">
        <v>15</v>
      </c>
    </row>
    <row r="128" spans="1:6" ht="24">
      <c r="A128" s="3118">
        <v>56</v>
      </c>
      <c r="B128" s="3790"/>
      <c r="C128" s="3118" t="s">
        <v>2776</v>
      </c>
      <c r="D128" s="3092" t="s">
        <v>2777</v>
      </c>
      <c r="E128" s="3118">
        <v>0.1</v>
      </c>
      <c r="F128" s="3118">
        <v>15</v>
      </c>
    </row>
    <row r="129" spans="1:6" ht="24">
      <c r="A129" s="3118">
        <v>57</v>
      </c>
      <c r="B129" s="3790"/>
      <c r="C129" s="3118" t="s">
        <v>2778</v>
      </c>
      <c r="D129" s="3092" t="s">
        <v>2779</v>
      </c>
      <c r="E129" s="3118">
        <v>0.1</v>
      </c>
      <c r="F129" s="3118">
        <v>15</v>
      </c>
    </row>
    <row r="130" spans="1:6" ht="24">
      <c r="A130" s="3118">
        <v>58</v>
      </c>
      <c r="B130" s="3790" t="s">
        <v>2780</v>
      </c>
      <c r="C130" s="3118" t="s">
        <v>2781</v>
      </c>
      <c r="D130" s="3092" t="s">
        <v>2782</v>
      </c>
      <c r="E130" s="3118">
        <v>0.1</v>
      </c>
      <c r="F130" s="3118">
        <v>15</v>
      </c>
    </row>
    <row r="131" spans="1:6" ht="24">
      <c r="A131" s="3118">
        <v>59</v>
      </c>
      <c r="B131" s="3790"/>
      <c r="C131" s="3118" t="s">
        <v>2783</v>
      </c>
      <c r="D131" s="3092" t="s">
        <v>2784</v>
      </c>
      <c r="E131" s="3118">
        <v>0.1</v>
      </c>
      <c r="F131" s="3118">
        <v>15</v>
      </c>
    </row>
    <row r="132" spans="1:6" ht="24">
      <c r="A132" s="3118">
        <v>60</v>
      </c>
      <c r="B132" s="3791" t="s">
        <v>2785</v>
      </c>
      <c r="C132" s="3118" t="s">
        <v>2786</v>
      </c>
      <c r="D132" s="3092" t="s">
        <v>2787</v>
      </c>
      <c r="E132" s="3118">
        <v>0.1</v>
      </c>
      <c r="F132" s="3118">
        <v>15</v>
      </c>
    </row>
    <row r="133" spans="1:6" ht="24">
      <c r="A133" s="3118">
        <v>61</v>
      </c>
      <c r="B133" s="379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24">
      <c r="A135" s="3118">
        <v>63</v>
      </c>
      <c r="B135" s="3790" t="s">
        <v>2793</v>
      </c>
      <c r="C135" s="3118" t="s">
        <v>2794</v>
      </c>
      <c r="D135" s="3092" t="s">
        <v>2795</v>
      </c>
      <c r="E135" s="3118">
        <v>0.1</v>
      </c>
      <c r="F135" s="3118">
        <v>15</v>
      </c>
    </row>
    <row r="136" spans="1:6" ht="24">
      <c r="A136" s="3118">
        <v>64</v>
      </c>
      <c r="B136" s="3790"/>
      <c r="C136" s="3118" t="s">
        <v>2796</v>
      </c>
      <c r="D136" s="3092" t="s">
        <v>2797</v>
      </c>
      <c r="E136" s="3118">
        <v>0.1</v>
      </c>
      <c r="F136" s="3118">
        <v>15</v>
      </c>
    </row>
    <row r="137" spans="1:6" ht="24">
      <c r="A137" s="3118">
        <v>65</v>
      </c>
      <c r="B137" s="3118" t="s">
        <v>2798</v>
      </c>
      <c r="C137" s="3118" t="s">
        <v>2799</v>
      </c>
      <c r="D137" s="3092" t="s">
        <v>2800</v>
      </c>
      <c r="E137" s="3118">
        <v>0.1</v>
      </c>
      <c r="F137" s="3118">
        <v>15</v>
      </c>
    </row>
    <row r="138" spans="1:6" ht="14.4">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t="e">
        <f>SUMPRODUCT((A95:A184=ROUNDDOWN(基准地价修正!G3,1))*(B94:M94=基准地价修正!G2)*(B95:M184))</f>
        <v>#DIV/0!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t="e">
        <f>SUMPRODUCT((A371:A460=ROUNDDOWN(基准地价修正!G3,1))*(B370:M370=基准地价修正!G2)*(B371:M460))</f>
        <v>#DIV/0!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7.399999999999999">
      <c r="A3" s="3485" t="str">
        <f>IF(项目基本情况!B9="房地产市场价值","估价结果一览表（市场价值不需“结果表-1”）","估价结果一览表")</f>
        <v>估价结果一览表</v>
      </c>
      <c r="B3" s="3485"/>
      <c r="C3" s="3485"/>
      <c r="D3" s="3485"/>
      <c r="E3" s="3485"/>
    </row>
    <row r="4" spans="1:5" ht="18" thickBot="1">
      <c r="A4" s="1493"/>
      <c r="B4" s="3483" t="s">
        <v>917</v>
      </c>
      <c r="C4" s="3483"/>
      <c r="D4" s="3483"/>
      <c r="E4" s="1493"/>
    </row>
    <row r="5" spans="1:5" ht="16.2" thickTop="1">
      <c r="A5" s="1491"/>
      <c r="B5" s="3481" t="s">
        <v>909</v>
      </c>
      <c r="C5" s="1494" t="s">
        <v>910</v>
      </c>
      <c r="D5" s="850">
        <f ca="1">结果表!H101</f>
        <v>204</v>
      </c>
      <c r="E5" s="1491"/>
    </row>
    <row r="6" spans="1:5" ht="15.6">
      <c r="A6" s="1491"/>
      <c r="B6" s="3481"/>
      <c r="C6" s="1494" t="s">
        <v>911</v>
      </c>
      <c r="D6" s="850" t="str">
        <f ca="1">NUMBERSTRING(INT(D5*10000),2)&amp;"元整"</f>
        <v>贰佰零肆万元整</v>
      </c>
      <c r="E6" s="1491"/>
    </row>
    <row r="7" spans="1:5" ht="15.6">
      <c r="A7" s="1491"/>
      <c r="B7" s="3486"/>
      <c r="C7" s="1495" t="s">
        <v>912</v>
      </c>
      <c r="D7" s="851">
        <f ca="1">结果表!H102</f>
        <v>11012</v>
      </c>
      <c r="E7" s="1491"/>
    </row>
    <row r="8" spans="1:5" ht="15.6">
      <c r="A8" s="1491"/>
      <c r="B8" s="3487" t="str">
        <f>结果表!E103</f>
        <v>2.估价师知悉的法定优先受偿款</v>
      </c>
      <c r="C8" s="1496" t="s">
        <v>913</v>
      </c>
      <c r="D8" s="851">
        <f>结果表!H103</f>
        <v>0</v>
      </c>
      <c r="E8" s="1491"/>
    </row>
    <row r="9" spans="1:5" ht="15.6">
      <c r="A9" s="1491"/>
      <c r="B9" s="348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0" t="str">
        <f>结果表!E107</f>
        <v>3.房地产抵押价值</v>
      </c>
      <c r="C13" s="1499" t="s">
        <v>910</v>
      </c>
      <c r="D13" s="853">
        <f ca="1">结果表!H107</f>
        <v>204</v>
      </c>
      <c r="E13" s="1491"/>
    </row>
    <row r="14" spans="1:5" ht="15.6">
      <c r="A14" s="1491"/>
      <c r="B14" s="3481"/>
      <c r="C14" s="1494" t="s">
        <v>911</v>
      </c>
      <c r="D14" s="850" t="str">
        <f ca="1">NUMBERSTRING(INT(D13*10000),2)&amp;"元整"</f>
        <v>贰佰零肆万元整</v>
      </c>
      <c r="E14" s="1491"/>
    </row>
    <row r="15" spans="1:5" ht="15.6">
      <c r="A15" s="1491"/>
      <c r="B15" s="3486"/>
      <c r="C15" s="1495" t="s">
        <v>921</v>
      </c>
      <c r="D15" s="859">
        <f ca="1">结果表!H108</f>
        <v>11012</v>
      </c>
      <c r="E15" s="1491"/>
    </row>
    <row r="16" spans="1:5" ht="15.6">
      <c r="A16" s="1491"/>
      <c r="B16" s="3487" t="str">
        <f>结果表!E109</f>
        <v>——</v>
      </c>
      <c r="C16" s="1499" t="s">
        <v>922</v>
      </c>
      <c r="D16" s="1500" t="str">
        <f>结果表!H109</f>
        <v>——</v>
      </c>
      <c r="E16" s="1491"/>
    </row>
    <row r="17" spans="1:5" ht="15.6">
      <c r="A17" s="1491"/>
      <c r="B17" s="3488"/>
      <c r="C17" s="1494" t="s">
        <v>923</v>
      </c>
      <c r="D17" s="850" t="e">
        <f>NUMBERSTRING(INT(D16*10000),2)&amp;"元整"</f>
        <v>#VALUE!</v>
      </c>
      <c r="E17" s="1491"/>
    </row>
    <row r="18" spans="1:5" ht="15.6">
      <c r="A18" s="1491"/>
      <c r="B18" s="3489"/>
      <c r="C18" s="1495" t="s">
        <v>912</v>
      </c>
      <c r="D18" s="859" t="str">
        <f>结果表!H110</f>
        <v>——</v>
      </c>
      <c r="E18" s="1491"/>
    </row>
    <row r="19" spans="1:5" ht="15.6">
      <c r="A19" s="1491"/>
      <c r="B19" s="3480" t="str">
        <f>结果表!E111</f>
        <v>——</v>
      </c>
      <c r="C19" s="1499" t="s">
        <v>910</v>
      </c>
      <c r="D19" s="851" t="str">
        <f>结果表!H111</f>
        <v>——</v>
      </c>
      <c r="E19" s="1491"/>
    </row>
    <row r="20" spans="1:5" ht="15.6">
      <c r="A20" s="1491"/>
      <c r="B20" s="3481"/>
      <c r="C20" s="1494" t="s">
        <v>923</v>
      </c>
      <c r="D20" s="850" t="e">
        <f>NUMBERSTRING(INT(D19*10000),2)&amp;"元整"</f>
        <v>#VALUE!</v>
      </c>
      <c r="E20" s="1491"/>
    </row>
    <row r="21" spans="1:5" ht="16.2" thickBot="1">
      <c r="A21" s="1491"/>
      <c r="B21" s="348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26693</v>
      </c>
      <c r="C2" s="2" t="s">
        <v>106</v>
      </c>
      <c r="D2" s="199"/>
      <c r="E2" s="199"/>
      <c r="F2" s="199"/>
      <c r="G2" s="199"/>
    </row>
    <row r="3" spans="1:7" s="200" customFormat="1" ht="18" customHeight="1" thickBot="1">
      <c r="A3" s="203" t="s">
        <v>58</v>
      </c>
      <c r="B3" s="204">
        <f ca="1">ROUND(B2*10000/'数据-汇总表'!E3,0)</f>
        <v>1439441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185.44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185.44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1087</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2523</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2523</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26642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185.44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5.0000000000000001E-4</v>
      </c>
      <c r="D44" s="238"/>
      <c r="E44" s="238"/>
      <c r="F44" s="239"/>
      <c r="G44" s="3666"/>
    </row>
    <row r="45" spans="1:7" s="214" customFormat="1" ht="13.5" customHeight="1">
      <c r="A45" s="777" t="s">
        <v>341</v>
      </c>
      <c r="B45" s="244" t="s">
        <v>85</v>
      </c>
      <c r="C45" s="245">
        <f>C46</f>
        <v>8</v>
      </c>
      <c r="D45" s="235">
        <f>C47</f>
        <v>2.3999999999999998E-3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80</v>
      </c>
      <c r="D49" s="232"/>
      <c r="E49" s="232"/>
      <c r="F49" s="264"/>
      <c r="G49" s="234" t="s">
        <v>435</v>
      </c>
    </row>
    <row r="50" spans="1:7" s="258" customFormat="1" ht="24">
      <c r="A50" s="777" t="s">
        <v>344</v>
      </c>
      <c r="B50" s="210" t="s">
        <v>97</v>
      </c>
      <c r="C50" s="232"/>
      <c r="D50" s="232"/>
      <c r="E50" s="232"/>
      <c r="F50" s="264">
        <f>IF('数据-取费表'!B24=0,'数据-取费表'!N16,1)</f>
        <v>0.64</v>
      </c>
      <c r="G50" s="247" t="s">
        <v>98</v>
      </c>
    </row>
    <row r="51" spans="1:7" ht="16.5" customHeight="1">
      <c r="A51" s="777" t="s">
        <v>345</v>
      </c>
      <c r="B51" s="210" t="s">
        <v>105</v>
      </c>
      <c r="C51" s="232">
        <f ca="1">ROUND(C49*F50,0)</f>
        <v>51</v>
      </c>
      <c r="D51" s="232"/>
      <c r="E51" s="232"/>
      <c r="F51" s="264"/>
      <c r="G51" s="234" t="s">
        <v>37</v>
      </c>
    </row>
    <row r="52" spans="1:7" s="208" customFormat="1" ht="16.8" thickBot="1">
      <c r="A52" s="265" t="s">
        <v>38</v>
      </c>
      <c r="B52" s="266"/>
      <c r="C52" s="267">
        <f ca="1">C31+C51</f>
        <v>26693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4" t="s">
        <v>2843</v>
      </c>
      <c r="B1" s="3804"/>
      <c r="C1" s="3804"/>
      <c r="D1" s="3804"/>
      <c r="E1" s="3804"/>
      <c r="F1" s="3804"/>
      <c r="G1" s="380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1.4"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80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1.4" thickBot="1">
      <c r="A4" s="380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1.4"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1.4"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1.4"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1.4"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6" t="s">
        <v>3185</v>
      </c>
      <c r="B1" s="3806"/>
    </row>
    <row r="2" spans="1:7" ht="15" thickBot="1">
      <c r="A2" s="3255"/>
      <c r="B2" s="3255"/>
    </row>
    <row r="3" spans="1:7" ht="15" thickBot="1">
      <c r="A3" s="3255"/>
      <c r="B3" s="3255"/>
      <c r="C3" s="3256" t="s">
        <v>2815</v>
      </c>
      <c r="D3" s="3256" t="s">
        <v>2871</v>
      </c>
      <c r="E3" s="3256" t="s">
        <v>2817</v>
      </c>
      <c r="F3" s="3256" t="s">
        <v>2872</v>
      </c>
      <c r="G3" s="3256" t="s">
        <v>2635</v>
      </c>
    </row>
    <row r="4" spans="1:7" ht="1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90"/>
  </cols>
  <sheetData>
    <row r="1" spans="1:6">
      <c r="A1" s="3807" t="s">
        <v>3236</v>
      </c>
      <c r="B1" s="3807"/>
      <c r="C1" s="3807"/>
      <c r="D1" s="3807"/>
      <c r="E1" s="3807"/>
      <c r="F1" s="380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1">
        <f>基准地价修正!G23</f>
        <v>45427</v>
      </c>
      <c r="B1" s="3210" t="s">
        <v>3373</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3.2">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3.2">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3.2">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3.2">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3.2">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3.2">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3.2">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3.2">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3.2">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3.2">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3.2">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3.2">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3.2">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ht="13.8"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5" thickTop="1"/>
    <row r="20" spans="1:30" s="3009" customFormat="1">
      <c r="A20" s="3448" t="s">
        <v>3368</v>
      </c>
    </row>
    <row r="21" spans="1:30" s="3009" customFormat="1">
      <c r="I21" s="3208" t="s">
        <v>2829</v>
      </c>
    </row>
    <row r="22" spans="1:30" s="3009" customFormat="1"/>
    <row r="23" spans="1:30" s="3209" customFormat="1" ht="13.2">
      <c r="B23" s="3210" t="s">
        <v>3374</v>
      </c>
      <c r="C23" s="3211"/>
      <c r="D23" s="3211"/>
      <c r="E23" s="3211"/>
      <c r="F23" s="3211"/>
      <c r="G23" s="3211"/>
      <c r="H23" s="3211"/>
      <c r="I23" s="3211"/>
      <c r="J23" s="3165"/>
      <c r="K23" s="3211" t="s">
        <v>2830</v>
      </c>
      <c r="L23" s="3211"/>
      <c r="M23" s="3211"/>
      <c r="N23" s="3211"/>
      <c r="O23" s="3211"/>
      <c r="P23" s="3211"/>
      <c r="Q23" s="3165"/>
      <c r="R23" s="3809" t="s">
        <v>2831</v>
      </c>
      <c r="S23" s="3810"/>
      <c r="T23" s="3810"/>
      <c r="U23" s="3810"/>
      <c r="V23" s="3810"/>
      <c r="W23" s="3810"/>
      <c r="X23" s="3165"/>
      <c r="Y23" s="3809" t="s">
        <v>2832</v>
      </c>
      <c r="Z23" s="3810"/>
      <c r="AA23" s="3810"/>
      <c r="AB23" s="3810"/>
      <c r="AC23" s="3810"/>
      <c r="AD23" s="3810"/>
    </row>
    <row r="24" spans="1:30" s="3143" customFormat="1" ht="1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3.2">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3.2">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3.2">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3.2">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3.2">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3.2">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3.2">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3.2">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3.2">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3.2">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3.2">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3.2">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3.2">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3.2">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3.2">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ht="13.8"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45427</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7" t="str">
        <f>IF(项目基本情况!B9="房地产市场价值","估价结果一览表","结果表-2")</f>
        <v>结果表-2</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6">
      <c r="A3" s="3493"/>
      <c r="B3" s="3493"/>
      <c r="C3" s="3493"/>
      <c r="D3" s="854" t="s">
        <v>925</v>
      </c>
      <c r="E3" s="854" t="s">
        <v>931</v>
      </c>
      <c r="F3" s="854" t="s">
        <v>925</v>
      </c>
      <c r="G3" s="854" t="s">
        <v>926</v>
      </c>
      <c r="H3" s="854" t="s">
        <v>925</v>
      </c>
      <c r="I3" s="854" t="s">
        <v>926</v>
      </c>
    </row>
    <row r="4" spans="1:9" ht="45">
      <c r="A4" s="1505" t="str">
        <f>项目基本情况!S2</f>
        <v>北京市房山区良乡隆曦园2号楼-1层1-01,1层1-101房地产</v>
      </c>
      <c r="B4" s="854">
        <f>项目基本情况!C17</f>
        <v>185.44</v>
      </c>
      <c r="C4" s="854">
        <f>项目基本情况!C18</f>
        <v>0</v>
      </c>
      <c r="D4" s="854">
        <f>结果表!D118</f>
        <v>0</v>
      </c>
      <c r="E4" s="854">
        <f>结果表!E118</f>
        <v>0</v>
      </c>
      <c r="F4" s="854">
        <f>结果表!F118</f>
        <v>0</v>
      </c>
      <c r="G4" s="854">
        <f>结果表!G118</f>
        <v>0</v>
      </c>
      <c r="H4" s="854">
        <f ca="1">结果表!H118</f>
        <v>204</v>
      </c>
      <c r="I4" s="854">
        <f ca="1">结果表!I118</f>
        <v>11012</v>
      </c>
    </row>
    <row r="5" spans="1:9" ht="30" customHeight="1">
      <c r="A5" s="3493" t="s">
        <v>927</v>
      </c>
      <c r="B5" s="3493"/>
      <c r="C5" s="3493"/>
      <c r="D5" s="3493" t="str">
        <f>结果表!D119</f>
        <v>零元整</v>
      </c>
      <c r="E5" s="3493"/>
      <c r="F5" s="3493" t="str">
        <f>结果表!F119</f>
        <v>零元整</v>
      </c>
      <c r="G5" s="3493"/>
      <c r="H5" s="3493" t="str">
        <f ca="1">结果表!H119</f>
        <v>贰佰零肆万元整</v>
      </c>
      <c r="I5" s="3493"/>
    </row>
    <row r="6" spans="1:9" ht="15.6">
      <c r="A6" s="3492" t="str">
        <f>结果表!A120</f>
        <v>估价师知悉的法定优先受偿款</v>
      </c>
      <c r="B6" s="3492"/>
      <c r="C6" s="3492"/>
      <c r="D6" s="3492">
        <f>结果表!D120</f>
        <v>0</v>
      </c>
      <c r="E6" s="3492"/>
      <c r="F6" s="3492"/>
      <c r="G6" s="3492"/>
      <c r="H6" s="3492"/>
      <c r="I6" s="3492"/>
    </row>
    <row r="7" spans="1:9" ht="15">
      <c r="A7" s="3493" t="s">
        <v>927</v>
      </c>
      <c r="B7" s="3493"/>
      <c r="C7" s="3493"/>
      <c r="D7" s="3494" t="str">
        <f>结果表!D121</f>
        <v>零元整</v>
      </c>
      <c r="E7" s="3495"/>
      <c r="F7" s="3495"/>
      <c r="G7" s="3495"/>
      <c r="H7" s="3495"/>
      <c r="I7" s="3496"/>
    </row>
    <row r="8" spans="1:9" ht="15.6">
      <c r="A8" s="3492" t="str">
        <f>结果表!A122</f>
        <v>房地产抵押价值</v>
      </c>
      <c r="B8" s="3492"/>
      <c r="C8" s="3492"/>
      <c r="D8" s="3492">
        <f ca="1">结果表!D122</f>
        <v>204</v>
      </c>
      <c r="E8" s="3492"/>
      <c r="F8" s="3492"/>
      <c r="G8" s="3492"/>
      <c r="H8" s="3492"/>
      <c r="I8" s="3492"/>
    </row>
    <row r="9" spans="1:9" ht="15">
      <c r="A9" s="3493" t="s">
        <v>927</v>
      </c>
      <c r="B9" s="3493"/>
      <c r="C9" s="3493"/>
      <c r="D9" s="3493" t="str">
        <f ca="1">结果表!D123</f>
        <v>贰佰零肆万元整</v>
      </c>
      <c r="E9" s="3493"/>
      <c r="F9" s="3493"/>
      <c r="G9" s="3493"/>
      <c r="H9" s="3493"/>
      <c r="I9" s="3493"/>
    </row>
    <row r="10" spans="1:9" ht="15.6">
      <c r="A10" s="3492" t="str">
        <f>结果表!A124</f>
        <v/>
      </c>
      <c r="B10" s="3492"/>
      <c r="C10" s="3492"/>
      <c r="D10" s="3492" t="str">
        <f>结果表!D124</f>
        <v>——</v>
      </c>
      <c r="E10" s="3492"/>
      <c r="F10" s="3492"/>
      <c r="G10" s="3492"/>
      <c r="H10" s="3492"/>
      <c r="I10" s="3492"/>
    </row>
    <row r="11" spans="1:9" ht="15">
      <c r="A11" s="3493" t="s">
        <v>927</v>
      </c>
      <c r="B11" s="3493"/>
      <c r="C11" s="3493"/>
      <c r="D11" s="3493" t="e">
        <f>结果表!D125</f>
        <v>#VALUE!</v>
      </c>
      <c r="E11" s="3493"/>
      <c r="F11" s="3493"/>
      <c r="G11" s="3493"/>
      <c r="H11" s="3493"/>
      <c r="I11" s="3493"/>
    </row>
    <row r="12" spans="1:9" ht="15.6">
      <c r="A12" s="3492" t="str">
        <f>结果表!A126</f>
        <v/>
      </c>
      <c r="B12" s="3492"/>
      <c r="C12" s="3492"/>
      <c r="D12" s="3492" t="str">
        <f>结果表!D126</f>
        <v>——</v>
      </c>
      <c r="E12" s="3492"/>
      <c r="F12" s="3492"/>
      <c r="G12" s="3492"/>
      <c r="H12" s="3492"/>
      <c r="I12" s="3492"/>
    </row>
    <row r="13" spans="1:9" ht="15.6" thickBot="1">
      <c r="A13" s="3490" t="s">
        <v>927</v>
      </c>
      <c r="B13" s="3490"/>
      <c r="C13" s="3490"/>
      <c r="D13" s="3490" t="e">
        <f>结果表!D127</f>
        <v>#VALUE!</v>
      </c>
      <c r="E13" s="3490"/>
      <c r="F13" s="3490"/>
      <c r="G13" s="3490"/>
      <c r="H13" s="3490"/>
      <c r="I13" s="3490"/>
    </row>
    <row r="14" spans="1:9" ht="14.4" thickTop="1">
      <c r="A14" s="3491" t="s">
        <v>932</v>
      </c>
      <c r="B14" s="3491"/>
      <c r="C14" s="3491"/>
      <c r="D14" s="3491"/>
      <c r="E14" s="3491"/>
      <c r="F14" s="3491"/>
      <c r="G14" s="3491"/>
      <c r="H14" s="3491"/>
      <c r="I14" s="349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5" t="s">
        <v>949</v>
      </c>
      <c r="B1" s="3505"/>
      <c r="C1" s="3505"/>
      <c r="D1" s="3505"/>
    </row>
    <row r="2" spans="1:4" ht="17.399999999999999">
      <c r="A2" s="3506" t="s">
        <v>933</v>
      </c>
      <c r="B2" s="3506"/>
      <c r="C2" s="3506"/>
      <c r="D2" s="350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6" t="s">
        <v>939</v>
      </c>
      <c r="B6" s="3506"/>
      <c r="C6" s="3506"/>
      <c r="D6" s="350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7" t="s">
        <v>942</v>
      </c>
      <c r="B11" s="3499"/>
      <c r="C11" s="3499"/>
      <c r="D11" s="3499"/>
    </row>
    <row r="12" spans="1:4" ht="15.6">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499" t="str">
        <f>IF(项目基本情况!B8="抵押","4.本次评估估价师所知悉的法定优先受偿款情况说明如下：","——")</f>
        <v>4.本次评估估价师所知悉的法定优先受偿款情况说明如下：</v>
      </c>
      <c r="B14" s="3504"/>
      <c r="C14" s="3504"/>
      <c r="D14" s="3504"/>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943</v>
      </c>
      <c r="B16" s="3501"/>
      <c r="C16" s="3501"/>
      <c r="D16" s="3501"/>
    </row>
    <row r="17" spans="1:4" ht="144" customHeight="1">
      <c r="A17" s="3501" t="s">
        <v>944</v>
      </c>
      <c r="B17" s="3501"/>
      <c r="C17" s="3501"/>
      <c r="D17" s="3501"/>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9"/>
      <c r="C20" s="3499"/>
      <c r="D20" s="3499"/>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0">
        <v>42551</v>
      </c>
      <c r="D31" s="35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3" t="s">
        <v>956</v>
      </c>
      <c r="B15" s="3508" t="s">
        <v>109</v>
      </c>
      <c r="C15" s="3509"/>
    </row>
    <row r="16" spans="1:7" ht="14.4">
      <c r="A16" s="3514"/>
      <c r="B16" s="3508" t="s">
        <v>42</v>
      </c>
      <c r="C16" s="3509"/>
    </row>
    <row r="17" spans="1:3" ht="14.4">
      <c r="A17" s="3514"/>
      <c r="B17" s="3511" t="s">
        <v>957</v>
      </c>
      <c r="C17" s="1532" t="s">
        <v>956</v>
      </c>
    </row>
    <row r="18" spans="1:3" ht="14.4">
      <c r="A18" s="3514"/>
      <c r="B18" s="3511"/>
      <c r="C18" s="1532" t="s">
        <v>958</v>
      </c>
    </row>
    <row r="19" spans="1:3" ht="14.4">
      <c r="A19" s="3514"/>
      <c r="B19" s="3511"/>
      <c r="C19" s="1532" t="s">
        <v>959</v>
      </c>
    </row>
    <row r="20" spans="1:3" ht="14.4">
      <c r="A20" s="3515"/>
      <c r="B20" s="3510" t="s">
        <v>960</v>
      </c>
      <c r="C20" s="3509"/>
    </row>
    <row r="21" spans="1:3" ht="14.4">
      <c r="A21" s="1533" t="s">
        <v>961</v>
      </c>
      <c r="B21" s="1534"/>
      <c r="C21" s="1535"/>
    </row>
    <row r="22" spans="1:3" ht="14.4">
      <c r="A22" s="3512" t="s">
        <v>962</v>
      </c>
      <c r="B22" s="3510" t="s">
        <v>963</v>
      </c>
      <c r="C22" s="3509"/>
    </row>
    <row r="23" spans="1:3" ht="14.4">
      <c r="A23" s="3512"/>
      <c r="B23" s="3510" t="s">
        <v>964</v>
      </c>
      <c r="C23" s="3509"/>
    </row>
    <row r="24" spans="1:3" ht="14.4">
      <c r="A24" s="3512"/>
      <c r="B24" s="3510" t="s">
        <v>965</v>
      </c>
      <c r="C24" s="3509"/>
    </row>
    <row r="25" spans="1:3" ht="14.4">
      <c r="A25" s="3512"/>
      <c r="B25" s="3511" t="s">
        <v>966</v>
      </c>
      <c r="C25" s="1532" t="s">
        <v>967</v>
      </c>
    </row>
    <row r="26" spans="1:3" ht="14.4">
      <c r="A26" s="3512"/>
      <c r="B26" s="3511"/>
      <c r="C26" s="1532" t="s">
        <v>968</v>
      </c>
    </row>
    <row r="27" spans="1:3" ht="14.4">
      <c r="A27" s="3512"/>
      <c r="B27" s="3511"/>
      <c r="C27" s="1532" t="s">
        <v>969</v>
      </c>
    </row>
    <row r="28" spans="1:3" ht="14.4">
      <c r="A28" s="3512"/>
      <c r="B28" s="3511"/>
      <c r="C28" s="1532" t="s">
        <v>970</v>
      </c>
    </row>
    <row r="29" spans="1:3" ht="14.4">
      <c r="A29" s="3512"/>
      <c r="B29" s="3511"/>
      <c r="C29" s="1532" t="s">
        <v>971</v>
      </c>
    </row>
    <row r="30" spans="1:3" ht="14.4">
      <c r="A30" s="3512"/>
      <c r="B30" s="3511"/>
      <c r="C30" s="1532" t="s">
        <v>972</v>
      </c>
    </row>
    <row r="31" spans="1:3" ht="14.4">
      <c r="A31" s="3512"/>
      <c r="B31" s="3511"/>
      <c r="C31" s="1532" t="s">
        <v>973</v>
      </c>
    </row>
    <row r="32" spans="1:3" ht="14.4">
      <c r="A32" s="3512"/>
      <c r="B32" s="3511"/>
      <c r="C32" s="1532" t="s">
        <v>974</v>
      </c>
    </row>
    <row r="33" spans="1:3" ht="14.4">
      <c r="A33" s="3512"/>
      <c r="B33" s="351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45428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3"/>
      <c r="E18" s="3518" t="s">
        <v>2162</v>
      </c>
      <c r="F18" s="3517"/>
      <c r="G18" s="351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租金案例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2024-05-16T08:31:46Z</dcterms:modified>
</cp:coreProperties>
</file>