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1-chenying110\共享文件夹\电子版测算表\司法日坛北路17号院2525\"/>
    </mc:Choice>
  </mc:AlternateContent>
  <xr:revisionPtr revIDLastSave="0" documentId="13_ncr:1_{693E7279-F156-4D2E-9894-820DCA491A2E}" xr6:coauthVersionLast="45" xr6:coauthVersionMax="45" xr10:uidLastSave="{00000000-0000-0000-0000-000000000000}"/>
  <bookViews>
    <workbookView xWindow="1875" yWindow="660" windowWidth="10800" windowHeight="12240" tabRatio="885" firstSheet="13"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案例" sheetId="65" r:id="rId24"/>
    <sheet name="Sheet1" sheetId="64" r:id="rId25"/>
    <sheet name="Sheet4" sheetId="68" r:id="rId26"/>
    <sheet name="拍卖案例" sheetId="69"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state="hidden"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存贷款利率" sheetId="61" state="hidden" r:id="rId41"/>
  </sheets>
  <externalReferences>
    <externalReference r:id="rId42"/>
    <externalReference r:id="rId43"/>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2" hidden="1">'比较法-商业'!$A$1:$L$49</definedName>
    <definedName name="_xlnm._FilterDatabase" localSheetId="21" hidden="1">'比较法-住宅'!$A$1:$L$49</definedName>
    <definedName name="_xlnm._FilterDatabase" localSheetId="32" hidden="1">'土地比较法-工业'!$A$1:$L$43</definedName>
    <definedName name="_xlnm._FilterDatabase" localSheetId="31" hidden="1">'土地比较法-住宅、综合'!$A$1:$L$48</definedName>
    <definedName name="_xlnm._FilterDatabase" localSheetId="9" hidden="1">项目基本情况!#REF!</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3">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2">'土地比较法-工业'!$A$1:$K$60,'土地比较法-工业'!$A$63:$M$120</definedName>
    <definedName name="_xlnm.Print_Area" localSheetId="31">'土地比较法-住宅、综合'!$A$1:$K$65,'土地比较法-住宅、综合'!$A$68:$M$131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88" i="33" l="1"/>
  <c r="C6" i="1" l="1"/>
  <c r="M7" i="69" l="1"/>
  <c r="M6" i="69"/>
  <c r="M5" i="69"/>
  <c r="M3" i="69"/>
  <c r="M4" i="69"/>
  <c r="C6" i="11"/>
  <c r="G47" i="33" l="1"/>
  <c r="P6" i="68"/>
  <c r="I47" i="33" s="1"/>
  <c r="E47" i="33"/>
  <c r="J53" i="15"/>
  <c r="D14" i="9"/>
  <c r="H20" i="1"/>
  <c r="E20" i="1" s="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D7" i="63"/>
  <c r="C26" i="63" s="1"/>
  <c r="R14" i="63"/>
  <c r="R24" i="63" s="1"/>
  <c r="E23" i="63"/>
  <c r="D26" i="63"/>
  <c r="C29" i="63"/>
  <c r="C32" i="63" s="1"/>
  <c r="C38" i="63" s="1"/>
  <c r="C39" i="63" s="1"/>
  <c r="R35" i="63"/>
  <c r="U34" i="63" s="1"/>
  <c r="D29" i="63"/>
  <c r="AH10" i="59"/>
  <c r="AG10" i="59"/>
  <c r="AE10" i="59"/>
  <c r="AF10" i="59" s="1"/>
  <c r="AD10" i="59"/>
  <c r="Q10" i="59"/>
  <c r="P10" i="59"/>
  <c r="O10" i="59"/>
  <c r="N10" i="59"/>
  <c r="D32" i="63" l="1"/>
  <c r="R25" i="63"/>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s="1"/>
  <c r="AD24" i="59"/>
  <c r="AH25" i="59"/>
  <c r="AG25" i="59"/>
  <c r="AE25" i="59"/>
  <c r="AF25" i="59" s="1"/>
  <c r="AD25" i="59"/>
  <c r="Q25" i="59"/>
  <c r="P25" i="59"/>
  <c r="O25" i="59"/>
  <c r="C25" i="59" s="1"/>
  <c r="N25" i="59"/>
  <c r="Q26" i="59"/>
  <c r="P26" i="59"/>
  <c r="O26" i="59"/>
  <c r="N26" i="59"/>
  <c r="D26" i="59"/>
  <c r="E25" i="59"/>
  <c r="E24" i="59" s="1"/>
  <c r="E23" i="59" s="1"/>
  <c r="E22" i="59" s="1"/>
  <c r="E21" i="59" s="1"/>
  <c r="E20" i="59" s="1"/>
  <c r="E19" i="59" s="1"/>
  <c r="E18" i="59" s="1"/>
  <c r="E17" i="59" s="1"/>
  <c r="F25" i="59"/>
  <c r="F24" i="59" s="1"/>
  <c r="F23" i="59" s="1"/>
  <c r="A2" i="50"/>
  <c r="K60" i="15"/>
  <c r="P59" i="15" s="1"/>
  <c r="A127" i="57"/>
  <c r="A123" i="9"/>
  <c r="A6" i="52" s="1"/>
  <c r="B64" i="60" s="1"/>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s="1"/>
  <c r="AI9" i="43"/>
  <c r="AH9" i="43"/>
  <c r="AG9" i="43"/>
  <c r="AF9" i="43"/>
  <c r="AF12" i="43" s="1"/>
  <c r="AE9" i="43"/>
  <c r="AD9" i="43"/>
  <c r="AC9" i="43"/>
  <c r="AB9" i="43"/>
  <c r="AB12" i="43" s="1"/>
  <c r="AA9" i="43"/>
  <c r="AA12" i="43" s="1"/>
  <c r="Z9" i="43"/>
  <c r="AA10" i="43"/>
  <c r="AB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s="1"/>
  <c r="E87" i="59" s="1"/>
  <c r="C89" i="59"/>
  <c r="B89" i="59"/>
  <c r="B88" i="59" s="1"/>
  <c r="B87" i="59"/>
  <c r="D86" i="59"/>
  <c r="F85" i="59"/>
  <c r="F84" i="59" s="1"/>
  <c r="F83" i="59" s="1"/>
  <c r="E85" i="59"/>
  <c r="E84" i="59"/>
  <c r="E83" i="59" s="1"/>
  <c r="C85" i="59"/>
  <c r="D85" i="59" s="1"/>
  <c r="B85" i="59"/>
  <c r="B84" i="59" s="1"/>
  <c r="B83" i="59" s="1"/>
  <c r="D82" i="59"/>
  <c r="Q81" i="59"/>
  <c r="P81" i="59"/>
  <c r="O81" i="59"/>
  <c r="N81" i="59"/>
  <c r="F81" i="59"/>
  <c r="E81" i="59"/>
  <c r="U81" i="59" s="1"/>
  <c r="C81" i="59"/>
  <c r="B81" i="59"/>
  <c r="Q80" i="59"/>
  <c r="P80" i="59"/>
  <c r="O80" i="59"/>
  <c r="N80" i="59"/>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Q73" i="59"/>
  <c r="P73" i="59"/>
  <c r="O73" i="59"/>
  <c r="N73" i="59"/>
  <c r="F73" i="59"/>
  <c r="E73" i="59"/>
  <c r="U73" i="59" s="1"/>
  <c r="C73" i="59"/>
  <c r="B73" i="59"/>
  <c r="S73" i="59" s="1"/>
  <c r="Q72" i="59"/>
  <c r="P72" i="59"/>
  <c r="O72" i="59"/>
  <c r="N72" i="59"/>
  <c r="B72" i="59"/>
  <c r="B71" i="59" s="1"/>
  <c r="Q71" i="59"/>
  <c r="P71" i="59"/>
  <c r="O71" i="59"/>
  <c r="N71" i="59"/>
  <c r="Q70" i="59"/>
  <c r="P70" i="59"/>
  <c r="O70" i="59"/>
  <c r="N70" i="59"/>
  <c r="D70" i="59"/>
  <c r="F69" i="59"/>
  <c r="E69" i="59"/>
  <c r="C69" i="59"/>
  <c r="B69" i="59"/>
  <c r="N69" i="59" s="1"/>
  <c r="F68" i="59"/>
  <c r="B68" i="59"/>
  <c r="D66" i="59"/>
  <c r="Q65" i="59"/>
  <c r="P65" i="59"/>
  <c r="O65" i="59"/>
  <c r="N65" i="59"/>
  <c r="Q64" i="59"/>
  <c r="P64" i="59"/>
  <c r="O64" i="59"/>
  <c r="N64" i="59"/>
  <c r="Q63" i="59"/>
  <c r="P63" i="59"/>
  <c r="O63" i="59"/>
  <c r="N63" i="59"/>
  <c r="Q62" i="59"/>
  <c r="F63" i="59" s="1"/>
  <c r="F64" i="59" s="1"/>
  <c r="F65" i="59" s="1"/>
  <c r="V65" i="59" s="1"/>
  <c r="P62" i="59"/>
  <c r="E63" i="59" s="1"/>
  <c r="O62" i="59"/>
  <c r="C63" i="59" s="1"/>
  <c r="C64" i="59" s="1"/>
  <c r="C65" i="59" s="1"/>
  <c r="D65" i="59" s="1"/>
  <c r="N62" i="59"/>
  <c r="B63" i="59" s="1"/>
  <c r="B64" i="59" s="1"/>
  <c r="B65" i="59" s="1"/>
  <c r="S65" i="59" s="1"/>
  <c r="D62" i="59"/>
  <c r="Q61" i="59"/>
  <c r="P61" i="59"/>
  <c r="O61" i="59"/>
  <c r="N61" i="59"/>
  <c r="Q60" i="59"/>
  <c r="P60" i="59"/>
  <c r="O60" i="59"/>
  <c r="N60" i="59"/>
  <c r="Q59" i="59"/>
  <c r="P59" i="59"/>
  <c r="E60" i="59" s="1"/>
  <c r="E61" i="59" s="1"/>
  <c r="U61" i="59" s="1"/>
  <c r="O59" i="59"/>
  <c r="N59" i="59"/>
  <c r="Q58" i="59"/>
  <c r="F59" i="59"/>
  <c r="F60" i="59" s="1"/>
  <c r="F61" i="59" s="1"/>
  <c r="V61" i="59" s="1"/>
  <c r="P58" i="59"/>
  <c r="E59" i="59" s="1"/>
  <c r="O58" i="59"/>
  <c r="C59" i="59" s="1"/>
  <c r="C60" i="59" s="1"/>
  <c r="C61"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C56" i="59" s="1"/>
  <c r="C57" i="59" s="1"/>
  <c r="D57"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s="1"/>
  <c r="D47" i="59" s="1"/>
  <c r="N46" i="59"/>
  <c r="B47"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D43" i="59" s="1"/>
  <c r="N42" i="59"/>
  <c r="B43" i="59" s="1"/>
  <c r="B44" i="59" s="1"/>
  <c r="B45" i="59" s="1"/>
  <c r="S45" i="59" s="1"/>
  <c r="D42" i="59"/>
  <c r="Q41" i="59"/>
  <c r="P41" i="59"/>
  <c r="O41" i="59"/>
  <c r="N41" i="59"/>
  <c r="Q40" i="59"/>
  <c r="AB40" i="59" s="1"/>
  <c r="P40" i="59"/>
  <c r="O40" i="59"/>
  <c r="N40" i="59"/>
  <c r="Q39" i="59"/>
  <c r="AB39" i="59" s="1"/>
  <c r="P39" i="59"/>
  <c r="O39" i="59"/>
  <c r="Y39" i="59" s="1"/>
  <c r="Z39" i="59" s="1"/>
  <c r="N39" i="59"/>
  <c r="Q38" i="59"/>
  <c r="AB38" i="59" s="1"/>
  <c r="P38" i="59"/>
  <c r="E39" i="59"/>
  <c r="E40" i="59" s="1"/>
  <c r="O38" i="59"/>
  <c r="N38" i="59"/>
  <c r="D38" i="59"/>
  <c r="Q37" i="59"/>
  <c r="P37" i="59"/>
  <c r="O37" i="59"/>
  <c r="N37" i="59"/>
  <c r="Q36" i="59"/>
  <c r="P36" i="59"/>
  <c r="O36" i="59"/>
  <c r="N36" i="59"/>
  <c r="Q35" i="59"/>
  <c r="P35" i="59"/>
  <c r="O35" i="59"/>
  <c r="N35" i="59"/>
  <c r="Q34" i="59"/>
  <c r="AB34" i="59" s="1"/>
  <c r="P34" i="59"/>
  <c r="E35" i="59"/>
  <c r="E36" i="59" s="1"/>
  <c r="E37" i="59" s="1"/>
  <c r="U37" i="59" s="1"/>
  <c r="O34" i="59"/>
  <c r="N34" i="59"/>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N30" i="59"/>
  <c r="D30" i="59"/>
  <c r="O29" i="59"/>
  <c r="Y29" i="59" s="1"/>
  <c r="Z29" i="59" s="1"/>
  <c r="N29" i="59"/>
  <c r="C29" i="59"/>
  <c r="B29" i="59"/>
  <c r="B28" i="59" s="1"/>
  <c r="B27" i="59" s="1"/>
  <c r="C44" i="59"/>
  <c r="P29" i="59"/>
  <c r="E64" i="59"/>
  <c r="E65" i="59" s="1"/>
  <c r="U65" i="59" s="1"/>
  <c r="E72" i="59"/>
  <c r="E71" i="59" s="1"/>
  <c r="Q29" i="59"/>
  <c r="D55" i="59"/>
  <c r="D59" i="59"/>
  <c r="D63" i="59"/>
  <c r="N68" i="59"/>
  <c r="B67" i="59"/>
  <c r="N66" i="59" s="1"/>
  <c r="T69" i="59"/>
  <c r="D69" i="59"/>
  <c r="T73" i="59"/>
  <c r="D73" i="59"/>
  <c r="C72" i="59"/>
  <c r="C76" i="59"/>
  <c r="C75" i="59" s="1"/>
  <c r="D75" i="59" s="1"/>
  <c r="E76" i="59"/>
  <c r="E75" i="59" s="1"/>
  <c r="D77" i="59"/>
  <c r="E80" i="59"/>
  <c r="E79" i="59" s="1"/>
  <c r="C84" i="59"/>
  <c r="D84" i="59" s="1"/>
  <c r="F29" i="59"/>
  <c r="V29" i="59" s="1"/>
  <c r="AB28" i="59"/>
  <c r="E29" i="59"/>
  <c r="E28" i="59" s="1"/>
  <c r="E27" i="59" s="1"/>
  <c r="AA29" i="59"/>
  <c r="D29" i="59"/>
  <c r="C83" i="59"/>
  <c r="D83" i="59" s="1"/>
  <c r="D76" i="59"/>
  <c r="D64" i="59"/>
  <c r="D60" i="59"/>
  <c r="D56" i="59"/>
  <c r="N67" i="59"/>
  <c r="T57" i="59"/>
  <c r="T65" i="59"/>
  <c r="Q25" i="40"/>
  <c r="Z25" i="40" s="1"/>
  <c r="D93" i="40"/>
  <c r="E93" i="40" s="1"/>
  <c r="F93" i="40" s="1"/>
  <c r="G93" i="40" s="1"/>
  <c r="H25" i="40"/>
  <c r="U25" i="40" s="1"/>
  <c r="F25" i="40"/>
  <c r="AA25" i="40" s="1"/>
  <c r="Q27" i="39"/>
  <c r="Z27" i="39" s="1"/>
  <c r="D100" i="39"/>
  <c r="E100" i="39" s="1"/>
  <c r="F100" i="39" s="1"/>
  <c r="G100" i="39" s="1"/>
  <c r="Q18" i="36"/>
  <c r="Z18" i="36" s="1"/>
  <c r="F18" i="36"/>
  <c r="AA18" i="36" s="1"/>
  <c r="C18" i="36"/>
  <c r="D66" i="36"/>
  <c r="E66" i="36" s="1"/>
  <c r="F66" i="36" s="1"/>
  <c r="G66" i="36" s="1"/>
  <c r="Q18" i="35"/>
  <c r="Z18" i="35" s="1"/>
  <c r="D68" i="35"/>
  <c r="E68" i="35" s="1"/>
  <c r="F68" i="35" s="1"/>
  <c r="G68" i="35" s="1"/>
  <c r="J18" i="35"/>
  <c r="H18" i="35"/>
  <c r="AB18" i="35" s="1"/>
  <c r="F18" i="35"/>
  <c r="AA18" i="35" s="1"/>
  <c r="C18" i="35"/>
  <c r="Q21" i="37"/>
  <c r="Z21" i="37" s="1"/>
  <c r="D77" i="37"/>
  <c r="E77" i="37" s="1"/>
  <c r="F77" i="37" s="1"/>
  <c r="G77" i="37" s="1"/>
  <c r="H21" i="37"/>
  <c r="AB21" i="37" s="1"/>
  <c r="F21" i="37"/>
  <c r="AA21" i="37" s="1"/>
  <c r="C21" i="37"/>
  <c r="Q21" i="34"/>
  <c r="Z21" i="34" s="1"/>
  <c r="D84" i="34"/>
  <c r="E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B86" i="43" s="1"/>
  <c r="C22" i="20"/>
  <c r="B66" i="43" s="1"/>
  <c r="AB25" i="40"/>
  <c r="U18" i="35"/>
  <c r="S18" i="35"/>
  <c r="U21" i="37"/>
  <c r="S21" i="33"/>
  <c r="J25" i="40"/>
  <c r="J27" i="39"/>
  <c r="H27" i="39"/>
  <c r="F27" i="39"/>
  <c r="H18" i="36"/>
  <c r="J18" i="36"/>
  <c r="J21" i="37"/>
  <c r="F84" i="34"/>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C33" i="33"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s="1"/>
  <c r="S35" i="39" s="1"/>
  <c r="B111"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D111" i="33"/>
  <c r="E111" i="33" s="1"/>
  <c r="F111" i="33" s="1"/>
  <c r="S518" i="31"/>
  <c r="S519" i="31"/>
  <c r="S520" i="31"/>
  <c r="S521" i="31"/>
  <c r="S522" i="31"/>
  <c r="S523" i="31"/>
  <c r="S524" i="31"/>
  <c r="S525" i="31"/>
  <c r="S526" i="31"/>
  <c r="S527" i="31"/>
  <c r="F41" i="2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c r="I67" i="34" s="1"/>
  <c r="D126" i="34"/>
  <c r="D124" i="34"/>
  <c r="E124" i="34" s="1"/>
  <c r="F124" i="34" s="1"/>
  <c r="G124" i="34" s="1"/>
  <c r="H124" i="34" s="1"/>
  <c r="I124" i="34" s="1"/>
  <c r="J124" i="34" s="1"/>
  <c r="K124" i="34" s="1"/>
  <c r="L124" i="34" s="1"/>
  <c r="M124" i="34" s="1"/>
  <c r="D118" i="34"/>
  <c r="E118" i="34"/>
  <c r="F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D81" i="33"/>
  <c r="E81" i="33" s="1"/>
  <c r="F81" i="33" s="1"/>
  <c r="G81" i="33" s="1"/>
  <c r="D79" i="33"/>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AB9" i="33" s="1"/>
  <c r="F54" i="33"/>
  <c r="P49" i="33"/>
  <c r="P48" i="33"/>
  <c r="V47" i="33"/>
  <c r="T47" i="33"/>
  <c r="R47" i="33"/>
  <c r="P47" i="33"/>
  <c r="Q46" i="33"/>
  <c r="Z46" i="33"/>
  <c r="Q45" i="33"/>
  <c r="Z45" i="33"/>
  <c r="Q44" i="33"/>
  <c r="Z44" i="33"/>
  <c r="Q43" i="33"/>
  <c r="Z43" i="33"/>
  <c r="Q42" i="33"/>
  <c r="Z42" i="33"/>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F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W22" i="36"/>
  <c r="AA31" i="36"/>
  <c r="AC31" i="36"/>
  <c r="W31" i="36"/>
  <c r="U31" i="36"/>
  <c r="J33" i="36"/>
  <c r="W33" i="36" s="1"/>
  <c r="H22" i="35"/>
  <c r="AB22" i="35" s="1"/>
  <c r="U31" i="35"/>
  <c r="S32" i="35"/>
  <c r="S31" i="35"/>
  <c r="W31" i="35"/>
  <c r="U32" i="35"/>
  <c r="F36" i="34"/>
  <c r="AA36" i="34" s="1"/>
  <c r="U39" i="34"/>
  <c r="H39" i="33"/>
  <c r="AB39" i="33" s="1"/>
  <c r="S40" i="33"/>
  <c r="W8" i="21"/>
  <c r="H39" i="37"/>
  <c r="AB39" i="37" s="1"/>
  <c r="S27" i="35"/>
  <c r="F11" i="40"/>
  <c r="AA11" i="40" s="1"/>
  <c r="S8" i="40"/>
  <c r="H11" i="40"/>
  <c r="AB11" i="40" s="1"/>
  <c r="U9" i="40"/>
  <c r="U34" i="40"/>
  <c r="F42" i="39"/>
  <c r="AA42" i="39" s="1"/>
  <c r="F41" i="39"/>
  <c r="AA41" i="39" s="1"/>
  <c r="H40" i="39"/>
  <c r="AB40" i="39" s="1"/>
  <c r="H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H11" i="39"/>
  <c r="AB11" i="39" s="1"/>
  <c r="H11" i="21"/>
  <c r="U11" i="21" s="1"/>
  <c r="J11" i="21"/>
  <c r="AC11" i="21" s="1"/>
  <c r="H36" i="40"/>
  <c r="U36" i="40" s="1"/>
  <c r="F35" i="40"/>
  <c r="S35" i="40" s="1"/>
  <c r="J30" i="40"/>
  <c r="W30" i="40" s="1"/>
  <c r="F30" i="40"/>
  <c r="AA30" i="40" s="1"/>
  <c r="H27" i="40"/>
  <c r="U27" i="40" s="1"/>
  <c r="H23" i="40"/>
  <c r="AB23" i="40" s="1"/>
  <c r="J11" i="40"/>
  <c r="W11" i="40" s="1"/>
  <c r="F37" i="39"/>
  <c r="S37" i="39" s="1"/>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F37" i="33" s="1"/>
  <c r="S37" i="33" s="1"/>
  <c r="J34" i="33"/>
  <c r="AC34" i="33" s="1"/>
  <c r="F25" i="33"/>
  <c r="J25" i="33"/>
  <c r="AC25" i="33" s="1"/>
  <c r="H25" i="33"/>
  <c r="AB25" i="33" s="1"/>
  <c r="J23" i="33"/>
  <c r="AC23" i="33" s="1"/>
  <c r="H23" i="33"/>
  <c r="U23" i="33" s="1"/>
  <c r="F19" i="33"/>
  <c r="S19" i="33" s="1"/>
  <c r="J19" i="33"/>
  <c r="W19" i="33" s="1"/>
  <c r="H17" i="33"/>
  <c r="AB17" i="33" s="1"/>
  <c r="J15" i="33"/>
  <c r="AC15" i="33" s="1"/>
  <c r="F11" i="33"/>
  <c r="AA11" i="33" s="1"/>
  <c r="H10" i="33"/>
  <c r="U10" i="33" s="1"/>
  <c r="S10" i="21"/>
  <c r="F37" i="40"/>
  <c r="AA37" i="40" s="1"/>
  <c r="F36" i="40"/>
  <c r="AA36" i="40" s="1"/>
  <c r="J27" i="40"/>
  <c r="W27" i="40" s="1"/>
  <c r="F27" i="40"/>
  <c r="S27" i="40" s="1"/>
  <c r="F23" i="40"/>
  <c r="AA23" i="40" s="1"/>
  <c r="AC11" i="40"/>
  <c r="AB30" i="36"/>
  <c r="AC34" i="36"/>
  <c r="F29" i="35"/>
  <c r="S29" i="35" s="1"/>
  <c r="U34" i="37"/>
  <c r="AB42" i="34"/>
  <c r="H38" i="34"/>
  <c r="F113" i="33"/>
  <c r="G113" i="33" s="1"/>
  <c r="H113" i="33" s="1"/>
  <c r="I113" i="33" s="1"/>
  <c r="J113" i="33" s="1"/>
  <c r="K113" i="33" s="1"/>
  <c r="L113" i="33" s="1"/>
  <c r="M113" i="33" s="1"/>
  <c r="H37" i="33"/>
  <c r="AB37" i="33" s="1"/>
  <c r="F17" i="33"/>
  <c r="AA17" i="33" s="1"/>
  <c r="H15" i="33"/>
  <c r="AB15" i="33" s="1"/>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S14" i="33"/>
  <c r="AC32" i="34"/>
  <c r="AC14" i="34"/>
  <c r="J10" i="36"/>
  <c r="AC10" i="36" s="1"/>
  <c r="AB46" i="21"/>
  <c r="U14" i="21"/>
  <c r="AC14" i="21"/>
  <c r="S46" i="33"/>
  <c r="AC13" i="36"/>
  <c r="AC11" i="36"/>
  <c r="U32" i="36"/>
  <c r="AB45" i="33"/>
  <c r="U31" i="33"/>
  <c r="AC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5" i="39"/>
  <c r="E60" i="40"/>
  <c r="F34" i="43"/>
  <c r="C21" i="1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W13" i="21" s="1"/>
  <c r="F13" i="21"/>
  <c r="AA13" i="21" s="1"/>
  <c r="J45" i="21"/>
  <c r="F45" i="21"/>
  <c r="AA45" i="21" s="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AB13" i="37"/>
  <c r="U44" i="33"/>
  <c r="U11" i="36"/>
  <c r="AB11" i="35"/>
  <c r="U32" i="34"/>
  <c r="AB32" i="34"/>
  <c r="AA30" i="34"/>
  <c r="H45" i="21"/>
  <c r="AB45" i="21" s="1"/>
  <c r="J14" i="36"/>
  <c r="AC14" i="36" s="1"/>
  <c r="AC30" i="21"/>
  <c r="S15" i="34"/>
  <c r="J40" i="34"/>
  <c r="AC40" i="34" s="1"/>
  <c r="S37" i="40"/>
  <c r="H19" i="33"/>
  <c r="AB19" i="33" s="1"/>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F32" i="33"/>
  <c r="AA32" i="33" s="1"/>
  <c r="H9" i="34"/>
  <c r="AB9" i="34" s="1"/>
  <c r="H28" i="34"/>
  <c r="U28" i="34" s="1"/>
  <c r="E116" i="34"/>
  <c r="F116" i="34" s="1"/>
  <c r="G116" i="34" s="1"/>
  <c r="H116" i="34" s="1"/>
  <c r="I116" i="34" s="1"/>
  <c r="J116" i="34" s="1"/>
  <c r="K116" i="34" s="1"/>
  <c r="L116" i="34" s="1"/>
  <c r="M116" i="34" s="1"/>
  <c r="J39" i="34"/>
  <c r="W39" i="34" s="1"/>
  <c r="J27" i="36"/>
  <c r="AC27" i="36" s="1"/>
  <c r="F37" i="34"/>
  <c r="AA37" i="34" s="1"/>
  <c r="H37" i="34"/>
  <c r="U37" i="34" s="1"/>
  <c r="F26" i="47"/>
  <c r="B24" i="47" s="1"/>
  <c r="AA32" i="37"/>
  <c r="U12" i="40"/>
  <c r="AC14" i="39"/>
  <c r="AC46" i="34"/>
  <c r="AA32" i="34"/>
  <c r="S31" i="33"/>
  <c r="U10" i="36"/>
  <c r="W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E117" i="33"/>
  <c r="F117" i="33" s="1"/>
  <c r="G117" i="33" s="1"/>
  <c r="J39" i="33"/>
  <c r="AC39" i="33" s="1"/>
  <c r="E125" i="33"/>
  <c r="F125" i="33" s="1"/>
  <c r="G125" i="33" s="1"/>
  <c r="H43" i="33"/>
  <c r="U43" i="33" s="1"/>
  <c r="E91" i="33"/>
  <c r="F91" i="33"/>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A38" i="33"/>
  <c r="AC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J26" i="37"/>
  <c r="AC26" i="37" s="1"/>
  <c r="H26" i="37"/>
  <c r="AB26" i="37" s="1"/>
  <c r="F26" i="37"/>
  <c r="AA26" i="37" s="1"/>
  <c r="J23" i="39"/>
  <c r="W23" i="39" s="1"/>
  <c r="E96" i="39"/>
  <c r="H15" i="37"/>
  <c r="AB15" i="37" s="1"/>
  <c r="F15" i="37"/>
  <c r="AA15" i="37" s="1"/>
  <c r="F38" i="40"/>
  <c r="AA38" i="40" s="1"/>
  <c r="J38" i="40"/>
  <c r="W38" i="40" s="1"/>
  <c r="H38" i="40"/>
  <c r="AB38" i="40" s="1"/>
  <c r="J40" i="40"/>
  <c r="AC40" i="40" s="1"/>
  <c r="H40" i="40"/>
  <c r="AB40" i="40" s="1"/>
  <c r="F40" i="40"/>
  <c r="AA40" i="40" s="1"/>
  <c r="N6" i="43"/>
  <c r="M1" i="43"/>
  <c r="F101" i="9"/>
  <c r="F33" i="9"/>
  <c r="C25" i="57"/>
  <c r="N102" i="43"/>
  <c r="F59" i="43"/>
  <c r="H63" i="43" s="1"/>
  <c r="G15" i="47"/>
  <c r="W40" i="40"/>
  <c r="H25" i="34"/>
  <c r="U25" i="34" s="1"/>
  <c r="AB35" i="39"/>
  <c r="AC40" i="37"/>
  <c r="S27" i="37"/>
  <c r="AA34" i="35"/>
  <c r="AB24" i="35"/>
  <c r="J17" i="34"/>
  <c r="AC17" i="34" s="1"/>
  <c r="G80" i="34"/>
  <c r="F17" i="34"/>
  <c r="AA17" i="34" s="1"/>
  <c r="H27" i="33"/>
  <c r="AB27" i="33" s="1"/>
  <c r="F43" i="33"/>
  <c r="S43" i="33" s="1"/>
  <c r="J43" i="33"/>
  <c r="AC43" i="33" s="1"/>
  <c r="AB31" i="21"/>
  <c r="U31" i="21"/>
  <c r="S29" i="21"/>
  <c r="AC27" i="21"/>
  <c r="S37" i="34"/>
  <c r="H27" i="36"/>
  <c r="AB27" i="36" s="1"/>
  <c r="F27" i="36"/>
  <c r="AA27" i="36" s="1"/>
  <c r="J28" i="34"/>
  <c r="W28" i="34" s="1"/>
  <c r="AB34" i="21"/>
  <c r="H11" i="34"/>
  <c r="U11" i="34" s="1"/>
  <c r="S17" i="37"/>
  <c r="J11" i="37"/>
  <c r="AC11" i="37" s="1"/>
  <c r="AC36" i="34"/>
  <c r="W12" i="39"/>
  <c r="AC12" i="39"/>
  <c r="W9" i="34"/>
  <c r="S45" i="21"/>
  <c r="AC37" i="37"/>
  <c r="U38" i="40"/>
  <c r="F23" i="39"/>
  <c r="AA23" i="39" s="1"/>
  <c r="F96" i="39"/>
  <c r="G96" i="39" s="1"/>
  <c r="F44" i="34"/>
  <c r="AA44" i="34" s="1"/>
  <c r="J44" i="34"/>
  <c r="AC44" i="34" s="1"/>
  <c r="U31" i="37"/>
  <c r="W27" i="37"/>
  <c r="H10" i="37"/>
  <c r="U10" i="37" s="1"/>
  <c r="S24" i="35"/>
  <c r="AB29" i="21"/>
  <c r="W27" i="36"/>
  <c r="U9" i="34"/>
  <c r="H32" i="33"/>
  <c r="AB32" i="33" s="1"/>
  <c r="W40" i="34"/>
  <c r="U12" i="36"/>
  <c r="AC45" i="21"/>
  <c r="W45" i="21"/>
  <c r="AC13" i="21"/>
  <c r="J10" i="37"/>
  <c r="AC10" i="37" s="1"/>
  <c r="H23" i="39"/>
  <c r="AB23" i="39" s="1"/>
  <c r="J11" i="34"/>
  <c r="W11" i="34" s="1"/>
  <c r="J27" i="33"/>
  <c r="W27" i="33" s="1"/>
  <c r="W17" i="34"/>
  <c r="J25" i="34"/>
  <c r="W25" i="34" s="1"/>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s="1"/>
  <c r="J97" i="40" s="1"/>
  <c r="K97" i="40" s="1"/>
  <c r="L97" i="40" s="1"/>
  <c r="M97" i="40" s="1"/>
  <c r="F21" i="40"/>
  <c r="H21" i="40"/>
  <c r="F89" i="40"/>
  <c r="G89" i="40" s="1"/>
  <c r="J21" i="40"/>
  <c r="W21" i="40" s="1"/>
  <c r="W19" i="40"/>
  <c r="F85" i="40"/>
  <c r="G85" i="40" s="1"/>
  <c r="H17" i="40"/>
  <c r="U17" i="40" s="1"/>
  <c r="J17" i="40"/>
  <c r="F17" i="40"/>
  <c r="S17" i="40" s="1"/>
  <c r="F83" i="40"/>
  <c r="G83" i="40" s="1"/>
  <c r="F15" i="40"/>
  <c r="J15" i="40"/>
  <c r="H15" i="40"/>
  <c r="AB15" i="40" s="1"/>
  <c r="AC25" i="40"/>
  <c r="W25" i="40"/>
  <c r="U19" i="40"/>
  <c r="U14" i="40"/>
  <c r="U8" i="40"/>
  <c r="AA19" i="40"/>
  <c r="S36" i="40"/>
  <c r="AA35" i="40"/>
  <c r="AC38" i="39"/>
  <c r="AC17" i="39"/>
  <c r="AA37" i="39"/>
  <c r="AB29" i="39"/>
  <c r="AC25" i="39"/>
  <c r="AC23" i="39"/>
  <c r="W27" i="39"/>
  <c r="AC27" i="39"/>
  <c r="U41" i="39"/>
  <c r="U42" i="39"/>
  <c r="AB13" i="39"/>
  <c r="U19" i="39"/>
  <c r="AB27" i="39"/>
  <c r="U27" i="39"/>
  <c r="AA27" i="39"/>
  <c r="S27" i="39"/>
  <c r="S40" i="39"/>
  <c r="S31" i="39"/>
  <c r="AC11" i="39"/>
  <c r="S13" i="39"/>
  <c r="S34" i="36"/>
  <c r="AC24" i="36"/>
  <c r="S11" i="36"/>
  <c r="S12" i="36"/>
  <c r="S22" i="36"/>
  <c r="AC16"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4" i="37"/>
  <c r="AB11" i="37"/>
  <c r="S37" i="37"/>
  <c r="AA14" i="37"/>
  <c r="AA38" i="37"/>
  <c r="W35" i="34"/>
  <c r="AB11" i="34"/>
  <c r="AC28" i="34"/>
  <c r="S40" i="34"/>
  <c r="AB41" i="34"/>
  <c r="S38" i="34"/>
  <c r="S36" i="34"/>
  <c r="U43" i="34"/>
  <c r="S43" i="34"/>
  <c r="AB19" i="34"/>
  <c r="S17" i="34"/>
  <c r="AB17" i="34"/>
  <c r="AA9" i="34"/>
  <c r="W15" i="34"/>
  <c r="W31" i="34"/>
  <c r="U23" i="34"/>
  <c r="U36" i="34"/>
  <c r="U21" i="34"/>
  <c r="AB21" i="34"/>
  <c r="AA25" i="34"/>
  <c r="AA41" i="34"/>
  <c r="AA46" i="34"/>
  <c r="W11" i="33"/>
  <c r="U27" i="33"/>
  <c r="U38" i="33"/>
  <c r="W37" i="33"/>
  <c r="AC41" i="33"/>
  <c r="AA45" i="33"/>
  <c r="U46" i="33"/>
  <c r="S17" i="33"/>
  <c r="U9" i="33"/>
  <c r="S10" i="33"/>
  <c r="AC12" i="33"/>
  <c r="W39" i="33"/>
  <c r="W13" i="33"/>
  <c r="AC46" i="33"/>
  <c r="AC19" i="33"/>
  <c r="AC21" i="33"/>
  <c r="U13" i="33"/>
  <c r="W42" i="21"/>
  <c r="AA39" i="21"/>
  <c r="W39" i="21"/>
  <c r="AA34" i="21"/>
  <c r="AC26" i="21"/>
  <c r="AB39" i="21"/>
  <c r="AC37" i="21"/>
  <c r="AC28"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G22" i="11"/>
  <c r="G41" i="11"/>
  <c r="E48" i="43"/>
  <c r="H113" i="43"/>
  <c r="X7" i="43"/>
  <c r="E59" i="43"/>
  <c r="B57" i="43"/>
  <c r="E70" i="43"/>
  <c r="B68" i="43"/>
  <c r="C24" i="43" s="1"/>
  <c r="AI11" i="43"/>
  <c r="AG11" i="43"/>
  <c r="AE11" i="43"/>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s="1"/>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0" i="33"/>
  <c r="S39" i="33"/>
  <c r="W40" i="33"/>
  <c r="U35" i="33"/>
  <c r="AC45" i="33"/>
  <c r="AB29" i="33"/>
  <c r="W15" i="33"/>
  <c r="W8" i="33"/>
  <c r="G83" i="21"/>
  <c r="J21" i="21"/>
  <c r="AC21" i="21" s="1"/>
  <c r="S27" i="21"/>
  <c r="AC31" i="21"/>
  <c r="AA32" i="21"/>
  <c r="W23" i="21"/>
  <c r="AB25" i="21"/>
  <c r="AA25" i="21"/>
  <c r="U40" i="21"/>
  <c r="S46" i="21"/>
  <c r="AC46" i="21"/>
  <c r="AA26" i="21"/>
  <c r="W10" i="21"/>
  <c r="S35" i="21"/>
  <c r="C15" i="39"/>
  <c r="C17" i="39"/>
  <c r="C19" i="39"/>
  <c r="C15" i="40"/>
  <c r="C17" i="40"/>
  <c r="U30" i="40"/>
  <c r="B49" i="43"/>
  <c r="B52" i="43"/>
  <c r="B56"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s="1"/>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B25" i="59"/>
  <c r="S25" i="59" s="1"/>
  <c r="AB25" i="59"/>
  <c r="U25" i="59"/>
  <c r="AA24" i="59"/>
  <c r="X24" i="59"/>
  <c r="AB24" i="59"/>
  <c r="AA23" i="59"/>
  <c r="Y23" i="59"/>
  <c r="Z23" i="59" s="1"/>
  <c r="Y21" i="59"/>
  <c r="Z21" i="59" s="1"/>
  <c r="AB21" i="59"/>
  <c r="AB19" i="59"/>
  <c r="X21" i="59"/>
  <c r="X19" i="59"/>
  <c r="AA21" i="59"/>
  <c r="AA19" i="59"/>
  <c r="AB20" i="59"/>
  <c r="X20" i="59"/>
  <c r="U21" i="59"/>
  <c r="J30" i="35"/>
  <c r="W30" i="35" s="1"/>
  <c r="H30" i="35"/>
  <c r="AB30" i="35" s="1"/>
  <c r="AA30" i="35"/>
  <c r="N56" i="9"/>
  <c r="O56" i="9"/>
  <c r="O58" i="57"/>
  <c r="K58" i="57"/>
  <c r="K59" i="57" s="1"/>
  <c r="K61" i="57" s="1"/>
  <c r="K63" i="57" s="1"/>
  <c r="N58" i="57"/>
  <c r="K56" i="9"/>
  <c r="K57" i="9" s="1"/>
  <c r="K59" i="9" s="1"/>
  <c r="K61" i="9" s="1"/>
  <c r="L58" i="57"/>
  <c r="F22" i="59"/>
  <c r="F21" i="59" s="1"/>
  <c r="F20" i="59" s="1"/>
  <c r="F19" i="59" s="1"/>
  <c r="F18" i="59" s="1"/>
  <c r="F17" i="59" s="1"/>
  <c r="X3" i="59"/>
  <c r="Y3" i="59"/>
  <c r="Z3" i="59" s="1"/>
  <c r="F48" i="43"/>
  <c r="H50" i="43" s="1"/>
  <c r="G4" i="47"/>
  <c r="U30" i="35"/>
  <c r="I116" i="57"/>
  <c r="D133" i="57" s="1"/>
  <c r="D120" i="57"/>
  <c r="I114" i="9"/>
  <c r="D129" i="9" s="1"/>
  <c r="I112" i="9"/>
  <c r="D116" i="9"/>
  <c r="D114" i="9"/>
  <c r="D115" i="9"/>
  <c r="I113" i="9" s="1"/>
  <c r="E2" i="36"/>
  <c r="E2" i="34"/>
  <c r="E2" i="21"/>
  <c r="D19" i="57"/>
  <c r="F5" i="61"/>
  <c r="E2" i="11"/>
  <c r="E2" i="37"/>
  <c r="H23" i="31"/>
  <c r="C20" i="57"/>
  <c r="C19" i="57"/>
  <c r="E2" i="33"/>
  <c r="D5" i="61"/>
  <c r="F3" i="61"/>
  <c r="F7" i="61"/>
  <c r="D7" i="61"/>
  <c r="D20" i="57"/>
  <c r="F4" i="61"/>
  <c r="D4" i="61"/>
  <c r="E2" i="35"/>
  <c r="F6" i="61"/>
  <c r="U25" i="33" l="1"/>
  <c r="S12" i="33"/>
  <c r="AA12" i="33"/>
  <c r="E79" i="33"/>
  <c r="F79" i="33" s="1"/>
  <c r="G79" i="33" s="1"/>
  <c r="J17" i="33"/>
  <c r="AC17" i="33" s="1"/>
  <c r="E85" i="33"/>
  <c r="F85" i="33" s="1"/>
  <c r="G85" i="33" s="1"/>
  <c r="F23" i="33"/>
  <c r="AA23" i="33" s="1"/>
  <c r="E123" i="33"/>
  <c r="F123" i="33" s="1"/>
  <c r="G123" i="33" s="1"/>
  <c r="H123" i="33" s="1"/>
  <c r="I123" i="33" s="1"/>
  <c r="J123" i="33" s="1"/>
  <c r="K123" i="33" s="1"/>
  <c r="L123" i="33" s="1"/>
  <c r="M123" i="33" s="1"/>
  <c r="J42" i="33"/>
  <c r="AC42" i="33" s="1"/>
  <c r="AC19" i="37"/>
  <c r="AB25" i="34"/>
  <c r="U15" i="37"/>
  <c r="AB25" i="39"/>
  <c r="S47" i="34"/>
  <c r="W9" i="21"/>
  <c r="AC9" i="21"/>
  <c r="C24" i="59"/>
  <c r="T25" i="59"/>
  <c r="D25" i="59"/>
  <c r="H17" i="43"/>
  <c r="S21" i="34"/>
  <c r="S18" i="36"/>
  <c r="S69" i="59"/>
  <c r="AB26" i="59"/>
  <c r="Y28" i="59"/>
  <c r="Z28" i="59" s="1"/>
  <c r="P72" i="15"/>
  <c r="J9" i="36"/>
  <c r="AB29" i="59"/>
  <c r="B48" i="59"/>
  <c r="B49" i="59" s="1"/>
  <c r="S49" i="59" s="1"/>
  <c r="C48" i="59"/>
  <c r="D48" i="59" s="1"/>
  <c r="S33" i="33"/>
  <c r="AC33" i="33"/>
  <c r="W42" i="33"/>
  <c r="U39" i="33"/>
  <c r="U40" i="33"/>
  <c r="U37" i="33"/>
  <c r="U34" i="33"/>
  <c r="W35" i="33"/>
  <c r="AA35" i="33"/>
  <c r="B54" i="43"/>
  <c r="B60" i="43"/>
  <c r="C21" i="39"/>
  <c r="B65" i="43"/>
  <c r="AC34" i="35"/>
  <c r="W34" i="35"/>
  <c r="U34" i="36"/>
  <c r="AB34" i="36"/>
  <c r="AC39" i="37"/>
  <c r="W39" i="37"/>
  <c r="G111" i="33"/>
  <c r="H111" i="33" s="1"/>
  <c r="I111" i="33" s="1"/>
  <c r="J111" i="33" s="1"/>
  <c r="K111" i="33" s="1"/>
  <c r="L111" i="33" s="1"/>
  <c r="M111" i="33" s="1"/>
  <c r="H36" i="33"/>
  <c r="F36" i="33"/>
  <c r="J36" i="33"/>
  <c r="S9" i="21"/>
  <c r="AA9" i="21"/>
  <c r="AC27" i="34"/>
  <c r="W27" i="34"/>
  <c r="S32" i="36"/>
  <c r="AA32" i="36"/>
  <c r="AC30" i="35"/>
  <c r="W32" i="35"/>
  <c r="AA39" i="37"/>
  <c r="U33" i="21"/>
  <c r="B74" i="43"/>
  <c r="U69" i="59"/>
  <c r="E68" i="59"/>
  <c r="V73" i="59"/>
  <c r="F72" i="59"/>
  <c r="F71" i="59" s="1"/>
  <c r="AE12" i="43"/>
  <c r="AE10" i="43"/>
  <c r="AI12" i="43"/>
  <c r="AI10" i="43"/>
  <c r="W21" i="21"/>
  <c r="B24" i="59"/>
  <c r="B23" i="59" s="1"/>
  <c r="B22" i="59" s="1"/>
  <c r="B21" i="59" s="1"/>
  <c r="B20" i="59" s="1"/>
  <c r="B19" i="59" s="1"/>
  <c r="B18" i="59" s="1"/>
  <c r="B17" i="59" s="1"/>
  <c r="AE13" i="43"/>
  <c r="AI13" i="43"/>
  <c r="S44" i="34"/>
  <c r="AB27" i="37"/>
  <c r="S26" i="37"/>
  <c r="AA12" i="37"/>
  <c r="AB24" i="36"/>
  <c r="C110" i="57"/>
  <c r="H104" i="57" s="1"/>
  <c r="S23" i="21"/>
  <c r="AC18" i="35"/>
  <c r="W18" i="35"/>
  <c r="F28" i="59"/>
  <c r="F27" i="59" s="1"/>
  <c r="D72" i="59"/>
  <c r="C71" i="59"/>
  <c r="D71" i="59" s="1"/>
  <c r="C45" i="59"/>
  <c r="D44" i="59"/>
  <c r="Y27" i="59"/>
  <c r="Z27" i="59" s="1"/>
  <c r="X40" i="59"/>
  <c r="X28" i="59"/>
  <c r="AA28" i="59"/>
  <c r="AA26" i="59"/>
  <c r="C52" i="59"/>
  <c r="D51" i="59"/>
  <c r="S81" i="59"/>
  <c r="B80" i="59"/>
  <c r="B79" i="59" s="1"/>
  <c r="AB27" i="59"/>
  <c r="Y26" i="59"/>
  <c r="Z26" i="59" s="1"/>
  <c r="T29" i="59"/>
  <c r="C28" i="59"/>
  <c r="X30" i="59"/>
  <c r="X27" i="59"/>
  <c r="X34" i="59"/>
  <c r="E41" i="59"/>
  <c r="D61" i="59"/>
  <c r="T61" i="59"/>
  <c r="F67" i="59"/>
  <c r="Q68" i="59"/>
  <c r="O69" i="59"/>
  <c r="C68" i="59"/>
  <c r="V69" i="59"/>
  <c r="Q69" i="59"/>
  <c r="T81" i="59"/>
  <c r="C80" i="59"/>
  <c r="D81" i="59"/>
  <c r="V81" i="59"/>
  <c r="F80" i="59"/>
  <c r="F79" i="59" s="1"/>
  <c r="D89" i="59"/>
  <c r="C88" i="59"/>
  <c r="B18" i="50"/>
  <c r="AA3" i="59"/>
  <c r="AB3" i="59"/>
  <c r="AA27" i="59"/>
  <c r="Y30" i="59"/>
  <c r="Z30" i="59" s="1"/>
  <c r="AA30" i="59"/>
  <c r="X31" i="59"/>
  <c r="AA31" i="59"/>
  <c r="X32" i="59"/>
  <c r="AA32" i="59"/>
  <c r="AA33" i="59"/>
  <c r="Y34" i="59"/>
  <c r="Z34" i="59" s="1"/>
  <c r="AA34" i="59"/>
  <c r="X39" i="59"/>
  <c r="U33" i="33"/>
  <c r="C29" i="11"/>
  <c r="D27" i="11" s="1"/>
  <c r="AA43" i="33"/>
  <c r="W43" i="33"/>
  <c r="AB43" i="33"/>
  <c r="AB42" i="33"/>
  <c r="S42" i="33"/>
  <c r="AA37" i="33"/>
  <c r="S34" i="33"/>
  <c r="W25" i="33"/>
  <c r="S23" i="33"/>
  <c r="AB23" i="33"/>
  <c r="U21" i="33"/>
  <c r="AA19" i="33"/>
  <c r="U19" i="33"/>
  <c r="W17" i="33"/>
  <c r="U17" i="33"/>
  <c r="U15" i="33"/>
  <c r="S15" i="33"/>
  <c r="J32" i="33"/>
  <c r="W32" i="33" s="1"/>
  <c r="S32" i="33"/>
  <c r="U32" i="33"/>
  <c r="AB11" i="33"/>
  <c r="S9" i="33"/>
  <c r="W9" i="33"/>
  <c r="S8" i="33"/>
  <c r="J52" i="15"/>
  <c r="F7" i="15"/>
  <c r="E18" i="1"/>
  <c r="C34" i="11" s="1"/>
  <c r="D80" i="57"/>
  <c r="D78" i="9"/>
  <c r="J6" i="15"/>
  <c r="C19" i="12"/>
  <c r="B58" i="60"/>
  <c r="M60" i="15"/>
  <c r="D42" i="50"/>
  <c r="D43" i="50" s="1"/>
  <c r="S21" i="59"/>
  <c r="F16" i="59"/>
  <c r="F15" i="59" s="1"/>
  <c r="F14" i="59" s="1"/>
  <c r="F13" i="59" s="1"/>
  <c r="V17" i="59"/>
  <c r="D39" i="50"/>
  <c r="D40" i="50" s="1"/>
  <c r="I14" i="62"/>
  <c r="B8" i="62" s="1"/>
  <c r="C8" i="62" s="1"/>
  <c r="V21" i="59"/>
  <c r="B23" i="60"/>
  <c r="H81" i="43"/>
  <c r="U27" i="21"/>
  <c r="W34" i="21"/>
  <c r="W40" i="21"/>
  <c r="AC32" i="21"/>
  <c r="AA15" i="21"/>
  <c r="AB41" i="33"/>
  <c r="AC27" i="33"/>
  <c r="AC39" i="34"/>
  <c r="W11" i="37"/>
  <c r="U27" i="36"/>
  <c r="W14" i="36"/>
  <c r="AA12" i="39"/>
  <c r="W35" i="39"/>
  <c r="S23" i="39"/>
  <c r="U23" i="39"/>
  <c r="S27" i="36"/>
  <c r="U45" i="21"/>
  <c r="S31" i="21"/>
  <c r="AA27" i="33"/>
  <c r="S40" i="21"/>
  <c r="S24" i="36"/>
  <c r="AB13" i="21"/>
  <c r="W29" i="21"/>
  <c r="G103" i="43"/>
  <c r="W17" i="21"/>
  <c r="AB15" i="34"/>
  <c r="U15" i="34"/>
  <c r="F12" i="21"/>
  <c r="J12" i="21"/>
  <c r="H12" i="21"/>
  <c r="U12" i="33"/>
  <c r="AB12" i="33"/>
  <c r="J26" i="33"/>
  <c r="F26" i="33"/>
  <c r="H26" i="33"/>
  <c r="AA25" i="33"/>
  <c r="S25" i="33"/>
  <c r="U39" i="39"/>
  <c r="AB39" i="39"/>
  <c r="W38" i="21"/>
  <c r="AC38" i="21"/>
  <c r="AB8" i="33"/>
  <c r="U8" i="33"/>
  <c r="AC10" i="33"/>
  <c r="W10" i="33"/>
  <c r="H28" i="33"/>
  <c r="F28" i="33"/>
  <c r="J28" i="33"/>
  <c r="AC9" i="35"/>
  <c r="W9" i="35"/>
  <c r="J23" i="36"/>
  <c r="H23" i="36"/>
  <c r="F9" i="35"/>
  <c r="H9" i="35"/>
  <c r="F12" i="35"/>
  <c r="H12" i="35"/>
  <c r="J36" i="35"/>
  <c r="F23" i="36"/>
  <c r="H25" i="37"/>
  <c r="J25" i="37"/>
  <c r="F25" i="37"/>
  <c r="H44" i="39"/>
  <c r="F44" i="39"/>
  <c r="J39" i="40"/>
  <c r="D4" i="47"/>
  <c r="F4" i="47" s="1"/>
  <c r="B2" i="47" s="1"/>
  <c r="M19" i="43"/>
  <c r="U41" i="59"/>
  <c r="B55" i="43"/>
  <c r="B75" i="43"/>
  <c r="U29" i="59"/>
  <c r="S29" i="59"/>
  <c r="X26" i="59"/>
  <c r="X29" i="59"/>
  <c r="B31" i="59"/>
  <c r="B32" i="59" s="1"/>
  <c r="B33" i="59" s="1"/>
  <c r="S33" i="59" s="1"/>
  <c r="C31" i="59"/>
  <c r="X33" i="59"/>
  <c r="B35" i="59"/>
  <c r="B36" i="59" s="1"/>
  <c r="B37" i="59" s="1"/>
  <c r="S37" i="59" s="1"/>
  <c r="C35" i="59"/>
  <c r="F35" i="59"/>
  <c r="F36" i="59" s="1"/>
  <c r="F37" i="59" s="1"/>
  <c r="V37" i="59" s="1"/>
  <c r="Y35" i="59"/>
  <c r="Z35" i="59" s="1"/>
  <c r="AB35" i="59"/>
  <c r="Y36" i="59"/>
  <c r="Z36" i="59" s="1"/>
  <c r="AB36" i="59"/>
  <c r="Y37" i="59"/>
  <c r="Z37" i="59" s="1"/>
  <c r="AB37" i="59"/>
  <c r="X38" i="59"/>
  <c r="B39" i="59"/>
  <c r="B40" i="59" s="1"/>
  <c r="B41" i="59" s="1"/>
  <c r="S41" i="59" s="1"/>
  <c r="AA7" i="59"/>
  <c r="AA8" i="59"/>
  <c r="AA5" i="59"/>
  <c r="AA6" i="59"/>
  <c r="AA9" i="59"/>
  <c r="AA10" i="59"/>
  <c r="AA11" i="59"/>
  <c r="AA40" i="59"/>
  <c r="S21" i="21"/>
  <c r="S21" i="37"/>
  <c r="C29" i="39"/>
  <c r="C25" i="40"/>
  <c r="F31" i="59"/>
  <c r="F32" i="59" s="1"/>
  <c r="F33" i="59" s="1"/>
  <c r="V33" i="59" s="1"/>
  <c r="Y38" i="59"/>
  <c r="Z38" i="59" s="1"/>
  <c r="C39" i="59"/>
  <c r="F39" i="59"/>
  <c r="F40" i="59" s="1"/>
  <c r="F41" i="59" s="1"/>
  <c r="V41" i="59" s="1"/>
  <c r="Y5" i="59"/>
  <c r="Z5" i="59" s="1"/>
  <c r="Y6" i="59"/>
  <c r="Z6" i="59" s="1"/>
  <c r="Y7" i="59"/>
  <c r="Z7" i="59" s="1"/>
  <c r="Y8" i="59"/>
  <c r="Z8" i="59" s="1"/>
  <c r="Y9" i="59"/>
  <c r="Z9" i="59" s="1"/>
  <c r="Y10" i="59"/>
  <c r="Z10" i="59" s="1"/>
  <c r="Y12" i="59"/>
  <c r="Z12" i="59" s="1"/>
  <c r="Y40" i="59"/>
  <c r="Z40" i="59" s="1"/>
  <c r="X35" i="59"/>
  <c r="AA35" i="59"/>
  <c r="X36" i="59"/>
  <c r="AA36" i="59"/>
  <c r="X37" i="59"/>
  <c r="AA37" i="59"/>
  <c r="AA38" i="59"/>
  <c r="AA39" i="59"/>
  <c r="X8" i="59"/>
  <c r="X6" i="59"/>
  <c r="X7" i="59"/>
  <c r="X5" i="59"/>
  <c r="X11" i="59"/>
  <c r="X9" i="59"/>
  <c r="X10" i="59"/>
  <c r="X12" i="59"/>
  <c r="AB10" i="59"/>
  <c r="AB8" i="59"/>
  <c r="AB6" i="59"/>
  <c r="AB7" i="59"/>
  <c r="AB5" i="59"/>
  <c r="AB9" i="59"/>
  <c r="AB11" i="59"/>
  <c r="P69" i="59"/>
  <c r="B76" i="59"/>
  <c r="B75" i="59" s="1"/>
  <c r="F76" i="59"/>
  <c r="F75" i="59" s="1"/>
  <c r="Z12" i="43"/>
  <c r="Z13" i="43" s="1"/>
  <c r="Z10" i="43"/>
  <c r="AD12" i="43"/>
  <c r="AD13" i="43" s="1"/>
  <c r="AD10" i="43"/>
  <c r="AH12" i="43"/>
  <c r="AH13" i="43" s="1"/>
  <c r="AH10" i="43"/>
  <c r="AA22" i="59"/>
  <c r="E16" i="59"/>
  <c r="E15" i="59" s="1"/>
  <c r="E14" i="59" s="1"/>
  <c r="E13" i="59" s="1"/>
  <c r="U17" i="59"/>
  <c r="Y24" i="59"/>
  <c r="Z24" i="59" s="1"/>
  <c r="AB23" i="59"/>
  <c r="AB22" i="59"/>
  <c r="Y22" i="59"/>
  <c r="Z22" i="59" s="1"/>
  <c r="Y20" i="59"/>
  <c r="Z20" i="59" s="1"/>
  <c r="AB18" i="59"/>
  <c r="AA18" i="59"/>
  <c r="X15" i="59"/>
  <c r="AB17" i="59"/>
  <c r="AF10" i="43"/>
  <c r="AC12" i="43"/>
  <c r="AC13" i="43" s="1"/>
  <c r="AC10" i="43"/>
  <c r="AG12" i="43"/>
  <c r="AG13" i="43" s="1"/>
  <c r="AG10" i="43"/>
  <c r="X23" i="59"/>
  <c r="AA20" i="59"/>
  <c r="X22" i="59"/>
  <c r="X18" i="59"/>
  <c r="AA17" i="59"/>
  <c r="Y19" i="59"/>
  <c r="Z19" i="59" s="1"/>
  <c r="AA14" i="59"/>
  <c r="V25" i="59"/>
  <c r="X25" i="59"/>
  <c r="Y25" i="59"/>
  <c r="Z25" i="59" s="1"/>
  <c r="AA25" i="59"/>
  <c r="Y18" i="59"/>
  <c r="Z18" i="59" s="1"/>
  <c r="Y16" i="59"/>
  <c r="Z16" i="59" s="1"/>
  <c r="AB16" i="59"/>
  <c r="Y14" i="59"/>
  <c r="Z14" i="59" s="1"/>
  <c r="AA12" i="59"/>
  <c r="AB13" i="59"/>
  <c r="AB14" i="59"/>
  <c r="A8" i="52"/>
  <c r="B65" i="60" s="1"/>
  <c r="X16" i="59"/>
  <c r="AA16" i="59"/>
  <c r="Y11" i="59"/>
  <c r="Z11" i="59" s="1"/>
  <c r="Y13" i="59"/>
  <c r="Z13" i="59" s="1"/>
  <c r="Y15" i="59"/>
  <c r="Z15" i="59" s="1"/>
  <c r="AA13" i="59"/>
  <c r="AA15" i="59"/>
  <c r="X14" i="59"/>
  <c r="X13" i="59"/>
  <c r="AB12" i="59"/>
  <c r="AB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3" i="61"/>
  <c r="G1" i="61"/>
  <c r="D6" i="61"/>
  <c r="AC9" i="36" l="1"/>
  <c r="W9" i="36"/>
  <c r="C23" i="59"/>
  <c r="D24" i="59"/>
  <c r="D88" i="59"/>
  <c r="C87" i="59"/>
  <c r="D87" i="59" s="1"/>
  <c r="Q67" i="59"/>
  <c r="Q66" i="59"/>
  <c r="D52" i="59"/>
  <c r="C53" i="59"/>
  <c r="P68" i="59"/>
  <c r="E67" i="59"/>
  <c r="S36" i="33"/>
  <c r="AA36" i="33"/>
  <c r="D80" i="59"/>
  <c r="C79" i="59"/>
  <c r="D79" i="59" s="1"/>
  <c r="O68" i="59"/>
  <c r="C67" i="59"/>
  <c r="D68" i="59"/>
  <c r="C27" i="59"/>
  <c r="D27" i="59" s="1"/>
  <c r="D28" i="59"/>
  <c r="D45" i="59"/>
  <c r="T45" i="59"/>
  <c r="AC36" i="33"/>
  <c r="W36" i="33"/>
  <c r="U36" i="33"/>
  <c r="AB36" i="33"/>
  <c r="AC32" i="33"/>
  <c r="F7" i="35"/>
  <c r="D69" i="39"/>
  <c r="F7" i="37"/>
  <c r="S7" i="37" s="1"/>
  <c r="H7" i="37"/>
  <c r="AB7" i="37" s="1"/>
  <c r="T42" i="37" s="1"/>
  <c r="G42" i="37" s="1"/>
  <c r="G46" i="37" s="1"/>
  <c r="H46" i="37" s="1"/>
  <c r="D31" i="59"/>
  <c r="C32" i="59"/>
  <c r="AA44" i="39"/>
  <c r="S44" i="39"/>
  <c r="AA25" i="37"/>
  <c r="S25" i="37"/>
  <c r="U25" i="37"/>
  <c r="AB25" i="37"/>
  <c r="AC36" i="35"/>
  <c r="W36" i="35"/>
  <c r="S12" i="35"/>
  <c r="AA12" i="35"/>
  <c r="AA9" i="35"/>
  <c r="S9" i="35"/>
  <c r="AC23" i="36"/>
  <c r="W23" i="36"/>
  <c r="S28" i="33"/>
  <c r="AA28" i="33"/>
  <c r="S26" i="33"/>
  <c r="AA26" i="33"/>
  <c r="AB12" i="21"/>
  <c r="U12" i="21"/>
  <c r="AA12" i="21"/>
  <c r="S12" i="21"/>
  <c r="D39" i="59"/>
  <c r="C40" i="59"/>
  <c r="D35" i="59"/>
  <c r="C36" i="59"/>
  <c r="AC39" i="40"/>
  <c r="W39" i="40"/>
  <c r="AB44" i="39"/>
  <c r="U44" i="39"/>
  <c r="AC25" i="37"/>
  <c r="W25" i="37"/>
  <c r="AA23" i="36"/>
  <c r="S23" i="36"/>
  <c r="U12" i="35"/>
  <c r="AB12" i="35"/>
  <c r="AB9" i="35"/>
  <c r="U9" i="35"/>
  <c r="U23" i="36"/>
  <c r="AB23" i="36"/>
  <c r="AC28" i="33"/>
  <c r="W28" i="33"/>
  <c r="U28" i="33"/>
  <c r="AB28" i="33"/>
  <c r="AB26" i="33"/>
  <c r="U26" i="33"/>
  <c r="AC26" i="33"/>
  <c r="W26" i="33"/>
  <c r="AC12" i="21"/>
  <c r="W12" i="21"/>
  <c r="B16" i="59"/>
  <c r="B15" i="59" s="1"/>
  <c r="B14" i="59" s="1"/>
  <c r="B13" i="59" s="1"/>
  <c r="S17" i="59"/>
  <c r="F69" i="39"/>
  <c r="C7" i="43"/>
  <c r="U9" i="59"/>
  <c r="E8" i="59"/>
  <c r="V9" i="59"/>
  <c r="F8" i="59"/>
  <c r="C18" i="15"/>
  <c r="C16" i="15"/>
  <c r="J7" i="35"/>
  <c r="C30" i="11"/>
  <c r="C48" i="11"/>
  <c r="E27" i="1"/>
  <c r="D5" i="43"/>
  <c r="Q59" i="15"/>
  <c r="C21" i="12"/>
  <c r="C22" i="12" s="1"/>
  <c r="C30" i="12" s="1"/>
  <c r="C28" i="12" s="1"/>
  <c r="C33" i="11"/>
  <c r="C39" i="11" s="1"/>
  <c r="C46" i="11" s="1"/>
  <c r="C45" i="11" s="1"/>
  <c r="C106" i="57"/>
  <c r="D9" i="48"/>
  <c r="E3" i="4"/>
  <c r="D7" i="62"/>
  <c r="C7" i="62"/>
  <c r="U7" i="37"/>
  <c r="C50" i="15"/>
  <c r="F60" i="15"/>
  <c r="B23" i="31"/>
  <c r="R25" i="31"/>
  <c r="AC7" i="33"/>
  <c r="D113" i="43"/>
  <c r="D64" i="40"/>
  <c r="E62" i="40"/>
  <c r="AA7" i="37"/>
  <c r="R42" i="37" s="1"/>
  <c r="R43" i="37" s="1"/>
  <c r="L49" i="15"/>
  <c r="I20" i="43"/>
  <c r="B14" i="1"/>
  <c r="AC7" i="37"/>
  <c r="V42" i="37" s="1"/>
  <c r="I42" i="37" s="1"/>
  <c r="W7" i="37"/>
  <c r="AB7" i="33"/>
  <c r="U7" i="33"/>
  <c r="F58" i="21"/>
  <c r="E59" i="34"/>
  <c r="S7" i="35"/>
  <c r="AA7" i="35"/>
  <c r="R38" i="35" s="1"/>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D23" i="59" l="1"/>
  <c r="C22" i="59"/>
  <c r="D67" i="59"/>
  <c r="O67" i="59"/>
  <c r="O66" i="59"/>
  <c r="P66" i="59"/>
  <c r="P67" i="59"/>
  <c r="T53" i="59"/>
  <c r="D53" i="59"/>
  <c r="R48" i="33"/>
  <c r="E48" i="33" s="1"/>
  <c r="T48" i="33"/>
  <c r="G48" i="33" s="1"/>
  <c r="G52" i="33" s="1"/>
  <c r="H52" i="33" s="1"/>
  <c r="V48" i="33"/>
  <c r="I48" i="33" s="1"/>
  <c r="I52" i="33" s="1"/>
  <c r="J52" i="33" s="1"/>
  <c r="E42" i="37"/>
  <c r="C19" i="15"/>
  <c r="C20" i="15" s="1"/>
  <c r="C26" i="15" s="1"/>
  <c r="C37" i="59"/>
  <c r="D36" i="59"/>
  <c r="C41" i="59"/>
  <c r="D40" i="59"/>
  <c r="C33" i="59"/>
  <c r="D32" i="59"/>
  <c r="J7" i="36"/>
  <c r="S13" i="59"/>
  <c r="B12" i="59"/>
  <c r="B11" i="59" s="1"/>
  <c r="B10" i="59" s="1"/>
  <c r="B9" i="59" s="1"/>
  <c r="F7" i="59"/>
  <c r="E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F7" i="36"/>
  <c r="I42" i="35"/>
  <c r="J42" i="35" s="1"/>
  <c r="I69" i="39"/>
  <c r="J67" i="39"/>
  <c r="C43" i="37"/>
  <c r="B2" i="37" s="1"/>
  <c r="B3" i="37" s="1"/>
  <c r="C42" i="37"/>
  <c r="AB7" i="36"/>
  <c r="T36" i="36" s="1"/>
  <c r="G36" i="36" s="1"/>
  <c r="U7" i="36"/>
  <c r="R39" i="35"/>
  <c r="E38" i="35"/>
  <c r="I43" i="35" s="1"/>
  <c r="J43" i="35" s="1"/>
  <c r="F59" i="34"/>
  <c r="G58" i="21"/>
  <c r="I46" i="37"/>
  <c r="J46" i="37" s="1"/>
  <c r="I47" i="37"/>
  <c r="J47" i="37" s="1"/>
  <c r="G47" i="37"/>
  <c r="H47" i="37" s="1"/>
  <c r="C39" i="43"/>
  <c r="G39" i="43" s="1"/>
  <c r="I39" i="43" s="1"/>
  <c r="C38" i="43"/>
  <c r="C54" i="15"/>
  <c r="C49" i="15" s="1"/>
  <c r="J24" i="15"/>
  <c r="J26" i="15"/>
  <c r="F22" i="11"/>
  <c r="F41" i="11" s="1"/>
  <c r="F24" i="15"/>
  <c r="F25" i="12"/>
  <c r="C21" i="59" l="1"/>
  <c r="D22" i="59"/>
  <c r="R49" i="33"/>
  <c r="C49" i="33" s="1"/>
  <c r="B2" i="33" s="1"/>
  <c r="B3" i="33" s="1"/>
  <c r="G53" i="33"/>
  <c r="H53" i="33" s="1"/>
  <c r="S9" i="59"/>
  <c r="B8" i="59"/>
  <c r="B7" i="59" s="1"/>
  <c r="T33" i="59"/>
  <c r="D33" i="59"/>
  <c r="T41" i="59"/>
  <c r="D41" i="59"/>
  <c r="T37" i="59"/>
  <c r="D37"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E39" i="43"/>
  <c r="E38" i="43"/>
  <c r="G38" i="43"/>
  <c r="I38" i="43" s="1"/>
  <c r="C27" i="12"/>
  <c r="C25" i="12" s="1"/>
  <c r="C26" i="12"/>
  <c r="D25" i="12" s="1"/>
  <c r="C23" i="15"/>
  <c r="C24" i="15"/>
  <c r="C43" i="11"/>
  <c r="C44" i="11"/>
  <c r="D41" i="11" s="1"/>
  <c r="C42" i="11"/>
  <c r="C26" i="11"/>
  <c r="D22" i="11" s="1"/>
  <c r="C24" i="11"/>
  <c r="C61" i="15"/>
  <c r="C67" i="15"/>
  <c r="C20" i="59" l="1"/>
  <c r="D21" i="59"/>
  <c r="T21" i="59"/>
  <c r="C48" i="33"/>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32" i="12"/>
  <c r="C19" i="59" l="1"/>
  <c r="D20" i="59"/>
  <c r="B30" i="1"/>
  <c r="F6" i="15"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58" i="15"/>
  <c r="C62" i="15" s="1"/>
  <c r="C13" i="15"/>
  <c r="J34" i="15" s="1"/>
  <c r="Q47" i="15"/>
  <c r="C36" i="15"/>
  <c r="J13" i="15"/>
  <c r="J23" i="15" s="1"/>
  <c r="J22" i="15"/>
  <c r="B2" i="12"/>
  <c r="B3" i="12"/>
  <c r="C18" i="59" l="1"/>
  <c r="D19" i="59"/>
  <c r="C6" i="15"/>
  <c r="F31" i="15"/>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Q68" i="15"/>
  <c r="J16" i="15"/>
  <c r="J25" i="15" s="1"/>
  <c r="D18" i="59" l="1"/>
  <c r="C17" i="59"/>
  <c r="C10" i="15"/>
  <c r="C5" i="15" s="1"/>
  <c r="C38" i="15" s="1"/>
  <c r="C32" i="15"/>
  <c r="C33" i="15"/>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D17" i="59" l="1"/>
  <c r="C16" i="59"/>
  <c r="T17" i="59"/>
  <c r="C31" i="15"/>
  <c r="C30" i="15" s="1"/>
  <c r="C39" i="15" s="1"/>
  <c r="J38" i="15" s="1"/>
  <c r="J39" i="15" s="1"/>
  <c r="O63" i="57"/>
  <c r="O62" i="57"/>
  <c r="L62" i="40"/>
  <c r="K64" i="40"/>
  <c r="E52" i="21"/>
  <c r="F52" i="21" s="1"/>
  <c r="E53" i="21"/>
  <c r="F53" i="21" s="1"/>
  <c r="C48" i="21"/>
  <c r="C49" i="21"/>
  <c r="B2" i="21" s="1"/>
  <c r="B3" i="21" s="1"/>
  <c r="J7" i="39"/>
  <c r="H7" i="39"/>
  <c r="F7" i="39"/>
  <c r="L59" i="34"/>
  <c r="C15" i="59" l="1"/>
  <c r="D16" i="59"/>
  <c r="C40" i="15"/>
  <c r="Q54" i="15" s="1"/>
  <c r="Q67" i="15"/>
  <c r="Q66" i="15" s="1"/>
  <c r="L64" i="40"/>
  <c r="M62" i="40"/>
  <c r="AA7" i="39"/>
  <c r="R47" i="39" s="1"/>
  <c r="R48" i="39" s="1"/>
  <c r="S7" i="39"/>
  <c r="M59" i="34"/>
  <c r="N59" i="34" s="1"/>
  <c r="O59" i="34" s="1"/>
  <c r="H7" i="34" s="1"/>
  <c r="AB7" i="39"/>
  <c r="U7" i="39"/>
  <c r="AC7" i="39"/>
  <c r="W7" i="39"/>
  <c r="L58" i="15"/>
  <c r="L61" i="15" s="1"/>
  <c r="C14" i="59" l="1"/>
  <c r="D15" i="59"/>
  <c r="L52" i="15"/>
  <c r="Q65" i="15" s="1"/>
  <c r="Q45" i="15"/>
  <c r="Q51" i="15" s="1"/>
  <c r="C47" i="15"/>
  <c r="J41" i="15"/>
  <c r="J42" i="15" s="1"/>
  <c r="Q63" i="15"/>
  <c r="C43" i="15"/>
  <c r="Q64" i="15"/>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3" i="59" l="1"/>
  <c r="D14" i="59"/>
  <c r="D35" i="9"/>
  <c r="D34" i="9" s="1"/>
  <c r="Q73" i="15"/>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C12" i="59" l="1"/>
  <c r="T13" i="59"/>
  <c r="D13" i="59"/>
  <c r="D102" i="9"/>
  <c r="D101"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1" i="59" l="1"/>
  <c r="D12" i="59"/>
  <c r="AC7" i="40"/>
  <c r="V42" i="40" s="1"/>
  <c r="I42" i="40" s="1"/>
  <c r="I46" i="40" s="1"/>
  <c r="J46" i="40" s="1"/>
  <c r="W7" i="40"/>
  <c r="S7" i="40"/>
  <c r="AA7" i="40"/>
  <c r="R42" i="40" s="1"/>
  <c r="R43" i="40" s="1"/>
  <c r="AB7" i="40"/>
  <c r="T42" i="40" s="1"/>
  <c r="G42" i="40" s="1"/>
  <c r="G46" i="40" s="1"/>
  <c r="H46" i="40" s="1"/>
  <c r="U7" i="40"/>
  <c r="C10" i="59" l="1"/>
  <c r="D11" i="59"/>
  <c r="G47" i="40"/>
  <c r="H47" i="40" s="1"/>
  <c r="E42" i="40"/>
  <c r="D10" i="59" l="1"/>
  <c r="C9" i="59"/>
  <c r="I47" i="40"/>
  <c r="J47" i="40" s="1"/>
  <c r="E47" i="40"/>
  <c r="F47" i="40" s="1"/>
  <c r="E46" i="40"/>
  <c r="F46" i="40" s="1"/>
  <c r="C43" i="40"/>
  <c r="C42" i="40"/>
  <c r="C8" i="59" l="1"/>
  <c r="D9" i="59"/>
  <c r="T9" i="59"/>
  <c r="B57" i="40"/>
  <c r="F57" i="40" s="1"/>
  <c r="B54" i="40"/>
  <c r="F54" i="40" s="1"/>
  <c r="B56" i="40"/>
  <c r="F56" i="40" s="1"/>
  <c r="B53" i="40"/>
  <c r="F53" i="40" s="1"/>
  <c r="B58" i="40"/>
  <c r="F58" i="40" s="1"/>
  <c r="B52" i="40"/>
  <c r="F52" i="40" s="1"/>
  <c r="B55" i="40"/>
  <c r="F55" i="40" s="1"/>
  <c r="B51" i="40"/>
  <c r="F51" i="40" s="1"/>
  <c r="F60" i="40" s="1"/>
  <c r="B2" i="40" s="1"/>
  <c r="B3" i="40" s="1"/>
  <c r="B59" i="40"/>
  <c r="F59" i="40" s="1"/>
  <c r="N49" i="9"/>
  <c r="M65" i="9" s="1"/>
  <c r="N65" i="9" s="1"/>
  <c r="C7" i="59" l="1"/>
  <c r="D8" i="59"/>
  <c r="M68" i="9"/>
  <c r="N68" i="9" s="1"/>
  <c r="M67" i="9"/>
  <c r="N67" i="9" s="1"/>
  <c r="M63" i="9"/>
  <c r="N63" i="9" s="1"/>
  <c r="N69" i="9" s="1"/>
  <c r="O69" i="9" s="1"/>
  <c r="M64" i="9"/>
  <c r="N64" i="9" s="1"/>
  <c r="M66" i="9"/>
  <c r="N66" i="9" s="1"/>
  <c r="C6" i="59" l="1"/>
  <c r="D7" i="59"/>
  <c r="C7" i="11"/>
  <c r="C5" i="11" s="1"/>
  <c r="D6" i="59" l="1"/>
  <c r="C5" i="59"/>
  <c r="C20" i="11"/>
  <c r="C23" i="11"/>
  <c r="T5" i="59" l="1"/>
  <c r="D5" i="59"/>
  <c r="M20" i="43" s="1"/>
  <c r="C28" i="11"/>
  <c r="C27" i="11" s="1"/>
  <c r="C25" i="11"/>
  <c r="C22" i="11" s="1"/>
  <c r="C31" i="11" l="1"/>
  <c r="C52" i="11" s="1"/>
  <c r="C56" i="11" s="1"/>
  <c r="C57" i="11" s="1"/>
  <c r="B2" i="11" l="1"/>
  <c r="B3" i="11"/>
  <c r="C19" i="9"/>
  <c r="C20" i="9"/>
  <c r="G19" i="9" l="1"/>
  <c r="D22" i="9"/>
  <c r="C101" i="9"/>
  <c r="G20" i="9"/>
  <c r="C102" i="9"/>
  <c r="C32" i="9" l="1"/>
  <c r="I121" i="9" s="1"/>
  <c r="D107" i="9" s="1"/>
  <c r="G24" i="1"/>
  <c r="H121" i="9" l="1"/>
  <c r="D106" i="9" s="1"/>
  <c r="D112" i="9" s="1"/>
  <c r="C35" i="9"/>
  <c r="G121" i="9" s="1"/>
  <c r="G4" i="52" s="1"/>
  <c r="B41" i="60" s="1"/>
  <c r="I4" i="52"/>
  <c r="I103" i="9"/>
  <c r="D30" i="50" s="1"/>
  <c r="C104" i="9"/>
  <c r="F121" i="9" l="1"/>
  <c r="F122" i="9" s="1"/>
  <c r="F5" i="52" s="1"/>
  <c r="B42" i="60" s="1"/>
  <c r="C34" i="9"/>
  <c r="E121" i="9" s="1"/>
  <c r="D9" i="50"/>
  <c r="B21" i="60" s="1"/>
  <c r="I102" i="9"/>
  <c r="D7" i="50" s="1"/>
  <c r="C103" i="9"/>
  <c r="D14" i="62"/>
  <c r="E14" i="62" s="1"/>
  <c r="H122" i="9"/>
  <c r="H5" i="52" s="1"/>
  <c r="H4" i="52"/>
  <c r="D117" i="9"/>
  <c r="D113" i="9"/>
  <c r="F4" i="52"/>
  <c r="B40" i="60" s="1"/>
  <c r="B5" i="62" l="1"/>
  <c r="D5" i="62" s="1"/>
  <c r="D45" i="9"/>
  <c r="C93" i="9" s="1"/>
  <c r="C86" i="9" s="1"/>
  <c r="F14" i="62"/>
  <c r="D28" i="50"/>
  <c r="D29" i="50" s="1"/>
  <c r="I110" i="9"/>
  <c r="D15" i="50" s="1"/>
  <c r="N48" i="9"/>
  <c r="D121" i="9"/>
  <c r="E4" i="52"/>
  <c r="B38" i="60" s="1"/>
  <c r="C5" i="62"/>
  <c r="I111" i="9"/>
  <c r="D38" i="50"/>
  <c r="B62" i="60" s="1"/>
  <c r="D8" i="50"/>
  <c r="B22" i="60" s="1"/>
  <c r="B19" i="60"/>
  <c r="D44" i="50"/>
  <c r="I115" i="9"/>
  <c r="D23" i="50" s="1"/>
  <c r="B34" i="60" s="1"/>
  <c r="D125" i="9" l="1"/>
  <c r="G14" i="62" s="1"/>
  <c r="B6" i="62" s="1"/>
  <c r="C78" i="9"/>
  <c r="C73" i="9" s="1"/>
  <c r="D53" i="9"/>
  <c r="D48" i="9" s="1"/>
  <c r="N52" i="9" s="1"/>
  <c r="O57" i="9" s="1"/>
  <c r="O59" i="9" s="1"/>
  <c r="C72" i="9"/>
  <c r="C79" i="9" s="1"/>
  <c r="C85" i="9"/>
  <c r="C95" i="9" s="1"/>
  <c r="C96" i="9" s="1"/>
  <c r="E96" i="9" s="1"/>
  <c r="E97" i="9" s="1"/>
  <c r="C64" i="9"/>
  <c r="C63" i="9" s="1"/>
  <c r="C67" i="9" s="1"/>
  <c r="C68" i="9" s="1"/>
  <c r="D54" i="9" s="1"/>
  <c r="D52" i="9"/>
  <c r="D36" i="50"/>
  <c r="D37" i="50" s="1"/>
  <c r="D4" i="52"/>
  <c r="B37" i="60" s="1"/>
  <c r="D122" i="9"/>
  <c r="D5" i="52" s="1"/>
  <c r="B39" i="60" s="1"/>
  <c r="D16" i="50"/>
  <c r="B30" i="60" s="1"/>
  <c r="B29" i="60"/>
  <c r="D126" i="9"/>
  <c r="D9" i="52" s="1"/>
  <c r="D17" i="50"/>
  <c r="Q57" i="9" l="1"/>
  <c r="D8" i="52"/>
  <c r="O58" i="9"/>
  <c r="C97" i="9"/>
  <c r="D58" i="9" s="1"/>
  <c r="C6" i="62"/>
  <c r="D6" i="62"/>
  <c r="C80" i="9"/>
  <c r="E80" i="9" s="1"/>
  <c r="E81" i="9" s="1"/>
  <c r="O61" i="9"/>
  <c r="O60" i="9"/>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D17" authorId="2" shapeId="0" xr:uid="{00000000-0006-0000-21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1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1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21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1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1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100-000012000000}">
      <text>
        <r>
          <rPr>
            <b/>
            <sz val="9"/>
            <color indexed="81"/>
            <rFont val="宋体"/>
            <family val="3"/>
            <charset val="134"/>
          </rPr>
          <t xml:space="preserve">容积率
</t>
        </r>
      </text>
    </comment>
    <comment ref="D101" authorId="0" shapeId="0" xr:uid="{00000000-0006-0000-2100-000013000000}">
      <text>
        <r>
          <rPr>
            <b/>
            <sz val="9"/>
            <color indexed="81"/>
            <rFont val="宋体"/>
            <family val="3"/>
            <charset val="134"/>
          </rPr>
          <t xml:space="preserve">容积率
</t>
        </r>
      </text>
    </comment>
    <comment ref="E101" authorId="0" shapeId="0" xr:uid="{00000000-0006-0000-2100-000014000000}">
      <text>
        <r>
          <rPr>
            <b/>
            <sz val="9"/>
            <color indexed="81"/>
            <rFont val="宋体"/>
            <family val="3"/>
            <charset val="134"/>
          </rPr>
          <t xml:space="preserve">容积率
</t>
        </r>
      </text>
    </comment>
    <comment ref="F101" authorId="0" shapeId="0" xr:uid="{00000000-0006-0000-2100-000015000000}">
      <text>
        <r>
          <rPr>
            <b/>
            <sz val="9"/>
            <color indexed="81"/>
            <rFont val="宋体"/>
            <family val="3"/>
            <charset val="134"/>
          </rPr>
          <t xml:space="preserve">容积率
</t>
        </r>
      </text>
    </comment>
    <comment ref="G101" authorId="0" shapeId="0" xr:uid="{00000000-0006-0000-2100-000016000000}">
      <text>
        <r>
          <rPr>
            <b/>
            <sz val="9"/>
            <color indexed="81"/>
            <rFont val="宋体"/>
            <family val="3"/>
            <charset val="134"/>
          </rPr>
          <t xml:space="preserve">容积率
</t>
        </r>
      </text>
    </comment>
    <comment ref="H101" authorId="0" shapeId="0" xr:uid="{00000000-0006-0000-2100-000017000000}">
      <text>
        <r>
          <rPr>
            <b/>
            <sz val="9"/>
            <color indexed="81"/>
            <rFont val="宋体"/>
            <family val="3"/>
            <charset val="134"/>
          </rPr>
          <t xml:space="preserve">容积率
</t>
        </r>
      </text>
    </comment>
    <comment ref="I101" authorId="0" shapeId="0" xr:uid="{00000000-0006-0000-2100-000018000000}">
      <text>
        <r>
          <rPr>
            <b/>
            <sz val="9"/>
            <color indexed="81"/>
            <rFont val="宋体"/>
            <family val="3"/>
            <charset val="134"/>
          </rPr>
          <t xml:space="preserve">容积率
</t>
        </r>
      </text>
    </comment>
    <comment ref="J101" authorId="0" shapeId="0" xr:uid="{00000000-0006-0000-2100-000019000000}">
      <text>
        <r>
          <rPr>
            <b/>
            <sz val="9"/>
            <color indexed="81"/>
            <rFont val="宋体"/>
            <family val="3"/>
            <charset val="134"/>
          </rPr>
          <t xml:space="preserve">容积率
</t>
        </r>
      </text>
    </comment>
    <comment ref="K101" authorId="0" shapeId="0" xr:uid="{00000000-0006-0000-2100-00001A000000}">
      <text>
        <r>
          <rPr>
            <b/>
            <sz val="9"/>
            <color indexed="81"/>
            <rFont val="宋体"/>
            <family val="3"/>
            <charset val="134"/>
          </rPr>
          <t xml:space="preserve">容积率
</t>
        </r>
      </text>
    </comment>
    <comment ref="L101" authorId="0" shapeId="0" xr:uid="{00000000-0006-0000-2100-00001B000000}">
      <text>
        <r>
          <rPr>
            <b/>
            <sz val="9"/>
            <color indexed="81"/>
            <rFont val="宋体"/>
            <family val="3"/>
            <charset val="134"/>
          </rPr>
          <t xml:space="preserve">容积率
</t>
        </r>
      </text>
    </comment>
    <comment ref="M101" authorId="0" shapeId="0" xr:uid="{00000000-0006-0000-2100-00001C000000}">
      <text>
        <r>
          <rPr>
            <b/>
            <sz val="9"/>
            <color indexed="81"/>
            <rFont val="宋体"/>
            <family val="3"/>
            <charset val="134"/>
          </rPr>
          <t xml:space="preserve">容积率
</t>
        </r>
      </text>
    </comment>
    <comment ref="N101" authorId="0" shapeId="0" xr:uid="{00000000-0006-0000-2100-00001D000000}">
      <text>
        <r>
          <rPr>
            <b/>
            <sz val="9"/>
            <color indexed="81"/>
            <rFont val="宋体"/>
            <family val="3"/>
            <charset val="134"/>
          </rPr>
          <t xml:space="preserve">容积率
</t>
        </r>
      </text>
    </comment>
    <comment ref="C108" authorId="0" shapeId="0" xr:uid="{00000000-0006-0000-21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1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1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1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1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1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1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1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1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1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1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1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1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<sst xmlns="http://schemas.openxmlformats.org/spreadsheetml/2006/main" count="7006" uniqueCount="3098">
  <si>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</si>
  <si>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</si>
  <si>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</si>
  <si>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</si>
  <si>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</si>
  <si>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</si>
  <si>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</si>
  <si>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</si>
  <si>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</si>
  <si>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</si>
  <si>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</si>
  <si>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</si>
  <si>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</si>
  <si>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</si>
  <si>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</si>
  <si>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</si>
  <si>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</si>
  <si>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</si>
  <si>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</si>
  <si>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</si>
  <si>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</si>
  <si>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</si>
  <si>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</si>
  <si>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</si>
  <si>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</si>
  <si>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</si>
  <si>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</si>
  <si>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</si>
  <si>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</si>
  <si>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</si>
  <si>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</si>
  <si>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</si>
  <si>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</si>
  <si>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</si>
  <si>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</si>
  <si>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</si>
  <si>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</si>
  <si>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</si>
  <si>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</si>
  <si>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</si>
  <si>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</si>
  <si>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</si>
  <si>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</si>
  <si>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</si>
  <si>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</si>
  <si>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</si>
  <si>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</si>
  <si>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</si>
  <si>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</si>
  <si>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</si>
  <si>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</si>
  <si>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</si>
  <si>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</si>
  <si>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</si>
  <si>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</si>
  <si>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</si>
  <si>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</si>
  <si>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</si>
  <si>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</si>
  <si>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</si>
  <si>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</si>
  <si>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</si>
  <si>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</si>
  <si>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</si>
  <si>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</si>
  <si>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</si>
  <si>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</si>
  <si>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</si>
  <si>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</si>
  <si>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</si>
  <si>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</si>
  <si>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</si>
  <si>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</si>
  <si>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</si>
  <si>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</si>
  <si>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</si>
  <si>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</si>
  <si>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</si>
  <si>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</si>
  <si>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</si>
  <si>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</si>
  <si>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</si>
  <si>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</si>
  <si>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</si>
  <si>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</si>
  <si>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</si>
  <si>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</si>
  <si>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</si>
  <si>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</si>
  <si>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</si>
  <si>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</si>
  <si>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</si>
  <si>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</si>
  <si>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</si>
  <si>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</si>
  <si>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</si>
  <si>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</si>
  <si>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</si>
  <si>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</si>
  <si>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</si>
  <si>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</si>
  <si>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</si>
  <si>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</si>
  <si>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</si>
  <si>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</si>
  <si>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</si>
  <si>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</si>
  <si>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</si>
  <si>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</si>
  <si>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</si>
  <si>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</si>
  <si>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</si>
  <si>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</si>
  <si>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</si>
  <si>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</si>
  <si>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</si>
  <si>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</si>
  <si>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</si>
  <si>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</si>
  <si>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</si>
  <si>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</si>
  <si>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</si>
  <si>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</si>
  <si>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</si>
  <si>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</si>
  <si>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</si>
  <si>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</si>
  <si>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</si>
  <si>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</si>
  <si>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</si>
  <si>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</si>
  <si>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</si>
  <si>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</si>
  <si>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</si>
  <si>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</si>
  <si>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</si>
  <si>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</si>
  <si>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</si>
  <si>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</si>
  <si>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</si>
  <si>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</si>
  <si>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</si>
  <si>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</si>
  <si>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</si>
  <si>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</si>
  <si>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</si>
  <si>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</si>
  <si>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</si>
  <si>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</si>
  <si>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</si>
  <si>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</si>
  <si>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</si>
  <si>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</si>
  <si>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</si>
  <si>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</si>
  <si>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</si>
  <si>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</si>
  <si>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</si>
  <si>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</si>
  <si>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</si>
  <si>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</si>
  <si>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</si>
  <si>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</si>
  <si>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</si>
  <si>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</si>
  <si>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</si>
  <si>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</si>
  <si>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</si>
  <si>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</si>
  <si>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</si>
  <si>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</si>
  <si>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</si>
  <si>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</si>
  <si>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</si>
  <si>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</si>
  <si>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</si>
  <si>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</si>
  <si>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</si>
  <si>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</si>
  <si>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</si>
  <si>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</si>
  <si>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</si>
  <si>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</si>
  <si>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</si>
  <si>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</si>
  <si>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</si>
  <si>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</si>
  <si>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</si>
  <si>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</si>
  <si>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</si>
  <si>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</si>
  <si>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</si>
  <si>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</si>
  <si>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</si>
  <si>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</si>
  <si>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</si>
  <si>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</si>
  <si>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</si>
  <si>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</si>
  <si>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</si>
  <si>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</si>
  <si>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</si>
  <si>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</si>
  <si>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</si>
  <si>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</si>
  <si>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</si>
  <si>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</si>
  <si>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</si>
  <si>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</si>
  <si>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</si>
  <si>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</si>
  <si>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</si>
  <si>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</si>
  <si>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</si>
  <si>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</si>
  <si>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</si>
  <si>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</si>
  <si>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</si>
  <si>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</si>
  <si>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</si>
  <si>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</si>
  <si>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</si>
  <si>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</si>
  <si>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</si>
  <si>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</si>
  <si>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</si>
  <si>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</si>
  <si>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</si>
  <si>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</si>
  <si>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</si>
  <si>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</si>
  <si>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</si>
  <si>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</si>
  <si>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</si>
  <si>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</si>
  <si>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</si>
  <si>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</si>
  <si>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</si>
  <si>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</si>
  <si>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</si>
  <si>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</si>
  <si>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</si>
  <si>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</si>
  <si>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</si>
  <si>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</si>
  <si>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</si>
  <si>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</si>
  <si>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</si>
  <si>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</si>
  <si>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</si>
  <si>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</si>
  <si>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</si>
  <si>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</si>
  <si>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</si>
  <si>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</si>
  <si>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</si>
  <si>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</si>
  <si>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</si>
  <si>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</si>
  <si>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</si>
  <si>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</si>
  <si>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</si>
  <si>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</si>
  <si>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</si>
  <si>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</si>
  <si>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</si>
  <si>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</si>
  <si>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</si>
  <si>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</si>
  <si>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</si>
  <si>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</si>
  <si>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</si>
  <si>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</si>
  <si>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</si>
  <si>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</si>
  <si>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</si>
  <si>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</si>
  <si>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</si>
  <si>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</si>
  <si>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</si>
  <si>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</si>
  <si>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</si>
  <si>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</si>
  <si>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</si>
  <si>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</si>
  <si>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</si>
  <si>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</si>
  <si>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</si>
  <si>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</si>
  <si>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</si>
  <si>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</si>
  <si>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</si>
  <si>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</si>
  <si>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</si>
  <si>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</si>
  <si>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</si>
  <si>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</si>
  <si>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</si>
  <si>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</si>
  <si>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</si>
  <si>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</si>
  <si>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</si>
  <si>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</si>
  <si>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</si>
  <si>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</si>
  <si>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</si>
  <si>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</si>
  <si>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</si>
  <si>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</si>
  <si>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</si>
  <si>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</si>
  <si>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</si>
  <si>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</si>
  <si>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</si>
  <si>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</si>
  <si>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</si>
  <si>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</si>
  <si>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</si>
  <si>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</si>
  <si>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</si>
  <si>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</si>
  <si>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</si>
  <si>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</si>
  <si>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</si>
  <si>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</si>
  <si>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</si>
  <si>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</si>
  <si>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</si>
  <si>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</si>
  <si>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</si>
  <si>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</si>
  <si>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</si>
  <si>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</si>
  <si>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</si>
  <si>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</si>
  <si>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</si>
  <si>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</si>
  <si>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</si>
  <si>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</si>
  <si>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</si>
  <si>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</si>
  <si>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</si>
  <si>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</si>
  <si>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</si>
  <si>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</si>
  <si>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</si>
  <si>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</si>
  <si>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</si>
  <si>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</si>
  <si>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</si>
  <si>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</si>
  <si>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</si>
  <si>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</si>
  <si>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</si>
  <si>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</si>
  <si>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</si>
  <si>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</si>
  <si>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</si>
  <si>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</si>
  <si>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</si>
  <si>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</si>
  <si>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</si>
  <si>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</si>
  <si>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</si>
  <si>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</si>
  <si>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</si>
  <si>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</si>
  <si>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</si>
  <si>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</si>
  <si>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</si>
  <si>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</si>
  <si>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</si>
  <si>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</si>
  <si>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</si>
  <si>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</si>
  <si>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</si>
  <si>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</si>
  <si>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</si>
  <si>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</si>
  <si>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</si>
  <si>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</si>
  <si>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</si>
  <si>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</si>
  <si>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</si>
  <si>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</si>
  <si>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</si>
  <si>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</si>
  <si>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</si>
  <si>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</si>
  <si>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</si>
  <si>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</si>
  <si>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</si>
  <si>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</si>
  <si>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</si>
  <si>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</si>
  <si>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</si>
  <si>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</si>
  <si>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</si>
  <si>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</si>
  <si>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</si>
  <si>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</si>
  <si>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</si>
  <si>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</si>
  <si>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</si>
  <si>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</si>
  <si>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</si>
  <si>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</si>
  <si>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</si>
  <si>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</si>
  <si>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</si>
  <si>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</si>
  <si>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</si>
  <si>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</si>
  <si>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</si>
  <si>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</si>
  <si>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</si>
  <si>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</si>
  <si>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</si>
  <si>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</si>
  <si>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</si>
  <si>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</si>
  <si>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</si>
  <si>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</si>
  <si>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</si>
  <si>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</si>
  <si>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</si>
  <si>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</si>
  <si>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</si>
  <si>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</si>
  <si>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</si>
  <si>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</si>
  <si>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</si>
  <si>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</si>
  <si>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</si>
  <si>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</si>
  <si>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</si>
  <si>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</si>
  <si>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</si>
  <si>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</si>
  <si>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</si>
  <si>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</si>
  <si>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</si>
  <si>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</si>
  <si>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</si>
  <si>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</si>
  <si>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</si>
  <si>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</si>
  <si>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</si>
  <si>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</si>
  <si>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</si>
  <si>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</si>
  <si>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</si>
  <si>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</si>
  <si>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</si>
  <si>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</si>
  <si>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</si>
  <si>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</si>
  <si>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</si>
  <si>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</si>
  <si>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</si>
  <si>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</si>
  <si>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</si>
  <si>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</si>
  <si>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</si>
  <si>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</si>
  <si>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</si>
  <si>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</si>
  <si>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</si>
  <si>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</si>
  <si>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</si>
  <si>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</si>
  <si>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</si>
  <si>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</si>
  <si>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</si>
  <si>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</si>
  <si>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</si>
  <si>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</si>
  <si>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</si>
  <si>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</si>
  <si>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</si>
  <si>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</si>
  <si>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</si>
  <si>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</si>
  <si>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</si>
  <si>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</si>
  <si>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</si>
  <si>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</si>
  <si>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</si>
  <si>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</si>
  <si>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</si>
  <si>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</si>
  <si>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</si>
  <si>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</si>
  <si>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</si>
  <si>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</si>
  <si>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</si>
  <si>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</si>
  <si>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</si>
  <si>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</si>
  <si>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</si>
  <si>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</si>
  <si>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</si>
  <si>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</si>
  <si>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</si>
  <si>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</si>
  <si>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</si>
  <si>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</si>
  <si>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</si>
  <si>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</si>
  <si>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</si>
  <si>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</si>
  <si>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</si>
  <si>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</si>
  <si>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</si>
  <si>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</si>
  <si>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</si>
  <si>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</si>
  <si>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</si>
  <si>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</si>
  <si>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</si>
  <si>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</si>
  <si>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</si>
  <si>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</si>
  <si>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</si>
  <si>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</si>
  <si>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</si>
  <si>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</si>
  <si>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</si>
  <si>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</si>
  <si>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</si>
  <si>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</si>
  <si>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</si>
  <si>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</si>
  <si>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</si>
  <si>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</si>
  <si>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</si>
  <si>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</si>
  <si>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</si>
  <si>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</si>
  <si>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</si>
  <si>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</si>
  <si>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</si>
  <si>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</si>
  <si>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</si>
  <si>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</si>
  <si>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</si>
  <si>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</si>
  <si>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</si>
  <si>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</si>
  <si>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</si>
  <si>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</si>
  <si>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</si>
  <si>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</si>
  <si>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</si>
  <si>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</si>
  <si>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</si>
  <si>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</si>
  <si>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</si>
  <si>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</si>
  <si>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</si>
  <si>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</si>
  <si>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</si>
  <si>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</si>
  <si>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</si>
  <si>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</si>
  <si>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</si>
  <si>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</si>
  <si>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</si>
  <si>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</si>
  <si>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</si>
  <si>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</si>
  <si>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</si>
  <si>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</si>
  <si>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</si>
  <si>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</si>
  <si>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</si>
  <si>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</si>
  <si>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</si>
  <si>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</si>
  <si>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</si>
  <si>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</si>
  <si>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</si>
  <si>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</si>
  <si>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</si>
  <si>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</si>
  <si>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</si>
  <si>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</si>
  <si>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</si>
  <si>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</si>
  <si>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</si>
  <si>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</si>
  <si>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</si>
  <si>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</si>
  <si>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</si>
  <si>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</si>
  <si>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</si>
  <si>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</si>
  <si>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</si>
  <si>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</si>
  <si>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</si>
  <si>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</si>
  <si>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</si>
  <si>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</si>
  <si>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</si>
  <si>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</si>
  <si>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</si>
  <si>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</si>
  <si>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</si>
  <si>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</si>
  <si>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</si>
  <si>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</si>
  <si>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</si>
  <si>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</si>
  <si>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</si>
  <si>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</si>
  <si>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</si>
  <si>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</si>
  <si>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</si>
  <si>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</si>
  <si>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</si>
  <si>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</si>
  <si>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</si>
  <si>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</si>
  <si>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</si>
  <si>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</si>
  <si>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</si>
  <si>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</si>
  <si>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</si>
  <si>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</si>
  <si>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</si>
  <si>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</si>
  <si>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</si>
  <si>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</si>
  <si>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</si>
  <si>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</si>
  <si>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</si>
  <si>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</si>
  <si>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</si>
  <si>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</si>
  <si>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</si>
  <si>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</si>
  <si>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</si>
  <si>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</si>
  <si>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</si>
  <si>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</si>
  <si>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</si>
  <si>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</si>
  <si>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</si>
  <si>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</si>
  <si>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</si>
  <si>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</si>
  <si>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</si>
  <si>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</si>
  <si>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</si>
  <si>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</si>
  <si>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</si>
  <si>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</si>
  <si>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</si>
  <si>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</si>
  <si>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</si>
  <si>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</si>
  <si>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</si>
  <si>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</si>
  <si>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</si>
  <si>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</si>
  <si>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</si>
  <si>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</si>
  <si>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</si>
  <si>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</si>
  <si>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</si>
  <si>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</si>
  <si>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</si>
  <si>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</si>
  <si>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</si>
  <si>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</si>
  <si>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</si>
  <si>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</si>
  <si>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</si>
  <si>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</si>
  <si>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</si>
  <si>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</si>
  <si>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</si>
  <si>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</si>
  <si>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</si>
  <si>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</si>
  <si>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</si>
  <si>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</si>
  <si>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</si>
  <si>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</si>
  <si>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</si>
  <si>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</si>
  <si>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</si>
  <si>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</si>
  <si>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</si>
  <si>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</si>
  <si>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</si>
  <si>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</si>
  <si>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</si>
  <si>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</si>
  <si>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</si>
  <si>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</si>
  <si>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</si>
  <si>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</si>
  <si>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</si>
  <si>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</si>
  <si>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</si>
  <si>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</si>
  <si>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</si>
  <si>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</si>
  <si>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</si>
  <si>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</si>
  <si>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</si>
  <si>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</si>
  <si>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</si>
  <si>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</si>
  <si>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</si>
  <si>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</si>
  <si>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</si>
  <si>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</si>
  <si>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</si>
  <si>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</si>
  <si>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</si>
  <si>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</si>
  <si>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</si>
  <si>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</si>
  <si>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</si>
  <si>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</si>
  <si>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</si>
  <si>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</si>
  <si>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</si>
  <si>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</si>
  <si>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</si>
  <si>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</si>
  <si>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</si>
  <si>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</si>
  <si>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</si>
  <si>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</si>
  <si>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</si>
  <si>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</si>
  <si>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</si>
  <si>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</si>
  <si>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</si>
  <si>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</si>
  <si>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</si>
  <si>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</si>
  <si>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</si>
  <si>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</si>
  <si>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</si>
  <si>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</si>
  <si>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</si>
  <si>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</si>
  <si>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</si>
  <si>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</si>
  <si>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</si>
  <si>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</si>
  <si>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</si>
  <si>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</si>
  <si>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</si>
  <si>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</si>
  <si>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</si>
  <si>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</si>
  <si>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</si>
  <si>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</si>
  <si>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</si>
  <si>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</si>
  <si>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</si>
  <si>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</si>
  <si>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</si>
  <si>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</si>
  <si>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</si>
  <si>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</si>
  <si>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</si>
  <si>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</si>
  <si>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</si>
  <si>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</si>
  <si>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</si>
  <si>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</si>
  <si>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</si>
  <si>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</si>
  <si>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</si>
  <si>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</si>
  <si>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</si>
  <si>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</si>
  <si>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</si>
  <si>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</si>
  <si>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</si>
  <si>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</si>
  <si>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</si>
  <si>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</si>
  <si>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</si>
  <si>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</si>
  <si>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</si>
  <si>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</si>
  <si>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</si>
  <si>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</si>
  <si>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</si>
  <si>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</si>
  <si>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</si>
  <si>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</si>
  <si>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</si>
  <si>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</si>
  <si>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</si>
  <si>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</si>
  <si>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</si>
  <si>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</si>
  <si>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</si>
  <si>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</si>
  <si>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</si>
  <si>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</si>
  <si>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</si>
  <si>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</si>
  <si>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</si>
  <si>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</si>
  <si>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</si>
  <si>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</si>
  <si>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</si>
  <si>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</si>
  <si>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</si>
  <si>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</si>
  <si>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</si>
  <si>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</si>
  <si>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</si>
  <si>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</si>
  <si>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</si>
  <si>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</si>
  <si>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</si>
  <si>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</si>
  <si>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</si>
  <si>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</si>
  <si>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</si>
  <si>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</si>
  <si>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</si>
  <si>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</si>
  <si>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</si>
  <si>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</si>
  <si>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</si>
  <si>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</si>
  <si>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</si>
  <si>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</si>
  <si>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</si>
  <si>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</si>
  <si>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</si>
  <si>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</si>
  <si>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</si>
  <si>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</si>
  <si>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</si>
  <si>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</si>
  <si>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</si>
  <si>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</si>
  <si>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</si>
  <si>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</si>
  <si>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</si>
  <si>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</si>
  <si>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</si>
  <si>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</si>
  <si>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</si>
  <si>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</si>
  <si>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</si>
  <si>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</si>
  <si>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</si>
  <si>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</si>
  <si>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</si>
  <si>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</si>
  <si>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</si>
  <si>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</si>
  <si>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</si>
  <si>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</si>
  <si>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</si>
  <si>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</si>
  <si>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</si>
  <si>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</si>
  <si>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</si>
  <si>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</si>
  <si>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</si>
  <si>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</si>
  <si>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</si>
  <si>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</si>
  <si>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</si>
  <si>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</si>
  <si>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</si>
  <si>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</si>
  <si>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</si>
  <si>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</si>
  <si>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</si>
  <si>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</si>
  <si>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</si>
  <si>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</si>
  <si>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</si>
  <si>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</si>
  <si>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</si>
  <si>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</si>
  <si>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</si>
  <si>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</si>
  <si>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</si>
  <si>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</si>
  <si>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</si>
  <si>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</si>
  <si>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</si>
  <si>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</si>
  <si>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</si>
  <si>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</si>
  <si>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</si>
  <si>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</si>
  <si>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</si>
  <si>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</si>
  <si>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</si>
  <si>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</si>
  <si>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</si>
  <si>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</si>
  <si>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</si>
  <si>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</si>
  <si>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</si>
  <si>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</si>
  <si>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</si>
  <si>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</si>
  <si>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</si>
  <si>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</si>
  <si>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</si>
  <si>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</si>
  <si>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</si>
  <si>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</si>
  <si>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</si>
  <si>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</si>
  <si>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</si>
  <si>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</si>
  <si>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</si>
  <si>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</si>
  <si>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</si>
  <si>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</si>
  <si>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</si>
  <si>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</si>
  <si>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</si>
  <si>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</si>
  <si>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</si>
  <si>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</si>
  <si>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</si>
  <si>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</si>
  <si>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</si>
  <si>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</si>
  <si>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</si>
  <si>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</si>
  <si>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</si>
  <si>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</si>
  <si>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</si>
  <si>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</si>
  <si>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</si>
  <si>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</si>
  <si>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</si>
  <si>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</si>
  <si>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</si>
  <si>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</si>
  <si>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</si>
  <si>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</si>
  <si>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</si>
  <si>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</si>
  <si>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</si>
  <si>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</si>
  <si>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</si>
  <si>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</si>
  <si>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</si>
  <si>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</si>
  <si>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</si>
  <si>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</si>
  <si>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</si>
  <si>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</si>
  <si>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</si>
  <si>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</si>
  <si>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</si>
  <si>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</si>
  <si>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</si>
  <si>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</si>
  <si>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</si>
  <si>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</si>
  <si>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</si>
  <si>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</si>
  <si>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</si>
  <si>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</si>
  <si>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</si>
  <si>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</si>
  <si>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</si>
  <si>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</si>
  <si>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</si>
  <si>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</si>
  <si>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</si>
  <si>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</si>
  <si>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</si>
  <si>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</si>
  <si>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</si>
  <si>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</si>
  <si>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</si>
  <si>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</si>
  <si>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</si>
  <si>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</si>
  <si>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</si>
  <si>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</si>
  <si>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</si>
  <si>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</si>
  <si>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</si>
  <si>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</si>
  <si>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</si>
  <si>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</si>
  <si>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</si>
  <si>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</si>
  <si>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</si>
  <si>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</si>
  <si>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</si>
  <si>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</si>
  <si>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</si>
  <si>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</si>
  <si>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</si>
  <si>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</si>
  <si>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</si>
  <si>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</si>
  <si>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</si>
  <si>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</si>
  <si>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</si>
  <si>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</si>
  <si>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</si>
  <si>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</si>
  <si>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</si>
  <si>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</si>
  <si>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</si>
  <si>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</si>
  <si>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</si>
  <si>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</si>
  <si>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</si>
  <si>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</si>
  <si>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</si>
  <si>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</si>
  <si>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</si>
  <si>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</si>
  <si>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</si>
  <si>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</si>
  <si>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</si>
  <si>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</si>
  <si>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</si>
  <si>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</si>
  <si>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</si>
  <si>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</si>
  <si>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</si>
  <si>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</si>
  <si>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</si>
  <si>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</si>
  <si>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</si>
  <si>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</si>
  <si>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</si>
  <si>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</si>
  <si>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</si>
  <si>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</si>
  <si>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</si>
  <si>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</si>
  <si>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</si>
  <si>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</si>
  <si>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</si>
  <si>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</si>
  <si>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</si>
  <si>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</si>
  <si>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</si>
  <si>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</si>
  <si>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</si>
  <si>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</si>
  <si>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</si>
  <si>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</si>
  <si>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</si>
  <si>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</si>
  <si>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</si>
  <si>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</si>
  <si>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</si>
  <si>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</si>
  <si>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</si>
  <si>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</si>
  <si>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</si>
  <si>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</si>
  <si>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</si>
  <si>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</si>
  <si>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</si>
  <si>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</si>
  <si>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</si>
  <si>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</si>
  <si>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</si>
  <si>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</si>
  <si>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</si>
  <si>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</si>
  <si>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</si>
  <si>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</si>
  <si>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</si>
  <si>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</si>
  <si>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</si>
  <si>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</si>
  <si>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</si>
  <si>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</si>
  <si>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</si>
  <si>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</si>
  <si>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</si>
  <si>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</si>
  <si>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</si>
  <si>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</si>
  <si>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</si>
  <si>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</si>
  <si>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</si>
  <si>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</si>
  <si>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</si>
  <si>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</si>
  <si>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</si>
  <si>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</si>
  <si>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</si>
  <si>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</si>
  <si>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</si>
  <si>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</si>
  <si>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</si>
  <si>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</si>
  <si>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</si>
  <si>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</si>
  <si>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</si>
  <si>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</si>
  <si>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</si>
  <si>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</si>
  <si>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</si>
  <si>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</si>
  <si>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</si>
  <si>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</si>
  <si>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</si>
  <si>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</si>
  <si>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</si>
  <si>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</si>
  <si>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</si>
  <si>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</si>
  <si>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</si>
  <si>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</si>
  <si>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</si>
  <si>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</si>
  <si>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</si>
  <si>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</si>
  <si>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</si>
  <si>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</si>
  <si>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</si>
  <si>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</si>
  <si>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</si>
  <si>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</si>
  <si>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</si>
  <si>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</si>
  <si>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</si>
  <si>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</si>
  <si>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</si>
  <si>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</si>
  <si>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</si>
  <si>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</si>
  <si>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</si>
  <si>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</si>
  <si>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</si>
  <si>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</si>
  <si>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</si>
  <si>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</si>
  <si>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</si>
  <si>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</si>
  <si>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</si>
  <si>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</si>
  <si>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</si>
  <si>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</si>
  <si>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</si>
  <si>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</si>
  <si>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</si>
  <si>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</si>
  <si>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</si>
  <si>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</si>
  <si>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</si>
  <si>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</si>
  <si>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</si>
  <si>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</si>
  <si>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</si>
  <si>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</si>
  <si>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</si>
  <si>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</si>
  <si>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</si>
  <si>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</si>
  <si>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</si>
  <si>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</si>
  <si>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</si>
  <si>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</si>
  <si>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</si>
  <si>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</si>
  <si>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</si>
  <si>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</si>
  <si>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</si>
  <si>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</si>
  <si>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</si>
  <si>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</si>
  <si>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</si>
  <si>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</si>
  <si>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</si>
  <si>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</si>
  <si>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</si>
  <si>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</si>
  <si>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</si>
  <si>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</si>
  <si>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</si>
  <si>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</si>
  <si>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</si>
  <si>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</si>
  <si>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</si>
  <si>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</si>
  <si>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</si>
  <si>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</si>
  <si>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</si>
  <si>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</si>
  <si>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</si>
  <si>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</si>
  <si>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</si>
  <si>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</si>
  <si>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</si>
  <si>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</si>
  <si>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</si>
  <si>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</si>
  <si>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</si>
  <si>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</si>
  <si>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</si>
  <si>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</si>
  <si>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</si>
  <si>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</si>
  <si>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</si>
  <si>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</si>
  <si>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</si>
  <si>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</si>
  <si>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</si>
  <si>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</si>
  <si>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</si>
  <si>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</si>
  <si>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</si>
  <si>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</si>
  <si>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</si>
  <si>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</si>
  <si>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</si>
  <si>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</si>
  <si>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</si>
  <si>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</si>
  <si>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</si>
  <si>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</si>
  <si>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</si>
  <si>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</si>
  <si>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</si>
  <si>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</si>
  <si>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</si>
  <si>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</si>
  <si>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</si>
  <si>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</si>
  <si>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</si>
  <si>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</si>
  <si>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</si>
  <si>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</si>
  <si>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</si>
  <si>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</si>
  <si>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</si>
  <si>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</si>
  <si>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</si>
  <si>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</si>
  <si>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</si>
  <si>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</si>
  <si>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</si>
  <si>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</si>
  <si>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</si>
  <si>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</si>
  <si>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</si>
  <si>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</si>
  <si>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</si>
  <si>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</si>
  <si>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</si>
  <si>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</si>
  <si>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</si>
  <si>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</si>
  <si>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</si>
  <si>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</si>
  <si>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</si>
  <si>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</si>
  <si>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</si>
  <si>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</si>
  <si>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</si>
  <si>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</si>
  <si>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</si>
  <si>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</si>
  <si>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</si>
  <si>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</si>
  <si>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</si>
  <si>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</si>
  <si>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</si>
  <si>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</si>
  <si>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</si>
  <si>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</si>
  <si>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</si>
  <si>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</si>
  <si>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</si>
  <si>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</si>
  <si>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</si>
  <si>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</si>
  <si>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</si>
  <si>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</si>
  <si>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</si>
  <si>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</si>
  <si>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</si>
  <si>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</si>
  <si>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</si>
  <si>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</si>
  <si>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</si>
  <si>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</si>
  <si>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</si>
  <si>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</si>
  <si>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</si>
  <si>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</si>
  <si>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</si>
  <si>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</si>
  <si>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</si>
  <si>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</si>
  <si>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</si>
  <si>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</si>
  <si>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</si>
  <si>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</si>
  <si>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</si>
  <si>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</si>
  <si>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</si>
  <si>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</si>
  <si>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</si>
  <si>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</si>
  <si>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</si>
  <si>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</si>
  <si>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</si>
  <si>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</si>
  <si>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</si>
  <si>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</si>
  <si>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</si>
  <si>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</si>
  <si>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</si>
  <si>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</si>
  <si>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</si>
  <si>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</si>
  <si>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</si>
  <si>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</si>
  <si>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</si>
  <si>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</si>
  <si>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</si>
  <si>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</si>
  <si>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</si>
  <si>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</si>
  <si>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</si>
  <si>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</si>
  <si>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</si>
  <si>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</si>
  <si>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</si>
  <si>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</si>
  <si>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</si>
  <si>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</si>
  <si>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</si>
  <si>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</si>
  <si>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</si>
  <si>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</si>
  <si>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</si>
  <si>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</si>
  <si>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</si>
  <si>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</si>
  <si>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</si>
  <si>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</si>
  <si>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</si>
  <si>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</si>
  <si>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</si>
  <si>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</si>
  <si>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</si>
  <si>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</si>
  <si>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</si>
  <si>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</si>
  <si>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</si>
  <si>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</si>
  <si>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</si>
  <si>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</si>
  <si>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</si>
  <si>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</si>
  <si>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</si>
  <si>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</si>
  <si>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</si>
  <si>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</si>
  <si>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</si>
  <si>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</si>
  <si>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</si>
  <si>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</si>
  <si>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</si>
  <si>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</si>
  <si>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</si>
  <si>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</si>
  <si>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</si>
  <si>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</si>
  <si>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</si>
  <si>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</si>
  <si>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</si>
  <si>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</si>
  <si>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</si>
  <si>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</si>
  <si>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</si>
  <si>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</si>
  <si>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</si>
  <si>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</si>
  <si>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</si>
  <si>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</si>
  <si>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</si>
  <si>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</si>
  <si>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</si>
  <si>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</si>
  <si>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</si>
  <si>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</si>
  <si>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</si>
  <si>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</si>
  <si>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</si>
  <si>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</si>
  <si>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</si>
  <si>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</si>
  <si>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</si>
  <si>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</si>
  <si>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</si>
  <si>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</si>
  <si>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</si>
  <si>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</si>
  <si>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</si>
  <si>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</si>
  <si>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</si>
  <si>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</si>
  <si>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</si>
  <si>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</si>
  <si>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</si>
  <si>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</si>
  <si>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</si>
  <si>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</si>
  <si>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</si>
  <si>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</si>
  <si>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</si>
  <si>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</si>
  <si>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</si>
  <si>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</si>
  <si>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</si>
  <si>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</si>
  <si>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</si>
  <si>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</si>
  <si>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</si>
  <si>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</si>
  <si>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</si>
  <si>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</si>
  <si>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</si>
  <si>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</si>
  <si>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</si>
  <si>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</si>
  <si>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</si>
  <si>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</si>
  <si>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</si>
  <si>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</si>
  <si>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</si>
  <si>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</si>
  <si>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</si>
  <si>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</si>
  <si>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</si>
  <si>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</si>
  <si>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</si>
  <si>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</si>
  <si>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</si>
  <si>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</si>
  <si>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</si>
  <si>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</si>
  <si>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</si>
  <si>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</si>
  <si>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</si>
  <si>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</si>
  <si>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</si>
  <si>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</si>
  <si>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</si>
  <si>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</si>
  <si>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</si>
  <si>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</si>
  <si>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</si>
  <si>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</si>
  <si>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</si>
  <si>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</si>
  <si>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</si>
  <si>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</si>
  <si>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</si>
  <si>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</si>
  <si>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</si>
  <si>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</si>
  <si>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</si>
  <si>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</si>
  <si>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</si>
  <si>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</si>
  <si>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</si>
  <si>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</si>
  <si>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</si>
  <si>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</si>
  <si>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</si>
  <si>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</si>
  <si>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</si>
  <si>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</si>
  <si>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</si>
  <si>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</si>
  <si>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</si>
  <si>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</si>
  <si>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</si>
  <si>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</si>
  <si>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</si>
  <si>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</si>
  <si>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</si>
  <si>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</si>
  <si>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</si>
  <si>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</si>
  <si>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</si>
  <si>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</si>
  <si>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</si>
  <si>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</si>
  <si>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</si>
  <si>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</si>
  <si>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</si>
  <si>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</si>
  <si>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</si>
  <si>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</si>
  <si>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</si>
  <si>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</si>
  <si>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</si>
  <si>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</si>
  <si>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</si>
  <si>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</si>
  <si>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</si>
  <si>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</si>
  <si>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</si>
  <si>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</si>
  <si>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</si>
  <si>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</si>
  <si>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</si>
  <si>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</si>
  <si>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</si>
  <si>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</si>
  <si>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</si>
  <si>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</si>
  <si>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</si>
  <si>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</si>
  <si>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</si>
  <si>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</si>
  <si>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</si>
  <si>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</si>
  <si>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</si>
  <si>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</si>
  <si>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</si>
  <si>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</si>
  <si>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</si>
  <si>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</si>
  <si>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</si>
  <si>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</si>
  <si>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</si>
  <si>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</si>
  <si>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</si>
  <si>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</si>
  <si>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</si>
  <si>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</si>
  <si>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</si>
  <si>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</si>
  <si>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</si>
  <si>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</si>
  <si>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</si>
  <si>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</si>
  <si>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</si>
  <si>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</si>
  <si>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</si>
  <si>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</si>
  <si>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</si>
  <si>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</si>
  <si>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</si>
  <si>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</si>
  <si>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</si>
  <si>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</si>
  <si>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</si>
  <si>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</si>
  <si>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</si>
  <si>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</si>
  <si>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</si>
  <si>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</si>
  <si>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</si>
  <si>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</si>
  <si>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</si>
  <si>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</si>
  <si>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</si>
  <si>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</si>
  <si>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</si>
  <si>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</si>
  <si>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</si>
  <si>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</si>
  <si>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</si>
  <si>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</si>
  <si>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</si>
  <si>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</si>
  <si>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</si>
  <si>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</si>
  <si>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</si>
  <si>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</si>
  <si>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</si>
  <si>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</si>
  <si>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</si>
  <si>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</si>
  <si>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</si>
  <si>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</si>
  <si>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</si>
  <si>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</si>
  <si>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</si>
  <si>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</si>
  <si>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</si>
  <si>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</si>
  <si>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</si>
  <si>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</si>
  <si>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</si>
  <si>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</si>
  <si>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</si>
  <si>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</si>
  <si>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</si>
  <si>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</si>
  <si>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</si>
  <si>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</si>
  <si>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</si>
  <si>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</si>
  <si>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</si>
  <si>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</si>
  <si>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</si>
  <si>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</si>
  <si>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</si>
  <si>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</si>
  <si>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</si>
  <si>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</si>
  <si>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</si>
  <si>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</si>
  <si>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</si>
  <si>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</si>
  <si>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</si>
  <si>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</si>
  <si>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</si>
  <si>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</si>
  <si>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</si>
  <si>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</si>
  <si>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</si>
  <si>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</si>
  <si>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</si>
  <si>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</si>
  <si>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</si>
  <si>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</si>
  <si>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</si>
  <si>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</si>
  <si>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</si>
  <si>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</si>
  <si>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</si>
  <si>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</si>
  <si>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</si>
  <si>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</si>
  <si>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</si>
  <si>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</si>
  <si>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</si>
  <si>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</si>
  <si>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</si>
  <si>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</si>
  <si>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</si>
  <si>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</si>
  <si>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</si>
  <si>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</si>
  <si>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</si>
  <si>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</si>
  <si>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</si>
  <si>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</si>
  <si>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</si>
  <si>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</si>
  <si>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</si>
  <si>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</si>
  <si>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</si>
  <si>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</si>
  <si>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</si>
  <si>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</si>
  <si>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</si>
  <si>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</si>
  <si>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</si>
  <si>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</si>
  <si>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</si>
  <si>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</si>
  <si>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</si>
  <si>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</si>
  <si>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</si>
  <si>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</si>
  <si>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</si>
  <si>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</si>
  <si>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</si>
  <si>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</si>
  <si>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</si>
  <si>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</si>
  <si>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</si>
  <si>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</si>
  <si>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</si>
  <si>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</si>
  <si>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</si>
  <si>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</si>
  <si>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</si>
  <si>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</si>
  <si>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</si>
  <si>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</si>
  <si>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</si>
  <si>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</si>
  <si>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</si>
  <si>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</si>
  <si>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</si>
  <si>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</si>
  <si>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</si>
  <si>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</si>
  <si>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</si>
  <si>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</si>
  <si>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</si>
  <si>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</si>
  <si>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</si>
  <si>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</si>
  <si>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</si>
  <si>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</si>
  <si>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</si>
  <si>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</si>
  <si>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</si>
  <si>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</si>
  <si>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</si>
  <si>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</si>
  <si>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</si>
  <si>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</si>
  <si>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</si>
  <si>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</si>
  <si>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</si>
  <si>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</si>
  <si>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</si>
  <si>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</si>
  <si>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</si>
  <si>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</si>
  <si>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</si>
  <si>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</si>
  <si>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</si>
  <si>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</si>
  <si>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</si>
  <si>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</si>
  <si>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</si>
  <si>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</si>
  <si>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</si>
  <si>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</si>
  <si>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</si>
  <si>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</si>
  <si>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</si>
  <si>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</si>
  <si>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</si>
  <si>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</si>
  <si>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</si>
  <si>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</si>
  <si>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</si>
  <si>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</si>
  <si>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</si>
  <si>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</si>
  <si>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</si>
  <si>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</si>
  <si>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</si>
  <si>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</si>
  <si>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</si>
  <si>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</si>
  <si>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</si>
  <si>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</si>
  <si>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</si>
  <si>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</si>
  <si>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</si>
  <si>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</si>
  <si>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</si>
  <si>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</si>
  <si>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</si>
  <si>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</si>
  <si>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</si>
  <si>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</si>
  <si>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</si>
  <si>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</si>
  <si>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</si>
  <si>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</si>
  <si>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</si>
  <si>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</si>
  <si>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</si>
  <si>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</si>
  <si>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</si>
  <si>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</si>
  <si>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</si>
  <si>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</si>
  <si>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</si>
  <si>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</si>
  <si>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</si>
  <si>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</si>
  <si>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</si>
  <si>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</si>
  <si>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</si>
  <si>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</si>
  <si>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</si>
  <si>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</si>
  <si>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</si>
  <si>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</si>
  <si>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</si>
  <si>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</si>
  <si>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</si>
  <si>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</si>
  <si>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</si>
  <si>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</si>
  <si>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</si>
  <si>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</si>
  <si>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</si>
  <si>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</si>
  <si>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</si>
  <si>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</si>
  <si>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</si>
  <si>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</si>
  <si>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</si>
  <si>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</si>
  <si>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</si>
  <si>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</si>
  <si>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</si>
  <si>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</si>
  <si>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</si>
  <si>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</si>
  <si>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</si>
  <si>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</si>
  <si>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</si>
  <si>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</si>
  <si>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</si>
  <si>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</si>
  <si>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</si>
  <si>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</si>
  <si>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</si>
  <si>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</si>
  <si>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</si>
  <si>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</si>
  <si>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</si>
  <si>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</si>
  <si>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</si>
  <si>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</si>
  <si>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</si>
  <si>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</si>
  <si>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</si>
  <si>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</si>
  <si>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</si>
  <si>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</si>
  <si>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</si>
  <si>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</si>
  <si>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</si>
  <si>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</si>
  <si>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</si>
  <si>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</si>
  <si>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</si>
  <si>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</si>
  <si>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</si>
  <si>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</si>
  <si>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</si>
  <si>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</si>
  <si>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</si>
  <si>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</si>
  <si>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</si>
  <si>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</si>
  <si>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</si>
  <si>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</si>
  <si>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</si>
  <si>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</si>
  <si>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</si>
  <si>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</si>
  <si>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</si>
  <si>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</si>
  <si>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</si>
  <si>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</si>
  <si>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</si>
  <si>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</si>
  <si>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</si>
  <si>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</si>
  <si>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</si>
  <si>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</si>
  <si>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</si>
  <si>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</si>
  <si>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</si>
  <si>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</si>
  <si>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</si>
  <si>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</si>
  <si>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</si>
  <si>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</si>
  <si>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</si>
  <si>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</si>
  <si>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</si>
  <si>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</si>
  <si>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</si>
  <si>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</si>
  <si>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</si>
  <si>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</si>
  <si>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</si>
  <si>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</si>
  <si>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</si>
  <si>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</si>
  <si>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</si>
  <si>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</si>
  <si>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</si>
  <si>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</si>
  <si>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</si>
  <si>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</si>
  <si>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</si>
  <si>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</si>
  <si>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</si>
  <si>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</si>
  <si>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</si>
  <si>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</si>
  <si>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</si>
  <si>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</si>
  <si>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</si>
  <si>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</si>
  <si>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</si>
  <si>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</si>
  <si>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</si>
  <si>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</si>
  <si>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</si>
  <si>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</si>
  <si>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</si>
  <si>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</si>
  <si>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</si>
  <si>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</si>
  <si>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</si>
  <si>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</si>
  <si>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</si>
  <si>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</si>
  <si>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</si>
  <si>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</si>
  <si>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</si>
  <si>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</si>
  <si>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</si>
  <si>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</si>
  <si>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</si>
  <si>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</si>
  <si>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</si>
  <si>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</si>
  <si>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</si>
  <si>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</si>
  <si>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</si>
  <si>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</si>
  <si>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</si>
  <si>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</si>
  <si>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</si>
  <si>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</si>
  <si>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</si>
  <si>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</si>
  <si>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</si>
  <si>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</si>
  <si>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</si>
  <si>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</si>
  <si>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</si>
  <si>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</si>
  <si>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</si>
  <si>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</si>
  <si>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</si>
  <si>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</si>
  <si>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</si>
  <si>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</si>
  <si>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</si>
  <si>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</si>
  <si>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</si>
  <si>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</si>
  <si>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</si>
  <si>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</si>
  <si>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</si>
  <si>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</si>
  <si>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</si>
  <si>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</si>
  <si>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</si>
  <si>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</si>
  <si>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</si>
  <si>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</si>
  <si>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</si>
  <si>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</si>
  <si>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</si>
  <si>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</si>
  <si>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</si>
  <si>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</si>
  <si>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</si>
  <si>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</si>
  <si>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</si>
  <si>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</si>
  <si>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</si>
  <si>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</si>
  <si>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</si>
  <si>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</si>
  <si>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</si>
  <si>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</si>
  <si>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</si>
  <si>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</si>
  <si>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</si>
  <si>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</si>
  <si>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</si>
  <si>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</si>
  <si>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</si>
  <si>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</si>
  <si>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</si>
  <si>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</si>
  <si>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</si>
  <si>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</si>
  <si>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</si>
  <si>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</si>
  <si>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</si>
  <si>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</si>
  <si>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</si>
  <si>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</si>
  <si>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</si>
  <si>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</si>
  <si>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</si>
  <si>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</si>
  <si>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</si>
  <si>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</si>
  <si>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</si>
  <si>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</si>
  <si>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</si>
  <si>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</si>
  <si>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</si>
  <si>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</si>
  <si>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</si>
  <si>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</si>
  <si>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</si>
  <si>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</si>
  <si>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</si>
  <si>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</si>
  <si>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</si>
  <si>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</si>
  <si>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</si>
  <si>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</si>
  <si>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</si>
  <si>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</si>
  <si>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</si>
  <si>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</si>
  <si>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</si>
  <si>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</si>
  <si>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</si>
  <si>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</si>
  <si>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</si>
  <si>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</si>
  <si>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</si>
  <si>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</si>
  <si>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</si>
  <si>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</si>
  <si>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</si>
  <si>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</si>
  <si>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</si>
  <si>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</si>
  <si>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</si>
  <si>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</si>
  <si>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</si>
  <si>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</si>
  <si>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</si>
  <si>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</si>
  <si>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</si>
  <si>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</si>
  <si>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</si>
  <si>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</si>
  <si>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</si>
  <si>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</si>
  <si>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</si>
  <si>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</si>
  <si>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</si>
  <si>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</si>
  <si>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</si>
  <si>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</si>
  <si>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</si>
  <si>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</si>
  <si>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</si>
  <si>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</si>
  <si>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</si>
  <si>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</si>
  <si>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</si>
  <si>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</si>
  <si>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</si>
  <si>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</si>
  <si>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</si>
  <si>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</si>
  <si>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</si>
  <si>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</si>
  <si>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</si>
  <si>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</si>
  <si>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</si>
  <si>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</si>
  <si>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</si>
  <si>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</si>
  <si>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</si>
  <si>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</si>
  <si>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</si>
  <si>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</si>
  <si>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</si>
  <si>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</si>
  <si>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</si>
  <si>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</si>
  <si>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</si>
  <si>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</si>
  <si>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</si>
  <si>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</si>
  <si>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</si>
  <si>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</si>
  <si>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</si>
  <si>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</si>
  <si>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</si>
  <si>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</si>
  <si>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</si>
  <si>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</si>
  <si>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</si>
  <si>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</si>
  <si>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</si>
  <si>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</si>
  <si>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</si>
  <si>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</si>
  <si>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</si>
  <si>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</si>
  <si>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</si>
  <si>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</si>
  <si>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</si>
  <si>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</si>
  <si>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</si>
  <si>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</si>
  <si>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</si>
  <si>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</si>
  <si>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</si>
  <si>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</si>
  <si>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</si>
  <si>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</si>
  <si>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</si>
  <si>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</si>
  <si>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</si>
  <si>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</si>
  <si>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</si>
  <si>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</si>
  <si>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</si>
  <si>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</si>
  <si>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</si>
  <si>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</si>
  <si>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</si>
  <si>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</si>
  <si>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</si>
  <si>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</si>
  <si>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</si>
  <si>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</si>
  <si>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</si>
  <si>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</si>
  <si>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</si>
  <si>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</si>
  <si>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</si>
  <si>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</si>
  <si>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</si>
  <si>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</si>
  <si>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</si>
  <si>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</si>
  <si>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</si>
  <si>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</si>
  <si>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</si>
  <si>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</si>
  <si>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</si>
  <si>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</si>
  <si>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</si>
  <si>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</si>
  <si>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</si>
  <si>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</si>
  <si>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</si>
  <si>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</si>
  <si>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</si>
  <si>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</si>
  <si>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</si>
  <si>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</si>
  <si>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</si>
  <si>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</si>
  <si>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</si>
  <si>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</si>
  <si>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</si>
  <si>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</si>
  <si>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</si>
  <si>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</si>
  <si>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</si>
  <si>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</si>
  <si>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</si>
  <si>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</si>
  <si>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</si>
  <si>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</si>
  <si>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</si>
  <si>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</si>
  <si>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</si>
  <si>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</si>
  <si>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</si>
  <si>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</si>
  <si>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</si>
  <si>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</si>
  <si>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</si>
  <si>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</si>
  <si>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</si>
  <si>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</si>
  <si>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</si>
  <si>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</si>
  <si>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</si>
  <si>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</si>
  <si>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</si>
  <si>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</si>
  <si>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</si>
  <si>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</si>
  <si>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</si>
  <si>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</si>
  <si>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</si>
  <si>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</si>
  <si>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</si>
  <si>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</si>
  <si>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</si>
  <si>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</si>
  <si>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</si>
  <si>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</si>
  <si>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</si>
  <si>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</si>
  <si>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</si>
  <si>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</si>
  <si>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</si>
  <si>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</si>
  <si>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</si>
  <si>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</si>
  <si>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</si>
  <si>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</si>
  <si>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</si>
  <si>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</si>
  <si>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</si>
  <si>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</si>
  <si>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</si>
  <si>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</si>
  <si>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</si>
  <si>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</si>
  <si>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</si>
  <si>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</si>
  <si>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</si>
  <si>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</si>
  <si>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</si>
  <si>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</si>
  <si>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</si>
  <si>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</si>
  <si>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</si>
  <si>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</si>
  <si>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</si>
  <si>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</si>
  <si>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</si>
  <si>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</si>
  <si>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</si>
  <si>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</si>
  <si>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</si>
  <si>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</si>
  <si>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</si>
  <si>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</si>
  <si>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</si>
  <si>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</si>
  <si>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</si>
  <si>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</si>
  <si>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</si>
  <si>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</si>
  <si>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</si>
  <si>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</si>
  <si>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</si>
  <si>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</si>
  <si>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</si>
  <si>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</si>
  <si>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</si>
  <si>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</si>
  <si>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</si>
  <si>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</si>
  <si>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</si>
  <si>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</si>
  <si>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</si>
  <si>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</si>
  <si>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</si>
  <si>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</si>
  <si>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</si>
  <si>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</si>
  <si>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</si>
  <si>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</si>
  <si>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</si>
  <si>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</si>
  <si>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</si>
  <si>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</si>
  <si>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</si>
  <si>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</si>
  <si>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</si>
  <si>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</si>
  <si>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</si>
  <si>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</si>
  <si>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</si>
  <si>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</si>
  <si>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</si>
  <si>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</si>
  <si>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</si>
  <si>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</si>
  <si>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</si>
  <si>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</si>
  <si>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</si>
  <si>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</si>
  <si>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</si>
  <si>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</si>
  <si>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</si>
  <si>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</si>
  <si>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</si>
  <si>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</si>
  <si>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</si>
  <si>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</si>
  <si>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</si>
  <si>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</si>
  <si>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</si>
  <si>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</si>
  <si>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</si>
  <si>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</si>
  <si>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</si>
  <si>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</si>
  <si>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</si>
  <si>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</si>
  <si>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</si>
  <si>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</si>
  <si>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</si>
  <si>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</si>
  <si>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</si>
  <si>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</si>
  <si>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</si>
  <si>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</si>
  <si>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</si>
  <si>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</si>
  <si>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</si>
  <si>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</si>
  <si>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</si>
  <si>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</si>
  <si>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</si>
  <si>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</si>
  <si>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</si>
  <si>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</si>
  <si>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</si>
  <si>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</si>
  <si>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</si>
  <si>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</si>
  <si>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</si>
  <si>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</si>
  <si>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</si>
  <si>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</si>
  <si>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</si>
  <si>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</si>
  <si>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</si>
  <si>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</si>
  <si>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</si>
  <si>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</si>
  <si>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</si>
  <si>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</si>
  <si>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</si>
  <si>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</si>
  <si>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</si>
  <si>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</si>
  <si>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</si>
  <si>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</si>
  <si>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</si>
  <si>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</si>
  <si>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</si>
  <si>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</si>
  <si>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</si>
  <si>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</si>
  <si>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</si>
  <si>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</si>
  <si>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</si>
  <si>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</si>
  <si>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</si>
  <si>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</si>
  <si>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</si>
  <si>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</si>
  <si>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</si>
  <si>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</si>
  <si>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</si>
  <si>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</si>
  <si>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</si>
  <si>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</si>
  <si>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</si>
  <si>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</si>
  <si>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</si>
  <si>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</si>
  <si>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</si>
  <si>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</si>
  <si>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</si>
  <si>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</si>
  <si>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</si>
  <si>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</si>
  <si>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</si>
  <si>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</si>
  <si>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</si>
  <si>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</si>
  <si>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</si>
  <si>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</si>
  <si>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</si>
  <si>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</si>
  <si>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</si>
  <si>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</si>
  <si>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</si>
  <si>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</si>
  <si>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</si>
  <si>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</si>
  <si>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</si>
  <si>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</si>
  <si>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</si>
  <si>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</si>
  <si>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</si>
  <si>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</si>
  <si>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</si>
  <si>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</si>
  <si>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</si>
  <si>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</si>
  <si>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</si>
  <si>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</si>
  <si>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</si>
  <si>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</si>
  <si>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</si>
  <si>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</si>
  <si>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</si>
  <si>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</si>
  <si>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</si>
  <si>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</si>
  <si>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</si>
  <si>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</si>
  <si>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</si>
  <si>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</si>
  <si>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</si>
  <si>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</si>
  <si>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</si>
  <si>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</si>
  <si>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</si>
  <si>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</si>
  <si>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</si>
  <si>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</si>
  <si>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</si>
  <si>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</si>
  <si>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</si>
  <si>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</si>
  <si>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</si>
  <si>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</si>
  <si>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</si>
  <si>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</si>
  <si>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</si>
  <si>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</si>
  <si>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</si>
  <si>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</si>
  <si>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</si>
  <si>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</si>
  <si>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</si>
  <si>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</si>
  <si>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</si>
  <si>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</si>
  <si>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</si>
  <si>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</si>
  <si>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</si>
  <si>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</si>
  <si>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</si>
  <si>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</si>
  <si>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</si>
  <si>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</si>
  <si>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</si>
  <si>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</si>
  <si>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</si>
  <si>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</si>
  <si>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</si>
  <si>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</si>
  <si>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</si>
  <si>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</si>
  <si>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</si>
  <si>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</si>
  <si>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</si>
  <si>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</si>
  <si>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</si>
  <si>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</si>
  <si>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</si>
  <si>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</si>
  <si>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</si>
  <si>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</si>
  <si>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</si>
  <si>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</si>
  <si>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</si>
  <si>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</si>
  <si>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</si>
  <si>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</si>
  <si>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</si>
  <si>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</si>
  <si>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</si>
  <si>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</si>
  <si>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</si>
  <si>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</si>
  <si>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</si>
  <si>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</si>
  <si>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</si>
  <si>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</si>
  <si>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</si>
  <si>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</si>
  <si>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</si>
  <si>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</si>
  <si>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</si>
  <si>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</si>
  <si>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</si>
  <si>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</si>
  <si>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</si>
  <si>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</si>
  <si>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</si>
  <si>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</si>
  <si>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</si>
  <si>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</si>
  <si>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</si>
  <si>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</si>
  <si>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</si>
  <si>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</si>
  <si>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</si>
  <si>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</si>
  <si>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</si>
  <si>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</si>
  <si>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</si>
  <si>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</si>
  <si>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</si>
  <si>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</si>
  <si>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</si>
  <si>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</si>
  <si>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</si>
  <si>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</si>
  <si>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</si>
  <si>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</si>
  <si>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</si>
  <si>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</si>
  <si>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</si>
  <si>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</si>
  <si>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</si>
  <si>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</si>
  <si>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</si>
  <si>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</si>
  <si>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</si>
  <si>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</si>
  <si>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</si>
  <si>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</si>
  <si>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</si>
  <si>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</si>
  <si>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</si>
  <si>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</si>
  <si>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</si>
  <si>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</si>
  <si>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</si>
  <si>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</si>
  <si>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</si>
  <si>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</si>
  <si>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</si>
  <si>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</si>
  <si>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</si>
  <si>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</si>
  <si>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</si>
  <si>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</si>
  <si>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</si>
  <si>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</si>
  <si>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</si>
  <si>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</si>
  <si>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</si>
  <si>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</si>
  <si>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</si>
  <si>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</si>
  <si>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</si>
  <si>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</si>
  <si>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</si>
  <si>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</si>
  <si>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</si>
  <si>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</si>
  <si>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</si>
  <si>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</si>
  <si>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</si>
  <si>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</si>
  <si>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</si>
  <si>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</si>
  <si>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</si>
  <si>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</si>
  <si>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</si>
  <si>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</si>
  <si>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</si>
  <si>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</si>
  <si>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</si>
  <si>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</si>
  <si>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</si>
  <si>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</si>
  <si>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</si>
  <si>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</si>
  <si>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</si>
  <si>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</si>
  <si>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</si>
  <si>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</si>
  <si>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</si>
  <si>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</si>
  <si>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</si>
  <si>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</si>
  <si>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</si>
  <si>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</si>
  <si>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</si>
  <si>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</si>
  <si>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</si>
  <si>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</si>
  <si>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</si>
  <si>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</si>
  <si>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</si>
  <si>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</si>
  <si>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</si>
  <si>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</si>
  <si>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</si>
  <si>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</si>
  <si>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</si>
  <si>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</si>
  <si>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</si>
  <si>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</si>
  <si>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</si>
  <si>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</si>
  <si>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</si>
  <si>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</si>
  <si>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</si>
  <si>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</si>
  <si>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</si>
  <si>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</si>
  <si>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</si>
  <si>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</si>
  <si>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</si>
  <si>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</si>
  <si>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</si>
  <si>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</si>
  <si>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</si>
  <si>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</si>
  <si>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</si>
  <si>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</si>
  <si>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</si>
  <si>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</si>
  <si>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</si>
  <si>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</si>
  <si>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</si>
  <si>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</si>
  <si>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</si>
  <si>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</si>
  <si>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</si>
  <si>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</si>
  <si>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</si>
  <si>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</si>
  <si>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</si>
  <si>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</si>
  <si>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</si>
  <si>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</si>
  <si>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</si>
  <si>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</si>
  <si>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</si>
  <si>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</si>
  <si>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</si>
  <si>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</si>
  <si>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</si>
  <si>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</si>
  <si>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</si>
  <si>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</si>
  <si>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</si>
  <si>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</si>
  <si>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</si>
  <si>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</si>
  <si>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</si>
  <si>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</si>
  <si>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</si>
  <si>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</si>
  <si>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</si>
  <si>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</si>
  <si>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</si>
  <si>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</si>
  <si>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</si>
  <si>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</si>
  <si>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</si>
  <si>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</si>
  <si>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</si>
  <si>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</si>
  <si>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</si>
  <si>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</si>
  <si>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</si>
  <si>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</si>
  <si>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</si>
  <si>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</si>
  <si>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</si>
  <si>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</si>
  <si>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</si>
  <si>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</si>
  <si>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</si>
  <si>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</si>
  <si>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</si>
  <si>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</si>
  <si>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</si>
  <si>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</si>
  <si>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</si>
  <si>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</si>
  <si>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</si>
  <si>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</si>
  <si>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</si>
  <si>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</si>
  <si>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</si>
  <si>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</si>
  <si>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</si>
  <si>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</si>
  <si>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</si>
  <si>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</si>
  <si>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</si>
  <si>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</si>
  <si>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</si>
  <si>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</si>
  <si>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</si>
  <si>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</si>
  <si>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</si>
  <si>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</si>
  <si>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</si>
  <si>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</si>
  <si>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</si>
  <si>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</si>
  <si>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</si>
  <si>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</si>
  <si>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</si>
  <si>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</si>
  <si>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</si>
  <si>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</si>
  <si>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</si>
  <si>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</si>
  <si>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</si>
  <si>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</si>
  <si>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</si>
  <si>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</si>
  <si>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</si>
  <si>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</si>
  <si>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</si>
  <si>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</si>
  <si>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</si>
  <si>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</si>
  <si>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</si>
  <si>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</si>
  <si>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</si>
  <si>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</si>
  <si>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</si>
  <si>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</si>
  <si>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</si>
  <si>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</si>
  <si>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</si>
  <si>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</si>
  <si>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</si>
  <si>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</si>
  <si>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</si>
  <si>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</si>
  <si>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</si>
  <si>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</si>
  <si>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</si>
  <si>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</si>
  <si>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</si>
  <si>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</si>
  <si>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</si>
  <si>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</si>
  <si>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</si>
  <si>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</si>
  <si>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</si>
  <si>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</si>
  <si>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</si>
  <si>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</si>
  <si>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</si>
  <si>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</si>
  <si>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</si>
  <si>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</si>
  <si>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</si>
  <si>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</si>
  <si>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</si>
  <si>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</si>
  <si>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</si>
  <si>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</si>
  <si>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</si>
  <si>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</si>
  <si>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</si>
  <si>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</si>
  <si>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</si>
  <si>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</si>
  <si>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</si>
  <si>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</si>
  <si>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</si>
  <si>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</si>
  <si>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</si>
  <si>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</si>
  <si>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</si>
  <si>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</si>
  <si>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</si>
  <si>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</si>
  <si>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</si>
  <si>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</si>
  <si>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</si>
  <si>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</si>
  <si>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</si>
  <si>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</si>
  <si>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</si>
  <si>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</si>
  <si>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</si>
  <si>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</si>
  <si>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</si>
  <si>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</si>
  <si>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</si>
  <si>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</si>
  <si>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</si>
  <si>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</si>
  <si>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</si>
  <si>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</si>
  <si>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</si>
  <si>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</si>
  <si>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</si>
  <si>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</si>
  <si>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</si>
  <si>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</si>
  <si>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</si>
  <si>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</si>
  <si>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</si>
  <si>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</si>
  <si>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</si>
  <si>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</si>
  <si>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</si>
  <si>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</si>
  <si>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</si>
  <si>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</si>
  <si>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</si>
  <si>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</si>
  <si>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</si>
  <si>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</si>
  <si>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</si>
  <si>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</si>
  <si>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</si>
  <si>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</si>
  <si>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</si>
  <si>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</si>
  <si>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</si>
  <si>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</si>
  <si>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</si>
  <si>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</si>
  <si>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</si>
  <si>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</si>
  <si>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</si>
  <si>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</si>
  <si>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</si>
  <si>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</si>
  <si>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</si>
  <si>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</si>
  <si>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</si>
  <si>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</si>
  <si>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</si>
  <si>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</si>
  <si>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</si>
  <si>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</si>
  <si>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</si>
  <si>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</si>
  <si>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</si>
  <si>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</si>
  <si>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</si>
  <si>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</si>
  <si>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</si>
  <si>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</si>
  <si>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</si>
  <si>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</si>
  <si>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</si>
  <si>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</si>
  <si>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</si>
  <si>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</si>
  <si>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</si>
  <si>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</si>
  <si>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</si>
  <si>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</si>
  <si>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</si>
  <si>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</si>
  <si>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</si>
  <si>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</si>
  <si>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</si>
  <si>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</si>
  <si>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</si>
  <si>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</si>
  <si>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</si>
  <si>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</si>
  <si>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</si>
  <si>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</si>
  <si>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</si>
  <si>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</si>
  <si>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</si>
  <si>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</si>
  <si>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</si>
  <si>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</si>
  <si>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</si>
  <si>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</si>
  <si>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</si>
  <si>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</si>
  <si>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</si>
  <si>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</si>
  <si>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</si>
  <si>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</si>
  <si>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</si>
  <si>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</si>
  <si>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</si>
  <si>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</si>
  <si>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</si>
  <si>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</si>
  <si>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</si>
  <si>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</si>
  <si>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</si>
  <si>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</si>
  <si>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</si>
  <si>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</si>
  <si>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</si>
  <si>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</si>
  <si>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</si>
  <si>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</si>
  <si>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</si>
  <si>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</si>
  <si>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</si>
  <si>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</si>
  <si>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</si>
  <si>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</si>
  <si>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</si>
  <si>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</si>
  <si>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</si>
  <si>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</si>
  <si>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</si>
  <si>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</si>
  <si>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</si>
  <si>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</si>
  <si>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</si>
  <si>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</si>
  <si>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</si>
  <si>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</si>
  <si>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</si>
  <si>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</si>
  <si>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</si>
  <si>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</si>
  <si>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</si>
  <si>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</si>
  <si>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</si>
  <si>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</si>
  <si>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</si>
  <si>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</si>
  <si>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</si>
  <si>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</si>
  <si>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</si>
  <si>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</si>
  <si>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</si>
  <si>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</si>
  <si>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</si>
  <si>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</si>
  <si>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</si>
  <si>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</si>
  <si>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</si>
  <si>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</si>
  <si>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</si>
  <si>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</si>
  <si>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</si>
  <si>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</si>
  <si>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</si>
  <si>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</si>
  <si>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</si>
  <si>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</si>
  <si>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</si>
  <si>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</si>
  <si>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</si>
  <si>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</si>
  <si>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</si>
  <si>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</si>
  <si>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</si>
  <si>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</si>
  <si>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</si>
  <si>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</si>
  <si>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</si>
  <si>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</si>
  <si>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</si>
  <si>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</si>
  <si>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</si>
  <si>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</si>
  <si>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</si>
  <si>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</si>
  <si>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</si>
  <si>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</si>
  <si>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</si>
  <si>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</si>
  <si>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</si>
  <si>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</si>
  <si>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</si>
  <si>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</si>
  <si>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</si>
  <si>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</si>
  <si>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</si>
  <si>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</si>
  <si>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</si>
  <si>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</si>
  <si>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</si>
  <si>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</si>
  <si>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</si>
  <si>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</si>
  <si>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</si>
  <si>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</si>
  <si>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</si>
  <si>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</si>
  <si>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</si>
  <si>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</si>
  <si>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</si>
  <si>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</si>
  <si>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</si>
  <si>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</si>
  <si>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</si>
  <si>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</si>
  <si>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</si>
  <si>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</si>
  <si>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</si>
  <si>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</si>
  <si>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</si>
  <si>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</si>
  <si>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</si>
  <si>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</si>
  <si>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</si>
  <si>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</si>
  <si>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</si>
  <si>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</si>
  <si>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</si>
  <si>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</si>
  <si>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</si>
  <si>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</si>
  <si>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</si>
  <si>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</si>
  <si>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</si>
  <si>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</si>
  <si>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</si>
  <si>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</si>
  <si>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</si>
  <si>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</si>
  <si>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</si>
  <si>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</si>
  <si>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</si>
  <si>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</si>
  <si>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</si>
  <si>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</si>
  <si>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</si>
  <si>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</si>
  <si>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</si>
  <si>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</si>
  <si>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</si>
  <si>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</si>
  <si>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</si>
  <si>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</si>
  <si>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未包含在土地购买价格中</t>
  </si>
  <si>
    <t>已包含在土地取得成本中</t>
  </si>
  <si>
    <t>商业</t>
  </si>
  <si>
    <t>元</t>
  </si>
  <si>
    <t>楼面单价</t>
  </si>
  <si>
    <t>否</t>
  </si>
  <si>
    <t>无租约</t>
  </si>
  <si>
    <t>钢混</t>
  </si>
  <si>
    <t>非生产用房</t>
  </si>
  <si>
    <t>成本法</t>
  </si>
  <si>
    <t>收益法</t>
  </si>
  <si>
    <t>怡景园</t>
    <phoneticPr fontId="146" type="noConversion"/>
  </si>
  <si>
    <t>底商</t>
    <phoneticPr fontId="146" type="noConversion"/>
  </si>
  <si>
    <t>2层</t>
    <phoneticPr fontId="146" type="noConversion"/>
  </si>
  <si>
    <t>日坛国际贸易中心</t>
    <phoneticPr fontId="146" type="noConversion"/>
  </si>
  <si>
    <t>商业</t>
    <phoneticPr fontId="25" type="noConversion"/>
  </si>
  <si>
    <t>儿研所底商</t>
    <phoneticPr fontId="146" type="noConversion"/>
  </si>
  <si>
    <t>万通中心</t>
    <phoneticPr fontId="146" type="noConversion"/>
  </si>
  <si>
    <t>悠唐</t>
    <phoneticPr fontId="146" type="noConversion"/>
  </si>
  <si>
    <t>日坛公寓底商</t>
    <phoneticPr fontId="146" type="noConversion"/>
  </si>
  <si>
    <t>华普大厦底商</t>
    <phoneticPr fontId="146" type="noConversion"/>
  </si>
  <si>
    <t>底商</t>
    <phoneticPr fontId="25" type="noConversion"/>
  </si>
  <si>
    <t>七通</t>
  </si>
  <si>
    <t>次干道</t>
  </si>
  <si>
    <t>次干道</t>
    <phoneticPr fontId="25" type="noConversion"/>
  </si>
  <si>
    <t>主干道</t>
    <phoneticPr fontId="25" type="noConversion"/>
  </si>
  <si>
    <t>钢混</t>
    <phoneticPr fontId="25" type="noConversion"/>
  </si>
  <si>
    <t>六通</t>
  </si>
  <si>
    <t>五通</t>
  </si>
  <si>
    <t>四通</t>
  </si>
  <si>
    <t>精装修</t>
    <phoneticPr fontId="25" type="noConversion"/>
  </si>
  <si>
    <t>一般装修</t>
  </si>
  <si>
    <t>一般装修</t>
    <phoneticPr fontId="25" type="noConversion"/>
  </si>
  <si>
    <t>日坛国际</t>
    <phoneticPr fontId="146" type="noConversion"/>
  </si>
  <si>
    <r>
      <t>1</t>
    </r>
    <r>
      <rPr>
        <sz val="11"/>
        <color theme="1"/>
        <rFont val="宋体"/>
        <family val="3"/>
        <charset val="134"/>
        <scheme val="minor"/>
      </rPr>
      <t>-2</t>
    </r>
    <phoneticPr fontId="146" type="noConversion"/>
  </si>
  <si>
    <t>4</t>
    <phoneticPr fontId="146" type="noConversion"/>
  </si>
  <si>
    <t>1</t>
    <phoneticPr fontId="146" type="noConversion"/>
  </si>
  <si>
    <r>
      <t>-</t>
    </r>
    <r>
      <rPr>
        <sz val="11"/>
        <color theme="1"/>
        <rFont val="宋体"/>
        <family val="3"/>
        <charset val="134"/>
        <scheme val="minor"/>
      </rPr>
      <t>2</t>
    </r>
    <phoneticPr fontId="146" type="noConversion"/>
  </si>
  <si>
    <t>日坛国际</t>
    <phoneticPr fontId="25" type="noConversion"/>
  </si>
  <si>
    <t>市调</t>
    <phoneticPr fontId="146" type="noConversion"/>
  </si>
  <si>
    <t>2</t>
  </si>
  <si>
    <t>2</t>
    <phoneticPr fontId="146" type="noConversion"/>
  </si>
  <si>
    <t>写字楼配套</t>
    <phoneticPr fontId="25" type="noConversion"/>
  </si>
  <si>
    <t>1-2</t>
  </si>
  <si>
    <t>1-2</t>
    <phoneticPr fontId="25" type="noConversion"/>
  </si>
  <si>
    <t>2</t>
    <phoneticPr fontId="25" type="noConversion"/>
  </si>
  <si>
    <t>-2</t>
  </si>
  <si>
    <t>-2</t>
    <phoneticPr fontId="25" type="noConversion"/>
  </si>
  <si>
    <t>利息：取LPR加浮动点数</t>
  </si>
  <si>
    <r>
      <t>1层</t>
    </r>
    <r>
      <rPr>
        <sz val="11"/>
        <color theme="1"/>
        <rFont val="宋体"/>
        <family val="3"/>
        <charset val="134"/>
        <scheme val="minor"/>
      </rPr>
      <t>1127</t>
    </r>
    <phoneticPr fontId="146" type="noConversion"/>
  </si>
  <si>
    <t>2层2090</t>
    <phoneticPr fontId="146" type="noConversion"/>
  </si>
  <si>
    <t>2层2091</t>
    <phoneticPr fontId="146" type="noConversion"/>
  </si>
  <si>
    <t>2层2105</t>
    <phoneticPr fontId="146" type="noConversion"/>
  </si>
  <si>
    <t>2层2111</t>
    <phoneticPr fontId="146" type="noConversion"/>
  </si>
  <si>
    <t>流拍</t>
    <phoneticPr fontId="146" type="noConversion"/>
  </si>
  <si>
    <t>尚未开拍</t>
    <phoneticPr fontId="146" type="noConversion"/>
  </si>
  <si>
    <t>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t>
    <phoneticPr fontId="35" type="noConversion"/>
  </si>
  <si>
    <t>周边有日坛公园、北京工人体育场、北京工体富国海底世界等自然人文环境，综合评价环境状况较好</t>
    <phoneticPr fontId="35" type="noConversion"/>
  </si>
  <si>
    <t>估价对象所在区域基础设施水平-七通</t>
    <phoneticPr fontId="20" type="noConversion"/>
  </si>
  <si>
    <t>估价对象所属项目紧邻南营房胡同，为城市次干道</t>
    <phoneticPr fontId="20" type="noConversion"/>
  </si>
  <si>
    <t>估价对象距离地铁2号线朝阳门站约900米、距离地铁6号线东大桥站约900米，周边有75路、101路、109路、110路、139路、615路等公交通过并设站，综合评价交通便捷度较好。</t>
    <phoneticPr fontId="35" type="noConversion"/>
  </si>
  <si>
    <t>估价对象位于朝阳区朝外商圈，周边有悠唐购物中心、丰联广场、侨福芳草地等商业为主，商业繁华度较好。</t>
    <phoneticPr fontId="20" type="noConversion"/>
  </si>
  <si>
    <t>商业中心</t>
  </si>
  <si>
    <t>商业中心</t>
    <phoneticPr fontId="25" type="noConversion"/>
  </si>
  <si>
    <t>精装修</t>
  </si>
  <si>
    <t>精装修</t>
    <phoneticPr fontId="25" type="noConversion"/>
  </si>
  <si>
    <t>北京市</t>
  </si>
  <si>
    <t>自然人</t>
  </si>
  <si>
    <t>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</si>
</sst>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3" fillId="6" borderId="0" xfId="0" applyFont="1" applyFill="1">
      <alignment vertical="center"/>
    </xf>
    <xf numFmtId="0" fontId="0" fillId="6" borderId="0" xfId="0" applyFill="1">
      <alignment vertical="center"/>
    </xf>
    <xf numFmtId="0" fontId="135" fillId="0" borderId="32" xfId="0" applyNumberFormat="1" applyFont="1" applyFill="1" applyBorder="1" applyAlignment="1" applyProtection="1">
      <alignment horizontal="left" vertical="center" wrapText="1"/>
      <protection locked="0"/>
    </xf>
    <xf numFmtId="49" fontId="0" fillId="0" borderId="0" xfId="0" applyNumberFormat="1">
      <alignment vertical="center"/>
    </xf>
    <xf numFmtId="49" fontId="93" fillId="0" borderId="0" xfId="0" applyNumberFormat="1" applyFont="1">
      <alignment vertical="center"/>
    </xf>
    <xf numFmtId="49" fontId="93" fillId="6" borderId="0" xfId="0" applyNumberFormat="1" applyFont="1" applyFill="1">
      <alignment vertical="center"/>
    </xf>
    <xf numFmtId="49" fontId="93" fillId="0" borderId="0" xfId="0" applyNumberFormat="1" applyFont="1" applyFill="1">
      <alignment vertical="center"/>
    </xf>
    <xf numFmtId="0" fontId="0" fillId="0" borderId="0" xfId="0" applyFill="1">
      <alignment vertical="center"/>
    </xf>
    <xf numFmtId="49" fontId="39" fillId="0" borderId="32" xfId="0" applyNumberFormat="1" applyFont="1" applyFill="1" applyBorder="1" applyAlignment="1" applyProtection="1">
      <alignment horizontal="left" vertical="center" wrapText="1"/>
      <protection locked="0"/>
    </xf>
    <xf numFmtId="0" fontId="46" fillId="9" borderId="23" xfId="0" applyNumberFormat="1" applyFont="1" applyFill="1" applyBorder="1" applyAlignment="1" applyProtection="1">
      <alignment horizontal="left" vertical="center" wrapText="1"/>
      <protection locked="0"/>
    </xf>
    <xf numFmtId="0" fontId="46" fillId="9" borderId="19" xfId="0" applyNumberFormat="1" applyFont="1" applyFill="1" applyBorder="1" applyAlignment="1" applyProtection="1">
      <alignment horizontal="left" vertical="center" wrapText="1"/>
      <protection locked="0"/>
    </xf>
    <xf numFmtId="179" fontId="47" fillId="9" borderId="6" xfId="0" applyNumberFormat="1" applyFont="1" applyFill="1" applyBorder="1" applyAlignment="1" applyProtection="1">
      <alignment horizontal="center" vertical="center"/>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93" fillId="0" borderId="0" xfId="0" applyFont="1" applyAlignment="1">
      <alignment horizontal="center" vertical="center"/>
    </xf>
    <xf numFmtId="0" fontId="0" fillId="0" borderId="0" xfId="0" applyAlignment="1">
      <alignment horizontal="center"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77" fontId="39" fillId="0" borderId="0" xfId="0" applyNumberFormat="1" applyFont="1" applyFill="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2.png"/><Relationship Id="rId18" Type="http://schemas.openxmlformats.org/officeDocument/2006/relationships/image" Target="../media/image37.png"/><Relationship Id="rId3" Type="http://schemas.openxmlformats.org/officeDocument/2006/relationships/image" Target="../media/image22.png"/><Relationship Id="rId7" Type="http://schemas.openxmlformats.org/officeDocument/2006/relationships/image" Target="../media/image26.png"/><Relationship Id="rId12" Type="http://schemas.openxmlformats.org/officeDocument/2006/relationships/image" Target="../media/image31.png"/><Relationship Id="rId17" Type="http://schemas.openxmlformats.org/officeDocument/2006/relationships/image" Target="../media/image36.png"/><Relationship Id="rId2" Type="http://schemas.openxmlformats.org/officeDocument/2006/relationships/image" Target="../media/image21.png"/><Relationship Id="rId16" Type="http://schemas.openxmlformats.org/officeDocument/2006/relationships/image" Target="../media/image35.png"/><Relationship Id="rId1" Type="http://schemas.openxmlformats.org/officeDocument/2006/relationships/image" Target="../media/image20.png"/><Relationship Id="rId6" Type="http://schemas.openxmlformats.org/officeDocument/2006/relationships/image" Target="../media/image25.png"/><Relationship Id="rId11" Type="http://schemas.openxmlformats.org/officeDocument/2006/relationships/image" Target="../media/image30.png"/><Relationship Id="rId5" Type="http://schemas.openxmlformats.org/officeDocument/2006/relationships/image" Target="../media/image24.png"/><Relationship Id="rId15" Type="http://schemas.openxmlformats.org/officeDocument/2006/relationships/image" Target="../media/image34.png"/><Relationship Id="rId10" Type="http://schemas.openxmlformats.org/officeDocument/2006/relationships/image" Target="../media/image29.png"/><Relationship Id="rId19" Type="http://schemas.openxmlformats.org/officeDocument/2006/relationships/image" Target="../media/image38.png"/><Relationship Id="rId4" Type="http://schemas.openxmlformats.org/officeDocument/2006/relationships/image" Target="../media/image23.png"/><Relationship Id="rId9" Type="http://schemas.openxmlformats.org/officeDocument/2006/relationships/image" Target="../media/image28.png"/><Relationship Id="rId14" Type="http://schemas.openxmlformats.org/officeDocument/2006/relationships/image" Target="../media/image33.png"/></Relationships>
</file>

<file path=xl/drawings/_rels/drawing4.xml.rels><?xml version="1.0" encoding="UTF-8" standalone="yes"?>
<Relationships xmlns="http://schemas.openxmlformats.org/package/2006/relationships"><Relationship Id="rId8" Type="http://schemas.openxmlformats.org/officeDocument/2006/relationships/image" Target="../media/image46.png"/><Relationship Id="rId3" Type="http://schemas.openxmlformats.org/officeDocument/2006/relationships/image" Target="../media/image41.png"/><Relationship Id="rId7" Type="http://schemas.openxmlformats.org/officeDocument/2006/relationships/image" Target="../media/image45.png"/><Relationship Id="rId2" Type="http://schemas.openxmlformats.org/officeDocument/2006/relationships/image" Target="../media/image40.png"/><Relationship Id="rId1" Type="http://schemas.openxmlformats.org/officeDocument/2006/relationships/image" Target="../media/image39.png"/><Relationship Id="rId6" Type="http://schemas.openxmlformats.org/officeDocument/2006/relationships/image" Target="../media/image44.png"/><Relationship Id="rId5" Type="http://schemas.openxmlformats.org/officeDocument/2006/relationships/image" Target="../media/image43.png"/><Relationship Id="rId4" Type="http://schemas.openxmlformats.org/officeDocument/2006/relationships/image" Target="../media/image4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 Id="rId5" Type="http://schemas.openxmlformats.org/officeDocument/2006/relationships/image" Target="../media/image51.png"/><Relationship Id="rId4" Type="http://schemas.openxmlformats.org/officeDocument/2006/relationships/image" Target="../media/image5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590310</xdr:colOff>
      <xdr:row>6</xdr:row>
      <xdr:rowOff>152400</xdr:rowOff>
    </xdr:to>
    <xdr:pic>
      <xdr:nvPicPr>
        <xdr:cNvPr id="2" name="图片 1">
          <a:extLst>
            <a:ext uri="{FF2B5EF4-FFF2-40B4-BE49-F238E27FC236}">
              <a16:creationId xmlns:a16="http://schemas.microsoft.com/office/drawing/2014/main" id="{A5523457-3A15-404F-AA7A-9F94A9FBC158}"/>
            </a:ext>
          </a:extLst>
        </xdr:cNvPr>
        <xdr:cNvPicPr>
          <a:picLocks noChangeAspect="1"/>
        </xdr:cNvPicPr>
      </xdr:nvPicPr>
      <xdr:blipFill>
        <a:blip xmlns:r="http://schemas.openxmlformats.org/officeDocument/2006/relationships" r:embed="rId1"/>
        <a:stretch>
          <a:fillRect/>
        </a:stretch>
      </xdr:blipFill>
      <xdr:spPr>
        <a:xfrm>
          <a:off x="0" y="0"/>
          <a:ext cx="7448310" cy="1181100"/>
        </a:xfrm>
        <a:prstGeom prst="rect">
          <a:avLst/>
        </a:prstGeom>
      </xdr:spPr>
    </xdr:pic>
    <xdr:clientData/>
  </xdr:twoCellAnchor>
  <xdr:twoCellAnchor editAs="oneCell">
    <xdr:from>
      <xdr:col>0</xdr:col>
      <xdr:colOff>0</xdr:colOff>
      <xdr:row>6</xdr:row>
      <xdr:rowOff>142875</xdr:rowOff>
    </xdr:from>
    <xdr:to>
      <xdr:col>10</xdr:col>
      <xdr:colOff>671734</xdr:colOff>
      <xdr:row>34</xdr:row>
      <xdr:rowOff>75472</xdr:rowOff>
    </xdr:to>
    <xdr:pic>
      <xdr:nvPicPr>
        <xdr:cNvPr id="3" name="图片 2">
          <a:extLst>
            <a:ext uri="{FF2B5EF4-FFF2-40B4-BE49-F238E27FC236}">
              <a16:creationId xmlns:a16="http://schemas.microsoft.com/office/drawing/2014/main" id="{7F53BA3B-045A-4501-B36B-34D1C687B8FB}"/>
            </a:ext>
          </a:extLst>
        </xdr:cNvPr>
        <xdr:cNvPicPr>
          <a:picLocks noChangeAspect="1"/>
        </xdr:cNvPicPr>
      </xdr:nvPicPr>
      <xdr:blipFill>
        <a:blip xmlns:r="http://schemas.openxmlformats.org/officeDocument/2006/relationships" r:embed="rId2"/>
        <a:stretch>
          <a:fillRect/>
        </a:stretch>
      </xdr:blipFill>
      <xdr:spPr>
        <a:xfrm>
          <a:off x="0" y="1171575"/>
          <a:ext cx="7529734" cy="4733197"/>
        </a:xfrm>
        <a:prstGeom prst="rect">
          <a:avLst/>
        </a:prstGeom>
      </xdr:spPr>
    </xdr:pic>
    <xdr:clientData/>
  </xdr:twoCellAnchor>
  <xdr:twoCellAnchor editAs="oneCell">
    <xdr:from>
      <xdr:col>0</xdr:col>
      <xdr:colOff>0</xdr:colOff>
      <xdr:row>41</xdr:row>
      <xdr:rowOff>38100</xdr:rowOff>
    </xdr:from>
    <xdr:to>
      <xdr:col>11</xdr:col>
      <xdr:colOff>587557</xdr:colOff>
      <xdr:row>68</xdr:row>
      <xdr:rowOff>66000</xdr:rowOff>
    </xdr:to>
    <xdr:pic>
      <xdr:nvPicPr>
        <xdr:cNvPr id="5" name="图片 4">
          <a:extLst>
            <a:ext uri="{FF2B5EF4-FFF2-40B4-BE49-F238E27FC236}">
              <a16:creationId xmlns:a16="http://schemas.microsoft.com/office/drawing/2014/main" id="{6EF29EBF-069D-4271-97B0-941B98645910}"/>
            </a:ext>
          </a:extLst>
        </xdr:cNvPr>
        <xdr:cNvPicPr>
          <a:picLocks noChangeAspect="1"/>
        </xdr:cNvPicPr>
      </xdr:nvPicPr>
      <xdr:blipFill>
        <a:blip xmlns:r="http://schemas.openxmlformats.org/officeDocument/2006/relationships" r:embed="rId3"/>
        <a:stretch>
          <a:fillRect/>
        </a:stretch>
      </xdr:blipFill>
      <xdr:spPr>
        <a:xfrm>
          <a:off x="0" y="7067550"/>
          <a:ext cx="8131357" cy="4657050"/>
        </a:xfrm>
        <a:prstGeom prst="rect">
          <a:avLst/>
        </a:prstGeom>
      </xdr:spPr>
    </xdr:pic>
    <xdr:clientData/>
  </xdr:twoCellAnchor>
  <xdr:twoCellAnchor editAs="oneCell">
    <xdr:from>
      <xdr:col>0</xdr:col>
      <xdr:colOff>0</xdr:colOff>
      <xdr:row>80</xdr:row>
      <xdr:rowOff>85725</xdr:rowOff>
    </xdr:from>
    <xdr:to>
      <xdr:col>11</xdr:col>
      <xdr:colOff>570486</xdr:colOff>
      <xdr:row>115</xdr:row>
      <xdr:rowOff>170689</xdr:rowOff>
    </xdr:to>
    <xdr:pic>
      <xdr:nvPicPr>
        <xdr:cNvPr id="6" name="图片 5">
          <a:extLst>
            <a:ext uri="{FF2B5EF4-FFF2-40B4-BE49-F238E27FC236}">
              <a16:creationId xmlns:a16="http://schemas.microsoft.com/office/drawing/2014/main" id="{D0AE60DA-7C14-4D2A-A5F6-4D98094D97DD}"/>
            </a:ext>
          </a:extLst>
        </xdr:cNvPr>
        <xdr:cNvPicPr>
          <a:picLocks noChangeAspect="1"/>
        </xdr:cNvPicPr>
      </xdr:nvPicPr>
      <xdr:blipFill>
        <a:blip xmlns:r="http://schemas.openxmlformats.org/officeDocument/2006/relationships" r:embed="rId4"/>
        <a:stretch>
          <a:fillRect/>
        </a:stretch>
      </xdr:blipFill>
      <xdr:spPr>
        <a:xfrm>
          <a:off x="0" y="13801725"/>
          <a:ext cx="8114286" cy="6085714"/>
        </a:xfrm>
        <a:prstGeom prst="rect">
          <a:avLst/>
        </a:prstGeom>
      </xdr:spPr>
    </xdr:pic>
    <xdr:clientData/>
  </xdr:twoCellAnchor>
  <xdr:twoCellAnchor editAs="oneCell">
    <xdr:from>
      <xdr:col>12</xdr:col>
      <xdr:colOff>352425</xdr:colOff>
      <xdr:row>60</xdr:row>
      <xdr:rowOff>114300</xdr:rowOff>
    </xdr:from>
    <xdr:to>
      <xdr:col>26</xdr:col>
      <xdr:colOff>227415</xdr:colOff>
      <xdr:row>70</xdr:row>
      <xdr:rowOff>9324</xdr:rowOff>
    </xdr:to>
    <xdr:pic>
      <xdr:nvPicPr>
        <xdr:cNvPr id="7" name="图片 6">
          <a:extLst>
            <a:ext uri="{FF2B5EF4-FFF2-40B4-BE49-F238E27FC236}">
              <a16:creationId xmlns:a16="http://schemas.microsoft.com/office/drawing/2014/main" id="{B9F5B295-50DB-4D22-AECF-4E3C58B0AFCA}"/>
            </a:ext>
          </a:extLst>
        </xdr:cNvPr>
        <xdr:cNvPicPr>
          <a:picLocks noChangeAspect="1"/>
        </xdr:cNvPicPr>
      </xdr:nvPicPr>
      <xdr:blipFill>
        <a:blip xmlns:r="http://schemas.openxmlformats.org/officeDocument/2006/relationships" r:embed="rId5"/>
        <a:stretch>
          <a:fillRect/>
        </a:stretch>
      </xdr:blipFill>
      <xdr:spPr>
        <a:xfrm>
          <a:off x="9210675" y="10401300"/>
          <a:ext cx="9476190" cy="1609524"/>
        </a:xfrm>
        <a:prstGeom prst="rect">
          <a:avLst/>
        </a:prstGeom>
      </xdr:spPr>
    </xdr:pic>
    <xdr:clientData/>
  </xdr:twoCellAnchor>
  <xdr:twoCellAnchor editAs="oneCell">
    <xdr:from>
      <xdr:col>12</xdr:col>
      <xdr:colOff>390525</xdr:colOff>
      <xdr:row>69</xdr:row>
      <xdr:rowOff>47625</xdr:rowOff>
    </xdr:from>
    <xdr:to>
      <xdr:col>26</xdr:col>
      <xdr:colOff>17896</xdr:colOff>
      <xdr:row>102</xdr:row>
      <xdr:rowOff>56442</xdr:rowOff>
    </xdr:to>
    <xdr:pic>
      <xdr:nvPicPr>
        <xdr:cNvPr id="8" name="图片 7">
          <a:extLst>
            <a:ext uri="{FF2B5EF4-FFF2-40B4-BE49-F238E27FC236}">
              <a16:creationId xmlns:a16="http://schemas.microsoft.com/office/drawing/2014/main" id="{E4F2C3AE-87EE-4429-BC97-16C0EE2AA680}"/>
            </a:ext>
          </a:extLst>
        </xdr:cNvPr>
        <xdr:cNvPicPr>
          <a:picLocks noChangeAspect="1"/>
        </xdr:cNvPicPr>
      </xdr:nvPicPr>
      <xdr:blipFill>
        <a:blip xmlns:r="http://schemas.openxmlformats.org/officeDocument/2006/relationships" r:embed="rId6"/>
        <a:stretch>
          <a:fillRect/>
        </a:stretch>
      </xdr:blipFill>
      <xdr:spPr>
        <a:xfrm>
          <a:off x="9248775" y="11877675"/>
          <a:ext cx="9228571" cy="5666667"/>
        </a:xfrm>
        <a:prstGeom prst="rect">
          <a:avLst/>
        </a:prstGeom>
      </xdr:spPr>
    </xdr:pic>
    <xdr:clientData/>
  </xdr:twoCellAnchor>
  <xdr:twoCellAnchor editAs="oneCell">
    <xdr:from>
      <xdr:col>12</xdr:col>
      <xdr:colOff>333375</xdr:colOff>
      <xdr:row>101</xdr:row>
      <xdr:rowOff>114300</xdr:rowOff>
    </xdr:from>
    <xdr:to>
      <xdr:col>26</xdr:col>
      <xdr:colOff>627413</xdr:colOff>
      <xdr:row>111</xdr:row>
      <xdr:rowOff>114086</xdr:rowOff>
    </xdr:to>
    <xdr:pic>
      <xdr:nvPicPr>
        <xdr:cNvPr id="9" name="图片 8">
          <a:extLst>
            <a:ext uri="{FF2B5EF4-FFF2-40B4-BE49-F238E27FC236}">
              <a16:creationId xmlns:a16="http://schemas.microsoft.com/office/drawing/2014/main" id="{03334017-28DA-42A7-8340-BA1C1285BF7B}"/>
            </a:ext>
          </a:extLst>
        </xdr:cNvPr>
        <xdr:cNvPicPr>
          <a:picLocks noChangeAspect="1"/>
        </xdr:cNvPicPr>
      </xdr:nvPicPr>
      <xdr:blipFill>
        <a:blip xmlns:r="http://schemas.openxmlformats.org/officeDocument/2006/relationships" r:embed="rId7"/>
        <a:stretch>
          <a:fillRect/>
        </a:stretch>
      </xdr:blipFill>
      <xdr:spPr>
        <a:xfrm>
          <a:off x="9191625" y="17430750"/>
          <a:ext cx="9895238" cy="1714286"/>
        </a:xfrm>
        <a:prstGeom prst="rect">
          <a:avLst/>
        </a:prstGeom>
      </xdr:spPr>
    </xdr:pic>
    <xdr:clientData/>
  </xdr:twoCellAnchor>
  <xdr:twoCellAnchor editAs="oneCell">
    <xdr:from>
      <xdr:col>12</xdr:col>
      <xdr:colOff>409575</xdr:colOff>
      <xdr:row>110</xdr:row>
      <xdr:rowOff>76200</xdr:rowOff>
    </xdr:from>
    <xdr:to>
      <xdr:col>26</xdr:col>
      <xdr:colOff>141708</xdr:colOff>
      <xdr:row>141</xdr:row>
      <xdr:rowOff>104107</xdr:rowOff>
    </xdr:to>
    <xdr:pic>
      <xdr:nvPicPr>
        <xdr:cNvPr id="10" name="图片 9">
          <a:extLst>
            <a:ext uri="{FF2B5EF4-FFF2-40B4-BE49-F238E27FC236}">
              <a16:creationId xmlns:a16="http://schemas.microsoft.com/office/drawing/2014/main" id="{BE7B9FF1-36F4-4285-8B32-D7F45CF1B0F2}"/>
            </a:ext>
          </a:extLst>
        </xdr:cNvPr>
        <xdr:cNvPicPr>
          <a:picLocks noChangeAspect="1"/>
        </xdr:cNvPicPr>
      </xdr:nvPicPr>
      <xdr:blipFill>
        <a:blip xmlns:r="http://schemas.openxmlformats.org/officeDocument/2006/relationships" r:embed="rId8"/>
        <a:stretch>
          <a:fillRect/>
        </a:stretch>
      </xdr:blipFill>
      <xdr:spPr>
        <a:xfrm>
          <a:off x="9267825" y="18935700"/>
          <a:ext cx="9333333" cy="5342857"/>
        </a:xfrm>
        <a:prstGeom prst="rect">
          <a:avLst/>
        </a:prstGeom>
      </xdr:spPr>
    </xdr:pic>
    <xdr:clientData/>
  </xdr:twoCellAnchor>
  <xdr:twoCellAnchor editAs="oneCell">
    <xdr:from>
      <xdr:col>12</xdr:col>
      <xdr:colOff>342900</xdr:colOff>
      <xdr:row>141</xdr:row>
      <xdr:rowOff>47625</xdr:rowOff>
    </xdr:from>
    <xdr:to>
      <xdr:col>26</xdr:col>
      <xdr:colOff>217890</xdr:colOff>
      <xdr:row>149</xdr:row>
      <xdr:rowOff>123644</xdr:rowOff>
    </xdr:to>
    <xdr:pic>
      <xdr:nvPicPr>
        <xdr:cNvPr id="11" name="图片 10">
          <a:extLst>
            <a:ext uri="{FF2B5EF4-FFF2-40B4-BE49-F238E27FC236}">
              <a16:creationId xmlns:a16="http://schemas.microsoft.com/office/drawing/2014/main" id="{B8547077-EA10-425F-877E-69B5228A795F}"/>
            </a:ext>
          </a:extLst>
        </xdr:cNvPr>
        <xdr:cNvPicPr>
          <a:picLocks noChangeAspect="1"/>
        </xdr:cNvPicPr>
      </xdr:nvPicPr>
      <xdr:blipFill>
        <a:blip xmlns:r="http://schemas.openxmlformats.org/officeDocument/2006/relationships" r:embed="rId9"/>
        <a:stretch>
          <a:fillRect/>
        </a:stretch>
      </xdr:blipFill>
      <xdr:spPr>
        <a:xfrm>
          <a:off x="9201150" y="24222075"/>
          <a:ext cx="9476190" cy="1447619"/>
        </a:xfrm>
        <a:prstGeom prst="rect">
          <a:avLst/>
        </a:prstGeom>
      </xdr:spPr>
    </xdr:pic>
    <xdr:clientData/>
  </xdr:twoCellAnchor>
  <xdr:twoCellAnchor editAs="oneCell">
    <xdr:from>
      <xdr:col>12</xdr:col>
      <xdr:colOff>314325</xdr:colOff>
      <xdr:row>149</xdr:row>
      <xdr:rowOff>57150</xdr:rowOff>
    </xdr:from>
    <xdr:to>
      <xdr:col>24</xdr:col>
      <xdr:colOff>75201</xdr:colOff>
      <xdr:row>180</xdr:row>
      <xdr:rowOff>46962</xdr:rowOff>
    </xdr:to>
    <xdr:pic>
      <xdr:nvPicPr>
        <xdr:cNvPr id="12" name="图片 11">
          <a:extLst>
            <a:ext uri="{FF2B5EF4-FFF2-40B4-BE49-F238E27FC236}">
              <a16:creationId xmlns:a16="http://schemas.microsoft.com/office/drawing/2014/main" id="{FA1FC9E3-A0F5-4747-976D-08AE0F96A8BF}"/>
            </a:ext>
          </a:extLst>
        </xdr:cNvPr>
        <xdr:cNvPicPr>
          <a:picLocks noChangeAspect="1"/>
        </xdr:cNvPicPr>
      </xdr:nvPicPr>
      <xdr:blipFill>
        <a:blip xmlns:r="http://schemas.openxmlformats.org/officeDocument/2006/relationships" r:embed="rId10"/>
        <a:stretch>
          <a:fillRect/>
        </a:stretch>
      </xdr:blipFill>
      <xdr:spPr>
        <a:xfrm>
          <a:off x="9172575" y="25603200"/>
          <a:ext cx="7990476" cy="5304762"/>
        </a:xfrm>
        <a:prstGeom prst="rect">
          <a:avLst/>
        </a:prstGeom>
      </xdr:spPr>
    </xdr:pic>
    <xdr:clientData/>
  </xdr:twoCellAnchor>
  <xdr:twoCellAnchor editAs="oneCell">
    <xdr:from>
      <xdr:col>12</xdr:col>
      <xdr:colOff>390525</xdr:colOff>
      <xdr:row>187</xdr:row>
      <xdr:rowOff>104775</xdr:rowOff>
    </xdr:from>
    <xdr:to>
      <xdr:col>24</xdr:col>
      <xdr:colOff>341877</xdr:colOff>
      <xdr:row>204</xdr:row>
      <xdr:rowOff>66315</xdr:rowOff>
    </xdr:to>
    <xdr:pic>
      <xdr:nvPicPr>
        <xdr:cNvPr id="13" name="图片 12">
          <a:extLst>
            <a:ext uri="{FF2B5EF4-FFF2-40B4-BE49-F238E27FC236}">
              <a16:creationId xmlns:a16="http://schemas.microsoft.com/office/drawing/2014/main" id="{08169456-3A07-4C17-8925-4FBF61CD59EB}"/>
            </a:ext>
          </a:extLst>
        </xdr:cNvPr>
        <xdr:cNvPicPr>
          <a:picLocks noChangeAspect="1"/>
        </xdr:cNvPicPr>
      </xdr:nvPicPr>
      <xdr:blipFill>
        <a:blip xmlns:r="http://schemas.openxmlformats.org/officeDocument/2006/relationships" r:embed="rId11"/>
        <a:stretch>
          <a:fillRect/>
        </a:stretch>
      </xdr:blipFill>
      <xdr:spPr>
        <a:xfrm>
          <a:off x="9248775" y="32165925"/>
          <a:ext cx="8180952" cy="2876190"/>
        </a:xfrm>
        <a:prstGeom prst="rect">
          <a:avLst/>
        </a:prstGeom>
      </xdr:spPr>
    </xdr:pic>
    <xdr:clientData/>
  </xdr:twoCellAnchor>
  <xdr:twoCellAnchor editAs="oneCell">
    <xdr:from>
      <xdr:col>12</xdr:col>
      <xdr:colOff>361950</xdr:colOff>
      <xdr:row>178</xdr:row>
      <xdr:rowOff>161925</xdr:rowOff>
    </xdr:from>
    <xdr:to>
      <xdr:col>26</xdr:col>
      <xdr:colOff>313131</xdr:colOff>
      <xdr:row>188</xdr:row>
      <xdr:rowOff>9330</xdr:rowOff>
    </xdr:to>
    <xdr:pic>
      <xdr:nvPicPr>
        <xdr:cNvPr id="14" name="图片 13">
          <a:extLst>
            <a:ext uri="{FF2B5EF4-FFF2-40B4-BE49-F238E27FC236}">
              <a16:creationId xmlns:a16="http://schemas.microsoft.com/office/drawing/2014/main" id="{67FF91BC-DB07-420B-B343-E28EFCA577C9}"/>
            </a:ext>
          </a:extLst>
        </xdr:cNvPr>
        <xdr:cNvPicPr>
          <a:picLocks noChangeAspect="1"/>
        </xdr:cNvPicPr>
      </xdr:nvPicPr>
      <xdr:blipFill>
        <a:blip xmlns:r="http://schemas.openxmlformats.org/officeDocument/2006/relationships" r:embed="rId12"/>
        <a:stretch>
          <a:fillRect/>
        </a:stretch>
      </xdr:blipFill>
      <xdr:spPr>
        <a:xfrm>
          <a:off x="9220200" y="30680025"/>
          <a:ext cx="9552381" cy="1561905"/>
        </a:xfrm>
        <a:prstGeom prst="rect">
          <a:avLst/>
        </a:prstGeom>
      </xdr:spPr>
    </xdr:pic>
    <xdr:clientData/>
  </xdr:twoCellAnchor>
  <xdr:twoCellAnchor editAs="oneCell">
    <xdr:from>
      <xdr:col>0</xdr:col>
      <xdr:colOff>0</xdr:colOff>
      <xdr:row>176</xdr:row>
      <xdr:rowOff>0</xdr:rowOff>
    </xdr:from>
    <xdr:to>
      <xdr:col>12</xdr:col>
      <xdr:colOff>675083</xdr:colOff>
      <xdr:row>184</xdr:row>
      <xdr:rowOff>161733</xdr:rowOff>
    </xdr:to>
    <xdr:pic>
      <xdr:nvPicPr>
        <xdr:cNvPr id="15" name="图片 14">
          <a:extLst>
            <a:ext uri="{FF2B5EF4-FFF2-40B4-BE49-F238E27FC236}">
              <a16:creationId xmlns:a16="http://schemas.microsoft.com/office/drawing/2014/main" id="{182692BB-54E8-4285-9FE0-36B7E75BAA1A}"/>
            </a:ext>
          </a:extLst>
        </xdr:cNvPr>
        <xdr:cNvPicPr>
          <a:picLocks noChangeAspect="1"/>
        </xdr:cNvPicPr>
      </xdr:nvPicPr>
      <xdr:blipFill>
        <a:blip xmlns:r="http://schemas.openxmlformats.org/officeDocument/2006/relationships" r:embed="rId13"/>
        <a:stretch>
          <a:fillRect/>
        </a:stretch>
      </xdr:blipFill>
      <xdr:spPr>
        <a:xfrm>
          <a:off x="0" y="30175200"/>
          <a:ext cx="9533333" cy="1533333"/>
        </a:xfrm>
        <a:prstGeom prst="rect">
          <a:avLst/>
        </a:prstGeom>
      </xdr:spPr>
    </xdr:pic>
    <xdr:clientData/>
  </xdr:twoCellAnchor>
  <xdr:twoCellAnchor editAs="oneCell">
    <xdr:from>
      <xdr:col>0</xdr:col>
      <xdr:colOff>19050</xdr:colOff>
      <xdr:row>184</xdr:row>
      <xdr:rowOff>66675</xdr:rowOff>
    </xdr:from>
    <xdr:to>
      <xdr:col>12</xdr:col>
      <xdr:colOff>389371</xdr:colOff>
      <xdr:row>216</xdr:row>
      <xdr:rowOff>56465</xdr:rowOff>
    </xdr:to>
    <xdr:pic>
      <xdr:nvPicPr>
        <xdr:cNvPr id="16" name="图片 15">
          <a:extLst>
            <a:ext uri="{FF2B5EF4-FFF2-40B4-BE49-F238E27FC236}">
              <a16:creationId xmlns:a16="http://schemas.microsoft.com/office/drawing/2014/main" id="{73D6BABA-E0C3-49AB-BB69-761B6612007F}"/>
            </a:ext>
          </a:extLst>
        </xdr:cNvPr>
        <xdr:cNvPicPr>
          <a:picLocks noChangeAspect="1"/>
        </xdr:cNvPicPr>
      </xdr:nvPicPr>
      <xdr:blipFill>
        <a:blip xmlns:r="http://schemas.openxmlformats.org/officeDocument/2006/relationships" r:embed="rId14"/>
        <a:stretch>
          <a:fillRect/>
        </a:stretch>
      </xdr:blipFill>
      <xdr:spPr>
        <a:xfrm>
          <a:off x="19050" y="31613475"/>
          <a:ext cx="9228571" cy="5476190"/>
        </a:xfrm>
        <a:prstGeom prst="rect">
          <a:avLst/>
        </a:prstGeom>
      </xdr:spPr>
    </xdr:pic>
    <xdr:clientData/>
  </xdr:twoCellAnchor>
  <xdr:twoCellAnchor editAs="oneCell">
    <xdr:from>
      <xdr:col>0</xdr:col>
      <xdr:colOff>0</xdr:colOff>
      <xdr:row>216</xdr:row>
      <xdr:rowOff>0</xdr:rowOff>
    </xdr:from>
    <xdr:to>
      <xdr:col>13</xdr:col>
      <xdr:colOff>189283</xdr:colOff>
      <xdr:row>225</xdr:row>
      <xdr:rowOff>18855</xdr:rowOff>
    </xdr:to>
    <xdr:pic>
      <xdr:nvPicPr>
        <xdr:cNvPr id="17" name="图片 16">
          <a:extLst>
            <a:ext uri="{FF2B5EF4-FFF2-40B4-BE49-F238E27FC236}">
              <a16:creationId xmlns:a16="http://schemas.microsoft.com/office/drawing/2014/main" id="{BAF7A170-2881-403B-8BF2-E2CA855A1EE9}"/>
            </a:ext>
          </a:extLst>
        </xdr:cNvPr>
        <xdr:cNvPicPr>
          <a:picLocks noChangeAspect="1"/>
        </xdr:cNvPicPr>
      </xdr:nvPicPr>
      <xdr:blipFill>
        <a:blip xmlns:r="http://schemas.openxmlformats.org/officeDocument/2006/relationships" r:embed="rId15"/>
        <a:stretch>
          <a:fillRect/>
        </a:stretch>
      </xdr:blipFill>
      <xdr:spPr>
        <a:xfrm>
          <a:off x="0" y="37033200"/>
          <a:ext cx="9733333" cy="1561905"/>
        </a:xfrm>
        <a:prstGeom prst="rect">
          <a:avLst/>
        </a:prstGeom>
      </xdr:spPr>
    </xdr:pic>
    <xdr:clientData/>
  </xdr:twoCellAnchor>
  <xdr:twoCellAnchor editAs="oneCell">
    <xdr:from>
      <xdr:col>0</xdr:col>
      <xdr:colOff>0</xdr:colOff>
      <xdr:row>224</xdr:row>
      <xdr:rowOff>76200</xdr:rowOff>
    </xdr:from>
    <xdr:to>
      <xdr:col>11</xdr:col>
      <xdr:colOff>522867</xdr:colOff>
      <xdr:row>244</xdr:row>
      <xdr:rowOff>56724</xdr:rowOff>
    </xdr:to>
    <xdr:pic>
      <xdr:nvPicPr>
        <xdr:cNvPr id="18" name="图片 17">
          <a:extLst>
            <a:ext uri="{FF2B5EF4-FFF2-40B4-BE49-F238E27FC236}">
              <a16:creationId xmlns:a16="http://schemas.microsoft.com/office/drawing/2014/main" id="{FD411CDD-4709-47DC-8495-3AC33BB0E41E}"/>
            </a:ext>
          </a:extLst>
        </xdr:cNvPr>
        <xdr:cNvPicPr>
          <a:picLocks noChangeAspect="1"/>
        </xdr:cNvPicPr>
      </xdr:nvPicPr>
      <xdr:blipFill>
        <a:blip xmlns:r="http://schemas.openxmlformats.org/officeDocument/2006/relationships" r:embed="rId16"/>
        <a:stretch>
          <a:fillRect/>
        </a:stretch>
      </xdr:blipFill>
      <xdr:spPr>
        <a:xfrm>
          <a:off x="0" y="38481000"/>
          <a:ext cx="8066667" cy="34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114301</xdr:colOff>
      <xdr:row>18</xdr:row>
      <xdr:rowOff>105697</xdr:rowOff>
    </xdr:to>
    <xdr:pic>
      <xdr:nvPicPr>
        <xdr:cNvPr id="2" name="图片 1">
          <a:extLst>
            <a:ext uri="{FF2B5EF4-FFF2-40B4-BE49-F238E27FC236}">
              <a16:creationId xmlns:a16="http://schemas.microsoft.com/office/drawing/2014/main" id="{A4F3DC6B-30F1-44C0-8864-2AF144F4C48B}"/>
            </a:ext>
          </a:extLst>
        </xdr:cNvPr>
        <xdr:cNvPicPr>
          <a:picLocks noChangeAspect="1"/>
        </xdr:cNvPicPr>
      </xdr:nvPicPr>
      <xdr:blipFill>
        <a:blip xmlns:r="http://schemas.openxmlformats.org/officeDocument/2006/relationships" r:embed="rId1"/>
        <a:stretch>
          <a:fillRect/>
        </a:stretch>
      </xdr:blipFill>
      <xdr:spPr>
        <a:xfrm>
          <a:off x="1" y="0"/>
          <a:ext cx="5600700" cy="3191797"/>
        </a:xfrm>
        <a:prstGeom prst="rect">
          <a:avLst/>
        </a:prstGeom>
      </xdr:spPr>
    </xdr:pic>
    <xdr:clientData/>
  </xdr:twoCellAnchor>
  <xdr:twoCellAnchor editAs="oneCell">
    <xdr:from>
      <xdr:col>8</xdr:col>
      <xdr:colOff>95249</xdr:colOff>
      <xdr:row>0</xdr:row>
      <xdr:rowOff>0</xdr:rowOff>
    </xdr:from>
    <xdr:to>
      <xdr:col>16</xdr:col>
      <xdr:colOff>113312</xdr:colOff>
      <xdr:row>25</xdr:row>
      <xdr:rowOff>42954</xdr:rowOff>
    </xdr:to>
    <xdr:pic>
      <xdr:nvPicPr>
        <xdr:cNvPr id="3" name="图片 2">
          <a:extLst>
            <a:ext uri="{FF2B5EF4-FFF2-40B4-BE49-F238E27FC236}">
              <a16:creationId xmlns:a16="http://schemas.microsoft.com/office/drawing/2014/main" id="{9592AA8B-38BF-4B90-B97E-F4086CA74C3C}"/>
            </a:ext>
          </a:extLst>
        </xdr:cNvPr>
        <xdr:cNvPicPr>
          <a:picLocks noChangeAspect="1"/>
        </xdr:cNvPicPr>
      </xdr:nvPicPr>
      <xdr:blipFill>
        <a:blip xmlns:r="http://schemas.openxmlformats.org/officeDocument/2006/relationships" r:embed="rId2"/>
        <a:stretch>
          <a:fillRect/>
        </a:stretch>
      </xdr:blipFill>
      <xdr:spPr>
        <a:xfrm>
          <a:off x="5581649" y="0"/>
          <a:ext cx="5504463" cy="4329204"/>
        </a:xfrm>
        <a:prstGeom prst="rect">
          <a:avLst/>
        </a:prstGeom>
      </xdr:spPr>
    </xdr:pic>
    <xdr:clientData/>
  </xdr:twoCellAnchor>
  <xdr:twoCellAnchor editAs="oneCell">
    <xdr:from>
      <xdr:col>16</xdr:col>
      <xdr:colOff>152399</xdr:colOff>
      <xdr:row>0</xdr:row>
      <xdr:rowOff>48721</xdr:rowOff>
    </xdr:from>
    <xdr:to>
      <xdr:col>23</xdr:col>
      <xdr:colOff>589722</xdr:colOff>
      <xdr:row>29</xdr:row>
      <xdr:rowOff>65887</xdr:rowOff>
    </xdr:to>
    <xdr:pic>
      <xdr:nvPicPr>
        <xdr:cNvPr id="4" name="图片 3">
          <a:extLst>
            <a:ext uri="{FF2B5EF4-FFF2-40B4-BE49-F238E27FC236}">
              <a16:creationId xmlns:a16="http://schemas.microsoft.com/office/drawing/2014/main" id="{E08D042D-57F3-4B81-9A6F-A83DB594EEDB}"/>
            </a:ext>
          </a:extLst>
        </xdr:cNvPr>
        <xdr:cNvPicPr>
          <a:picLocks noChangeAspect="1"/>
        </xdr:cNvPicPr>
      </xdr:nvPicPr>
      <xdr:blipFill>
        <a:blip xmlns:r="http://schemas.openxmlformats.org/officeDocument/2006/relationships" r:embed="rId3"/>
        <a:stretch>
          <a:fillRect/>
        </a:stretch>
      </xdr:blipFill>
      <xdr:spPr>
        <a:xfrm>
          <a:off x="11125199" y="48721"/>
          <a:ext cx="5237923" cy="4989216"/>
        </a:xfrm>
        <a:prstGeom prst="rect">
          <a:avLst/>
        </a:prstGeom>
      </xdr:spPr>
    </xdr:pic>
    <xdr:clientData/>
  </xdr:twoCellAnchor>
  <xdr:twoCellAnchor editAs="oneCell">
    <xdr:from>
      <xdr:col>0</xdr:col>
      <xdr:colOff>0</xdr:colOff>
      <xdr:row>21</xdr:row>
      <xdr:rowOff>0</xdr:rowOff>
    </xdr:from>
    <xdr:to>
      <xdr:col>13</xdr:col>
      <xdr:colOff>541743</xdr:colOff>
      <xdr:row>39</xdr:row>
      <xdr:rowOff>75805</xdr:rowOff>
    </xdr:to>
    <xdr:pic>
      <xdr:nvPicPr>
        <xdr:cNvPr id="5" name="图片 4">
          <a:extLst>
            <a:ext uri="{FF2B5EF4-FFF2-40B4-BE49-F238E27FC236}">
              <a16:creationId xmlns:a16="http://schemas.microsoft.com/office/drawing/2014/main" id="{4F44B522-AF97-428E-BB9C-115F4FC846AA}"/>
            </a:ext>
          </a:extLst>
        </xdr:cNvPr>
        <xdr:cNvPicPr>
          <a:picLocks noChangeAspect="1"/>
        </xdr:cNvPicPr>
      </xdr:nvPicPr>
      <xdr:blipFill>
        <a:blip xmlns:r="http://schemas.openxmlformats.org/officeDocument/2006/relationships" r:embed="rId4"/>
        <a:stretch>
          <a:fillRect/>
        </a:stretch>
      </xdr:blipFill>
      <xdr:spPr>
        <a:xfrm>
          <a:off x="0" y="3600450"/>
          <a:ext cx="9457143" cy="3161905"/>
        </a:xfrm>
        <a:prstGeom prst="rect">
          <a:avLst/>
        </a:prstGeom>
      </xdr:spPr>
    </xdr:pic>
    <xdr:clientData/>
  </xdr:twoCellAnchor>
  <xdr:twoCellAnchor editAs="oneCell">
    <xdr:from>
      <xdr:col>0</xdr:col>
      <xdr:colOff>0</xdr:colOff>
      <xdr:row>38</xdr:row>
      <xdr:rowOff>104775</xdr:rowOff>
    </xdr:from>
    <xdr:to>
      <xdr:col>14</xdr:col>
      <xdr:colOff>84514</xdr:colOff>
      <xdr:row>66</xdr:row>
      <xdr:rowOff>27984</xdr:rowOff>
    </xdr:to>
    <xdr:pic>
      <xdr:nvPicPr>
        <xdr:cNvPr id="6" name="图片 5">
          <a:extLst>
            <a:ext uri="{FF2B5EF4-FFF2-40B4-BE49-F238E27FC236}">
              <a16:creationId xmlns:a16="http://schemas.microsoft.com/office/drawing/2014/main" id="{D6780B30-CE35-4701-A32A-60DAC6EF3B50}"/>
            </a:ext>
          </a:extLst>
        </xdr:cNvPr>
        <xdr:cNvPicPr>
          <a:picLocks noChangeAspect="1"/>
        </xdr:cNvPicPr>
      </xdr:nvPicPr>
      <xdr:blipFill>
        <a:blip xmlns:r="http://schemas.openxmlformats.org/officeDocument/2006/relationships" r:embed="rId5"/>
        <a:stretch>
          <a:fillRect/>
        </a:stretch>
      </xdr:blipFill>
      <xdr:spPr>
        <a:xfrm>
          <a:off x="0" y="6619875"/>
          <a:ext cx="9685714" cy="4723809"/>
        </a:xfrm>
        <a:prstGeom prst="rect">
          <a:avLst/>
        </a:prstGeom>
      </xdr:spPr>
    </xdr:pic>
    <xdr:clientData/>
  </xdr:twoCellAnchor>
  <xdr:twoCellAnchor editAs="oneCell">
    <xdr:from>
      <xdr:col>0</xdr:col>
      <xdr:colOff>0</xdr:colOff>
      <xdr:row>67</xdr:row>
      <xdr:rowOff>0</xdr:rowOff>
    </xdr:from>
    <xdr:to>
      <xdr:col>13</xdr:col>
      <xdr:colOff>608409</xdr:colOff>
      <xdr:row>75</xdr:row>
      <xdr:rowOff>85543</xdr:rowOff>
    </xdr:to>
    <xdr:pic>
      <xdr:nvPicPr>
        <xdr:cNvPr id="7" name="图片 6">
          <a:extLst>
            <a:ext uri="{FF2B5EF4-FFF2-40B4-BE49-F238E27FC236}">
              <a16:creationId xmlns:a16="http://schemas.microsoft.com/office/drawing/2014/main" id="{D38BA68C-E85F-431A-9B0C-EE3EB2F272AD}"/>
            </a:ext>
          </a:extLst>
        </xdr:cNvPr>
        <xdr:cNvPicPr>
          <a:picLocks noChangeAspect="1"/>
        </xdr:cNvPicPr>
      </xdr:nvPicPr>
      <xdr:blipFill>
        <a:blip xmlns:r="http://schemas.openxmlformats.org/officeDocument/2006/relationships" r:embed="rId6"/>
        <a:stretch>
          <a:fillRect/>
        </a:stretch>
      </xdr:blipFill>
      <xdr:spPr>
        <a:xfrm>
          <a:off x="0" y="0"/>
          <a:ext cx="9523809" cy="1457143"/>
        </a:xfrm>
        <a:prstGeom prst="rect">
          <a:avLst/>
        </a:prstGeom>
      </xdr:spPr>
    </xdr:pic>
    <xdr:clientData/>
  </xdr:twoCellAnchor>
  <xdr:twoCellAnchor editAs="oneCell">
    <xdr:from>
      <xdr:col>0</xdr:col>
      <xdr:colOff>0</xdr:colOff>
      <xdr:row>76</xdr:row>
      <xdr:rowOff>0</xdr:rowOff>
    </xdr:from>
    <xdr:to>
      <xdr:col>11</xdr:col>
      <xdr:colOff>189533</xdr:colOff>
      <xdr:row>102</xdr:row>
      <xdr:rowOff>28014</xdr:rowOff>
    </xdr:to>
    <xdr:pic>
      <xdr:nvPicPr>
        <xdr:cNvPr id="8" name="图片 7">
          <a:extLst>
            <a:ext uri="{FF2B5EF4-FFF2-40B4-BE49-F238E27FC236}">
              <a16:creationId xmlns:a16="http://schemas.microsoft.com/office/drawing/2014/main" id="{E9062562-9E2A-44F2-A01F-877B39234672}"/>
            </a:ext>
          </a:extLst>
        </xdr:cNvPr>
        <xdr:cNvPicPr>
          <a:picLocks noChangeAspect="1"/>
        </xdr:cNvPicPr>
      </xdr:nvPicPr>
      <xdr:blipFill>
        <a:blip xmlns:r="http://schemas.openxmlformats.org/officeDocument/2006/relationships" r:embed="rId7"/>
        <a:stretch>
          <a:fillRect/>
        </a:stretch>
      </xdr:blipFill>
      <xdr:spPr>
        <a:xfrm>
          <a:off x="0" y="1543050"/>
          <a:ext cx="7733333" cy="4485714"/>
        </a:xfrm>
        <a:prstGeom prst="rect">
          <a:avLst/>
        </a:prstGeom>
      </xdr:spPr>
    </xdr:pic>
    <xdr:clientData/>
  </xdr:twoCellAnchor>
  <xdr:twoCellAnchor editAs="oneCell">
    <xdr:from>
      <xdr:col>0</xdr:col>
      <xdr:colOff>0</xdr:colOff>
      <xdr:row>102</xdr:row>
      <xdr:rowOff>0</xdr:rowOff>
    </xdr:from>
    <xdr:to>
      <xdr:col>14</xdr:col>
      <xdr:colOff>27371</xdr:colOff>
      <xdr:row>111</xdr:row>
      <xdr:rowOff>123617</xdr:rowOff>
    </xdr:to>
    <xdr:pic>
      <xdr:nvPicPr>
        <xdr:cNvPr id="9" name="图片 8">
          <a:extLst>
            <a:ext uri="{FF2B5EF4-FFF2-40B4-BE49-F238E27FC236}">
              <a16:creationId xmlns:a16="http://schemas.microsoft.com/office/drawing/2014/main" id="{9DDC68C8-484A-4993-960E-2AC80E7B5947}"/>
            </a:ext>
          </a:extLst>
        </xdr:cNvPr>
        <xdr:cNvPicPr>
          <a:picLocks noChangeAspect="1"/>
        </xdr:cNvPicPr>
      </xdr:nvPicPr>
      <xdr:blipFill>
        <a:blip xmlns:r="http://schemas.openxmlformats.org/officeDocument/2006/relationships" r:embed="rId8"/>
        <a:stretch>
          <a:fillRect/>
        </a:stretch>
      </xdr:blipFill>
      <xdr:spPr>
        <a:xfrm>
          <a:off x="0" y="6000750"/>
          <a:ext cx="9628571" cy="1666667"/>
        </a:xfrm>
        <a:prstGeom prst="rect">
          <a:avLst/>
        </a:prstGeom>
      </xdr:spPr>
    </xdr:pic>
    <xdr:clientData/>
  </xdr:twoCellAnchor>
  <xdr:twoCellAnchor editAs="oneCell">
    <xdr:from>
      <xdr:col>0</xdr:col>
      <xdr:colOff>0</xdr:colOff>
      <xdr:row>112</xdr:row>
      <xdr:rowOff>0</xdr:rowOff>
    </xdr:from>
    <xdr:to>
      <xdr:col>13</xdr:col>
      <xdr:colOff>284600</xdr:colOff>
      <xdr:row>145</xdr:row>
      <xdr:rowOff>37388</xdr:rowOff>
    </xdr:to>
    <xdr:pic>
      <xdr:nvPicPr>
        <xdr:cNvPr id="10" name="图片 9">
          <a:extLst>
            <a:ext uri="{FF2B5EF4-FFF2-40B4-BE49-F238E27FC236}">
              <a16:creationId xmlns:a16="http://schemas.microsoft.com/office/drawing/2014/main" id="{D5D8F536-F751-4F18-AE4A-055E0D53F85F}"/>
            </a:ext>
          </a:extLst>
        </xdr:cNvPr>
        <xdr:cNvPicPr>
          <a:picLocks noChangeAspect="1"/>
        </xdr:cNvPicPr>
      </xdr:nvPicPr>
      <xdr:blipFill>
        <a:blip xmlns:r="http://schemas.openxmlformats.org/officeDocument/2006/relationships" r:embed="rId9"/>
        <a:stretch>
          <a:fillRect/>
        </a:stretch>
      </xdr:blipFill>
      <xdr:spPr>
        <a:xfrm>
          <a:off x="0" y="7715250"/>
          <a:ext cx="9200000" cy="5695238"/>
        </a:xfrm>
        <a:prstGeom prst="rect">
          <a:avLst/>
        </a:prstGeom>
      </xdr:spPr>
    </xdr:pic>
    <xdr:clientData/>
  </xdr:twoCellAnchor>
  <xdr:twoCellAnchor editAs="oneCell">
    <xdr:from>
      <xdr:col>0</xdr:col>
      <xdr:colOff>0</xdr:colOff>
      <xdr:row>146</xdr:row>
      <xdr:rowOff>3157</xdr:rowOff>
    </xdr:from>
    <xdr:to>
      <xdr:col>12</xdr:col>
      <xdr:colOff>85725</xdr:colOff>
      <xdr:row>154</xdr:row>
      <xdr:rowOff>18855</xdr:rowOff>
    </xdr:to>
    <xdr:pic>
      <xdr:nvPicPr>
        <xdr:cNvPr id="11" name="图片 10">
          <a:extLst>
            <a:ext uri="{FF2B5EF4-FFF2-40B4-BE49-F238E27FC236}">
              <a16:creationId xmlns:a16="http://schemas.microsoft.com/office/drawing/2014/main" id="{5AC3CFE4-4051-47D7-8584-DE41C6FEF98A}"/>
            </a:ext>
          </a:extLst>
        </xdr:cNvPr>
        <xdr:cNvPicPr>
          <a:picLocks noChangeAspect="1"/>
        </xdr:cNvPicPr>
      </xdr:nvPicPr>
      <xdr:blipFill>
        <a:blip xmlns:r="http://schemas.openxmlformats.org/officeDocument/2006/relationships" r:embed="rId10"/>
        <a:stretch>
          <a:fillRect/>
        </a:stretch>
      </xdr:blipFill>
      <xdr:spPr>
        <a:xfrm>
          <a:off x="0" y="13547707"/>
          <a:ext cx="8315325" cy="1387298"/>
        </a:xfrm>
        <a:prstGeom prst="rect">
          <a:avLst/>
        </a:prstGeom>
      </xdr:spPr>
    </xdr:pic>
    <xdr:clientData/>
  </xdr:twoCellAnchor>
  <xdr:twoCellAnchor editAs="oneCell">
    <xdr:from>
      <xdr:col>0</xdr:col>
      <xdr:colOff>0</xdr:colOff>
      <xdr:row>153</xdr:row>
      <xdr:rowOff>142875</xdr:rowOff>
    </xdr:from>
    <xdr:to>
      <xdr:col>12</xdr:col>
      <xdr:colOff>140929</xdr:colOff>
      <xdr:row>181</xdr:row>
      <xdr:rowOff>18404</xdr:rowOff>
    </xdr:to>
    <xdr:pic>
      <xdr:nvPicPr>
        <xdr:cNvPr id="12" name="图片 11">
          <a:extLst>
            <a:ext uri="{FF2B5EF4-FFF2-40B4-BE49-F238E27FC236}">
              <a16:creationId xmlns:a16="http://schemas.microsoft.com/office/drawing/2014/main" id="{915F50AE-CE72-47F0-AE51-CAD7BA37ACEB}"/>
            </a:ext>
          </a:extLst>
        </xdr:cNvPr>
        <xdr:cNvPicPr>
          <a:picLocks noChangeAspect="1"/>
        </xdr:cNvPicPr>
      </xdr:nvPicPr>
      <xdr:blipFill>
        <a:blip xmlns:r="http://schemas.openxmlformats.org/officeDocument/2006/relationships" r:embed="rId11"/>
        <a:stretch>
          <a:fillRect/>
        </a:stretch>
      </xdr:blipFill>
      <xdr:spPr>
        <a:xfrm>
          <a:off x="0" y="14887575"/>
          <a:ext cx="8370529" cy="4676129"/>
        </a:xfrm>
        <a:prstGeom prst="rect">
          <a:avLst/>
        </a:prstGeom>
      </xdr:spPr>
    </xdr:pic>
    <xdr:clientData/>
  </xdr:twoCellAnchor>
  <xdr:twoCellAnchor editAs="oneCell">
    <xdr:from>
      <xdr:col>0</xdr:col>
      <xdr:colOff>0</xdr:colOff>
      <xdr:row>182</xdr:row>
      <xdr:rowOff>0</xdr:rowOff>
    </xdr:from>
    <xdr:to>
      <xdr:col>13</xdr:col>
      <xdr:colOff>532219</xdr:colOff>
      <xdr:row>190</xdr:row>
      <xdr:rowOff>76019</xdr:rowOff>
    </xdr:to>
    <xdr:pic>
      <xdr:nvPicPr>
        <xdr:cNvPr id="13" name="图片 12">
          <a:extLst>
            <a:ext uri="{FF2B5EF4-FFF2-40B4-BE49-F238E27FC236}">
              <a16:creationId xmlns:a16="http://schemas.microsoft.com/office/drawing/2014/main" id="{CDE8F93D-93EA-40A0-AA6F-87BA59841A17}"/>
            </a:ext>
          </a:extLst>
        </xdr:cNvPr>
        <xdr:cNvPicPr>
          <a:picLocks noChangeAspect="1"/>
        </xdr:cNvPicPr>
      </xdr:nvPicPr>
      <xdr:blipFill>
        <a:blip xmlns:r="http://schemas.openxmlformats.org/officeDocument/2006/relationships" r:embed="rId12"/>
        <a:stretch>
          <a:fillRect/>
        </a:stretch>
      </xdr:blipFill>
      <xdr:spPr>
        <a:xfrm>
          <a:off x="0" y="19716750"/>
          <a:ext cx="9447619" cy="1447619"/>
        </a:xfrm>
        <a:prstGeom prst="rect">
          <a:avLst/>
        </a:prstGeom>
      </xdr:spPr>
    </xdr:pic>
    <xdr:clientData/>
  </xdr:twoCellAnchor>
  <xdr:twoCellAnchor editAs="oneCell">
    <xdr:from>
      <xdr:col>0</xdr:col>
      <xdr:colOff>0</xdr:colOff>
      <xdr:row>190</xdr:row>
      <xdr:rowOff>57150</xdr:rowOff>
    </xdr:from>
    <xdr:to>
      <xdr:col>13</xdr:col>
      <xdr:colOff>446505</xdr:colOff>
      <xdr:row>213</xdr:row>
      <xdr:rowOff>66181</xdr:rowOff>
    </xdr:to>
    <xdr:pic>
      <xdr:nvPicPr>
        <xdr:cNvPr id="14" name="图片 13">
          <a:extLst>
            <a:ext uri="{FF2B5EF4-FFF2-40B4-BE49-F238E27FC236}">
              <a16:creationId xmlns:a16="http://schemas.microsoft.com/office/drawing/2014/main" id="{6D21BB03-C553-4461-93C4-6E45E71A9308}"/>
            </a:ext>
          </a:extLst>
        </xdr:cNvPr>
        <xdr:cNvPicPr>
          <a:picLocks noChangeAspect="1"/>
        </xdr:cNvPicPr>
      </xdr:nvPicPr>
      <xdr:blipFill>
        <a:blip xmlns:r="http://schemas.openxmlformats.org/officeDocument/2006/relationships" r:embed="rId13"/>
        <a:stretch>
          <a:fillRect/>
        </a:stretch>
      </xdr:blipFill>
      <xdr:spPr>
        <a:xfrm>
          <a:off x="0" y="21145500"/>
          <a:ext cx="9361905" cy="3952381"/>
        </a:xfrm>
        <a:prstGeom prst="rect">
          <a:avLst/>
        </a:prstGeom>
      </xdr:spPr>
    </xdr:pic>
    <xdr:clientData/>
  </xdr:twoCellAnchor>
  <xdr:twoCellAnchor editAs="oneCell">
    <xdr:from>
      <xdr:col>0</xdr:col>
      <xdr:colOff>0</xdr:colOff>
      <xdr:row>214</xdr:row>
      <xdr:rowOff>0</xdr:rowOff>
    </xdr:from>
    <xdr:to>
      <xdr:col>13</xdr:col>
      <xdr:colOff>617933</xdr:colOff>
      <xdr:row>222</xdr:row>
      <xdr:rowOff>66495</xdr:rowOff>
    </xdr:to>
    <xdr:pic>
      <xdr:nvPicPr>
        <xdr:cNvPr id="15" name="图片 14">
          <a:extLst>
            <a:ext uri="{FF2B5EF4-FFF2-40B4-BE49-F238E27FC236}">
              <a16:creationId xmlns:a16="http://schemas.microsoft.com/office/drawing/2014/main" id="{EF44A89D-29CB-4E10-B8E4-FAE7C1B72817}"/>
            </a:ext>
          </a:extLst>
        </xdr:cNvPr>
        <xdr:cNvPicPr>
          <a:picLocks noChangeAspect="1"/>
        </xdr:cNvPicPr>
      </xdr:nvPicPr>
      <xdr:blipFill>
        <a:blip xmlns:r="http://schemas.openxmlformats.org/officeDocument/2006/relationships" r:embed="rId14"/>
        <a:stretch>
          <a:fillRect/>
        </a:stretch>
      </xdr:blipFill>
      <xdr:spPr>
        <a:xfrm>
          <a:off x="0" y="0"/>
          <a:ext cx="9533333" cy="1438095"/>
        </a:xfrm>
        <a:prstGeom prst="rect">
          <a:avLst/>
        </a:prstGeom>
      </xdr:spPr>
    </xdr:pic>
    <xdr:clientData/>
  </xdr:twoCellAnchor>
  <xdr:twoCellAnchor editAs="oneCell">
    <xdr:from>
      <xdr:col>0</xdr:col>
      <xdr:colOff>9525</xdr:colOff>
      <xdr:row>221</xdr:row>
      <xdr:rowOff>152400</xdr:rowOff>
    </xdr:from>
    <xdr:to>
      <xdr:col>11</xdr:col>
      <xdr:colOff>389534</xdr:colOff>
      <xdr:row>254</xdr:row>
      <xdr:rowOff>170740</xdr:rowOff>
    </xdr:to>
    <xdr:pic>
      <xdr:nvPicPr>
        <xdr:cNvPr id="16" name="图片 15">
          <a:extLst>
            <a:ext uri="{FF2B5EF4-FFF2-40B4-BE49-F238E27FC236}">
              <a16:creationId xmlns:a16="http://schemas.microsoft.com/office/drawing/2014/main" id="{518F8413-AD1C-4924-96ED-844871447FEE}"/>
            </a:ext>
          </a:extLst>
        </xdr:cNvPr>
        <xdr:cNvPicPr>
          <a:picLocks noChangeAspect="1"/>
        </xdr:cNvPicPr>
      </xdr:nvPicPr>
      <xdr:blipFill>
        <a:blip xmlns:r="http://schemas.openxmlformats.org/officeDocument/2006/relationships" r:embed="rId15"/>
        <a:stretch>
          <a:fillRect/>
        </a:stretch>
      </xdr:blipFill>
      <xdr:spPr>
        <a:xfrm>
          <a:off x="9525" y="1352550"/>
          <a:ext cx="7923809" cy="5676190"/>
        </a:xfrm>
        <a:prstGeom prst="rect">
          <a:avLst/>
        </a:prstGeom>
      </xdr:spPr>
    </xdr:pic>
    <xdr:clientData/>
  </xdr:twoCellAnchor>
  <xdr:twoCellAnchor editAs="oneCell">
    <xdr:from>
      <xdr:col>0</xdr:col>
      <xdr:colOff>0</xdr:colOff>
      <xdr:row>255</xdr:row>
      <xdr:rowOff>0</xdr:rowOff>
    </xdr:from>
    <xdr:to>
      <xdr:col>13</xdr:col>
      <xdr:colOff>608409</xdr:colOff>
      <xdr:row>264</xdr:row>
      <xdr:rowOff>66474</xdr:rowOff>
    </xdr:to>
    <xdr:pic>
      <xdr:nvPicPr>
        <xdr:cNvPr id="17" name="图片 16">
          <a:extLst>
            <a:ext uri="{FF2B5EF4-FFF2-40B4-BE49-F238E27FC236}">
              <a16:creationId xmlns:a16="http://schemas.microsoft.com/office/drawing/2014/main" id="{46ABD68E-702D-4126-8CE5-3646D68C9FF3}"/>
            </a:ext>
          </a:extLst>
        </xdr:cNvPr>
        <xdr:cNvPicPr>
          <a:picLocks noChangeAspect="1"/>
        </xdr:cNvPicPr>
      </xdr:nvPicPr>
      <xdr:blipFill>
        <a:blip xmlns:r="http://schemas.openxmlformats.org/officeDocument/2006/relationships" r:embed="rId16"/>
        <a:stretch>
          <a:fillRect/>
        </a:stretch>
      </xdr:blipFill>
      <xdr:spPr>
        <a:xfrm>
          <a:off x="0" y="7029450"/>
          <a:ext cx="9523809" cy="1609524"/>
        </a:xfrm>
        <a:prstGeom prst="rect">
          <a:avLst/>
        </a:prstGeom>
      </xdr:spPr>
    </xdr:pic>
    <xdr:clientData/>
  </xdr:twoCellAnchor>
  <xdr:twoCellAnchor editAs="oneCell">
    <xdr:from>
      <xdr:col>0</xdr:col>
      <xdr:colOff>0</xdr:colOff>
      <xdr:row>263</xdr:row>
      <xdr:rowOff>57150</xdr:rowOff>
    </xdr:from>
    <xdr:to>
      <xdr:col>13</xdr:col>
      <xdr:colOff>303648</xdr:colOff>
      <xdr:row>295</xdr:row>
      <xdr:rowOff>170750</xdr:rowOff>
    </xdr:to>
    <xdr:pic>
      <xdr:nvPicPr>
        <xdr:cNvPr id="18" name="图片 17">
          <a:extLst>
            <a:ext uri="{FF2B5EF4-FFF2-40B4-BE49-F238E27FC236}">
              <a16:creationId xmlns:a16="http://schemas.microsoft.com/office/drawing/2014/main" id="{0E4541C1-86F8-4F3C-8F41-15C7174CAB16}"/>
            </a:ext>
          </a:extLst>
        </xdr:cNvPr>
        <xdr:cNvPicPr>
          <a:picLocks noChangeAspect="1"/>
        </xdr:cNvPicPr>
      </xdr:nvPicPr>
      <xdr:blipFill>
        <a:blip xmlns:r="http://schemas.openxmlformats.org/officeDocument/2006/relationships" r:embed="rId17"/>
        <a:stretch>
          <a:fillRect/>
        </a:stretch>
      </xdr:blipFill>
      <xdr:spPr>
        <a:xfrm>
          <a:off x="0" y="8458200"/>
          <a:ext cx="9219048" cy="5600000"/>
        </a:xfrm>
        <a:prstGeom prst="rect">
          <a:avLst/>
        </a:prstGeom>
      </xdr:spPr>
    </xdr:pic>
    <xdr:clientData/>
  </xdr:twoCellAnchor>
  <xdr:twoCellAnchor editAs="oneCell">
    <xdr:from>
      <xdr:col>0</xdr:col>
      <xdr:colOff>0</xdr:colOff>
      <xdr:row>304</xdr:row>
      <xdr:rowOff>76200</xdr:rowOff>
    </xdr:from>
    <xdr:to>
      <xdr:col>13</xdr:col>
      <xdr:colOff>446505</xdr:colOff>
      <xdr:row>331</xdr:row>
      <xdr:rowOff>142288</xdr:rowOff>
    </xdr:to>
    <xdr:pic>
      <xdr:nvPicPr>
        <xdr:cNvPr id="19" name="图片 18">
          <a:extLst>
            <a:ext uri="{FF2B5EF4-FFF2-40B4-BE49-F238E27FC236}">
              <a16:creationId xmlns:a16="http://schemas.microsoft.com/office/drawing/2014/main" id="{5E7645FE-5D27-4172-AC0E-23EC7DA27225}"/>
            </a:ext>
          </a:extLst>
        </xdr:cNvPr>
        <xdr:cNvPicPr>
          <a:picLocks noChangeAspect="1"/>
        </xdr:cNvPicPr>
      </xdr:nvPicPr>
      <xdr:blipFill>
        <a:blip xmlns:r="http://schemas.openxmlformats.org/officeDocument/2006/relationships" r:embed="rId18"/>
        <a:stretch>
          <a:fillRect/>
        </a:stretch>
      </xdr:blipFill>
      <xdr:spPr>
        <a:xfrm>
          <a:off x="0" y="15506700"/>
          <a:ext cx="9361905" cy="4695238"/>
        </a:xfrm>
        <a:prstGeom prst="rect">
          <a:avLst/>
        </a:prstGeom>
      </xdr:spPr>
    </xdr:pic>
    <xdr:clientData/>
  </xdr:twoCellAnchor>
  <xdr:twoCellAnchor editAs="oneCell">
    <xdr:from>
      <xdr:col>0</xdr:col>
      <xdr:colOff>0</xdr:colOff>
      <xdr:row>294</xdr:row>
      <xdr:rowOff>142875</xdr:rowOff>
    </xdr:from>
    <xdr:to>
      <xdr:col>13</xdr:col>
      <xdr:colOff>484600</xdr:colOff>
      <xdr:row>303</xdr:row>
      <xdr:rowOff>104587</xdr:rowOff>
    </xdr:to>
    <xdr:pic>
      <xdr:nvPicPr>
        <xdr:cNvPr id="20" name="图片 19">
          <a:extLst>
            <a:ext uri="{FF2B5EF4-FFF2-40B4-BE49-F238E27FC236}">
              <a16:creationId xmlns:a16="http://schemas.microsoft.com/office/drawing/2014/main" id="{1D70C5C2-6F25-4D04-994E-92EC396090BA}"/>
            </a:ext>
          </a:extLst>
        </xdr:cNvPr>
        <xdr:cNvPicPr>
          <a:picLocks noChangeAspect="1"/>
        </xdr:cNvPicPr>
      </xdr:nvPicPr>
      <xdr:blipFill>
        <a:blip xmlns:r="http://schemas.openxmlformats.org/officeDocument/2006/relationships" r:embed="rId19"/>
        <a:stretch>
          <a:fillRect/>
        </a:stretch>
      </xdr:blipFill>
      <xdr:spPr>
        <a:xfrm>
          <a:off x="0" y="13858875"/>
          <a:ext cx="9400000" cy="15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7</xdr:row>
      <xdr:rowOff>9524</xdr:rowOff>
    </xdr:from>
    <xdr:to>
      <xdr:col>10</xdr:col>
      <xdr:colOff>458603</xdr:colOff>
      <xdr:row>28</xdr:row>
      <xdr:rowOff>170843</xdr:rowOff>
    </xdr:to>
    <xdr:pic>
      <xdr:nvPicPr>
        <xdr:cNvPr id="2" name="图片 1">
          <a:extLst>
            <a:ext uri="{FF2B5EF4-FFF2-40B4-BE49-F238E27FC236}">
              <a16:creationId xmlns:a16="http://schemas.microsoft.com/office/drawing/2014/main" id="{49F55BBF-3DB0-4734-9548-B400F9B7D045}"/>
            </a:ext>
          </a:extLst>
        </xdr:cNvPr>
        <xdr:cNvPicPr>
          <a:picLocks noChangeAspect="1"/>
        </xdr:cNvPicPr>
      </xdr:nvPicPr>
      <xdr:blipFill>
        <a:blip xmlns:r="http://schemas.openxmlformats.org/officeDocument/2006/relationships" r:embed="rId1"/>
        <a:stretch>
          <a:fillRect/>
        </a:stretch>
      </xdr:blipFill>
      <xdr:spPr>
        <a:xfrm>
          <a:off x="0" y="1209674"/>
          <a:ext cx="7316603" cy="3761769"/>
        </a:xfrm>
        <a:prstGeom prst="rect">
          <a:avLst/>
        </a:prstGeom>
      </xdr:spPr>
    </xdr:pic>
    <xdr:clientData/>
  </xdr:twoCellAnchor>
  <xdr:twoCellAnchor editAs="oneCell">
    <xdr:from>
      <xdr:col>0</xdr:col>
      <xdr:colOff>0</xdr:colOff>
      <xdr:row>0</xdr:row>
      <xdr:rowOff>0</xdr:rowOff>
    </xdr:from>
    <xdr:to>
      <xdr:col>11</xdr:col>
      <xdr:colOff>200025</xdr:colOff>
      <xdr:row>7</xdr:row>
      <xdr:rowOff>73957</xdr:rowOff>
    </xdr:to>
    <xdr:pic>
      <xdr:nvPicPr>
        <xdr:cNvPr id="3" name="图片 2">
          <a:extLst>
            <a:ext uri="{FF2B5EF4-FFF2-40B4-BE49-F238E27FC236}">
              <a16:creationId xmlns:a16="http://schemas.microsoft.com/office/drawing/2014/main" id="{93221DE8-A1E4-40E8-B608-F8CF60AAF8BE}"/>
            </a:ext>
          </a:extLst>
        </xdr:cNvPr>
        <xdr:cNvPicPr>
          <a:picLocks noChangeAspect="1"/>
        </xdr:cNvPicPr>
      </xdr:nvPicPr>
      <xdr:blipFill>
        <a:blip xmlns:r="http://schemas.openxmlformats.org/officeDocument/2006/relationships" r:embed="rId2"/>
        <a:stretch>
          <a:fillRect/>
        </a:stretch>
      </xdr:blipFill>
      <xdr:spPr>
        <a:xfrm>
          <a:off x="0" y="0"/>
          <a:ext cx="7743825" cy="1274107"/>
        </a:xfrm>
        <a:prstGeom prst="rect">
          <a:avLst/>
        </a:prstGeom>
      </xdr:spPr>
    </xdr:pic>
    <xdr:clientData/>
  </xdr:twoCellAnchor>
  <xdr:twoCellAnchor editAs="oneCell">
    <xdr:from>
      <xdr:col>0</xdr:col>
      <xdr:colOff>0</xdr:colOff>
      <xdr:row>29</xdr:row>
      <xdr:rowOff>47625</xdr:rowOff>
    </xdr:from>
    <xdr:to>
      <xdr:col>10</xdr:col>
      <xdr:colOff>437002</xdr:colOff>
      <xdr:row>35</xdr:row>
      <xdr:rowOff>56977</xdr:rowOff>
    </xdr:to>
    <xdr:pic>
      <xdr:nvPicPr>
        <xdr:cNvPr id="4" name="图片 3">
          <a:extLst>
            <a:ext uri="{FF2B5EF4-FFF2-40B4-BE49-F238E27FC236}">
              <a16:creationId xmlns:a16="http://schemas.microsoft.com/office/drawing/2014/main" id="{EFDA625B-C45B-4079-87A5-3B0E949D837B}"/>
            </a:ext>
          </a:extLst>
        </xdr:cNvPr>
        <xdr:cNvPicPr>
          <a:picLocks noChangeAspect="1"/>
        </xdr:cNvPicPr>
      </xdr:nvPicPr>
      <xdr:blipFill>
        <a:blip xmlns:r="http://schemas.openxmlformats.org/officeDocument/2006/relationships" r:embed="rId3"/>
        <a:stretch>
          <a:fillRect/>
        </a:stretch>
      </xdr:blipFill>
      <xdr:spPr>
        <a:xfrm>
          <a:off x="0" y="5019675"/>
          <a:ext cx="7295002" cy="1038052"/>
        </a:xfrm>
        <a:prstGeom prst="rect">
          <a:avLst/>
        </a:prstGeom>
      </xdr:spPr>
    </xdr:pic>
    <xdr:clientData/>
  </xdr:twoCellAnchor>
  <xdr:twoCellAnchor editAs="oneCell">
    <xdr:from>
      <xdr:col>0</xdr:col>
      <xdr:colOff>0</xdr:colOff>
      <xdr:row>35</xdr:row>
      <xdr:rowOff>28575</xdr:rowOff>
    </xdr:from>
    <xdr:to>
      <xdr:col>10</xdr:col>
      <xdr:colOff>167731</xdr:colOff>
      <xdr:row>54</xdr:row>
      <xdr:rowOff>142195</xdr:rowOff>
    </xdr:to>
    <xdr:pic>
      <xdr:nvPicPr>
        <xdr:cNvPr id="5" name="图片 4">
          <a:extLst>
            <a:ext uri="{FF2B5EF4-FFF2-40B4-BE49-F238E27FC236}">
              <a16:creationId xmlns:a16="http://schemas.microsoft.com/office/drawing/2014/main" id="{02537C0D-2B2B-4579-82F1-A7C90090403E}"/>
            </a:ext>
          </a:extLst>
        </xdr:cNvPr>
        <xdr:cNvPicPr>
          <a:picLocks noChangeAspect="1"/>
        </xdr:cNvPicPr>
      </xdr:nvPicPr>
      <xdr:blipFill>
        <a:blip xmlns:r="http://schemas.openxmlformats.org/officeDocument/2006/relationships" r:embed="rId4"/>
        <a:stretch>
          <a:fillRect/>
        </a:stretch>
      </xdr:blipFill>
      <xdr:spPr>
        <a:xfrm>
          <a:off x="0" y="6029325"/>
          <a:ext cx="7025731" cy="3371170"/>
        </a:xfrm>
        <a:prstGeom prst="rect">
          <a:avLst/>
        </a:prstGeom>
      </xdr:spPr>
    </xdr:pic>
    <xdr:clientData/>
  </xdr:twoCellAnchor>
  <xdr:twoCellAnchor editAs="oneCell">
    <xdr:from>
      <xdr:col>0</xdr:col>
      <xdr:colOff>0</xdr:colOff>
      <xdr:row>55</xdr:row>
      <xdr:rowOff>28574</xdr:rowOff>
    </xdr:from>
    <xdr:to>
      <xdr:col>11</xdr:col>
      <xdr:colOff>457038</xdr:colOff>
      <xdr:row>63</xdr:row>
      <xdr:rowOff>47411</xdr:rowOff>
    </xdr:to>
    <xdr:pic>
      <xdr:nvPicPr>
        <xdr:cNvPr id="6" name="图片 5">
          <a:extLst>
            <a:ext uri="{FF2B5EF4-FFF2-40B4-BE49-F238E27FC236}">
              <a16:creationId xmlns:a16="http://schemas.microsoft.com/office/drawing/2014/main" id="{7FF18DD7-BB51-4A0C-96C1-9B4D9513ECE2}"/>
            </a:ext>
          </a:extLst>
        </xdr:cNvPr>
        <xdr:cNvPicPr>
          <a:picLocks noChangeAspect="1"/>
        </xdr:cNvPicPr>
      </xdr:nvPicPr>
      <xdr:blipFill>
        <a:blip xmlns:r="http://schemas.openxmlformats.org/officeDocument/2006/relationships" r:embed="rId5"/>
        <a:stretch>
          <a:fillRect/>
        </a:stretch>
      </xdr:blipFill>
      <xdr:spPr>
        <a:xfrm>
          <a:off x="0" y="9458324"/>
          <a:ext cx="8000838" cy="1390437"/>
        </a:xfrm>
        <a:prstGeom prst="rect">
          <a:avLst/>
        </a:prstGeom>
      </xdr:spPr>
    </xdr:pic>
    <xdr:clientData/>
  </xdr:twoCellAnchor>
  <xdr:twoCellAnchor editAs="oneCell">
    <xdr:from>
      <xdr:col>0</xdr:col>
      <xdr:colOff>0</xdr:colOff>
      <xdr:row>62</xdr:row>
      <xdr:rowOff>76200</xdr:rowOff>
    </xdr:from>
    <xdr:to>
      <xdr:col>11</xdr:col>
      <xdr:colOff>560962</xdr:colOff>
      <xdr:row>79</xdr:row>
      <xdr:rowOff>37740</xdr:rowOff>
    </xdr:to>
    <xdr:pic>
      <xdr:nvPicPr>
        <xdr:cNvPr id="7" name="图片 6">
          <a:extLst>
            <a:ext uri="{FF2B5EF4-FFF2-40B4-BE49-F238E27FC236}">
              <a16:creationId xmlns:a16="http://schemas.microsoft.com/office/drawing/2014/main" id="{A9DD709A-60B6-43C1-8752-736E3038ED25}"/>
            </a:ext>
          </a:extLst>
        </xdr:cNvPr>
        <xdr:cNvPicPr>
          <a:picLocks noChangeAspect="1"/>
        </xdr:cNvPicPr>
      </xdr:nvPicPr>
      <xdr:blipFill>
        <a:blip xmlns:r="http://schemas.openxmlformats.org/officeDocument/2006/relationships" r:embed="rId6"/>
        <a:stretch>
          <a:fillRect/>
        </a:stretch>
      </xdr:blipFill>
      <xdr:spPr>
        <a:xfrm>
          <a:off x="0" y="10706100"/>
          <a:ext cx="8104762" cy="2876190"/>
        </a:xfrm>
        <a:prstGeom prst="rect">
          <a:avLst/>
        </a:prstGeom>
      </xdr:spPr>
    </xdr:pic>
    <xdr:clientData/>
  </xdr:twoCellAnchor>
  <xdr:twoCellAnchor editAs="oneCell">
    <xdr:from>
      <xdr:col>0</xdr:col>
      <xdr:colOff>0</xdr:colOff>
      <xdr:row>85</xdr:row>
      <xdr:rowOff>76200</xdr:rowOff>
    </xdr:from>
    <xdr:to>
      <xdr:col>10</xdr:col>
      <xdr:colOff>551524</xdr:colOff>
      <xdr:row>101</xdr:row>
      <xdr:rowOff>75857</xdr:rowOff>
    </xdr:to>
    <xdr:pic>
      <xdr:nvPicPr>
        <xdr:cNvPr id="8" name="图片 7">
          <a:extLst>
            <a:ext uri="{FF2B5EF4-FFF2-40B4-BE49-F238E27FC236}">
              <a16:creationId xmlns:a16="http://schemas.microsoft.com/office/drawing/2014/main" id="{158EC456-7F63-476F-A4C0-8165FC9D3B19}"/>
            </a:ext>
          </a:extLst>
        </xdr:cNvPr>
        <xdr:cNvPicPr>
          <a:picLocks noChangeAspect="1"/>
        </xdr:cNvPicPr>
      </xdr:nvPicPr>
      <xdr:blipFill>
        <a:blip xmlns:r="http://schemas.openxmlformats.org/officeDocument/2006/relationships" r:embed="rId7"/>
        <a:stretch>
          <a:fillRect/>
        </a:stretch>
      </xdr:blipFill>
      <xdr:spPr>
        <a:xfrm>
          <a:off x="0" y="14649450"/>
          <a:ext cx="7409524" cy="2742857"/>
        </a:xfrm>
        <a:prstGeom prst="rect">
          <a:avLst/>
        </a:prstGeom>
      </xdr:spPr>
    </xdr:pic>
    <xdr:clientData/>
  </xdr:twoCellAnchor>
  <xdr:twoCellAnchor editAs="oneCell">
    <xdr:from>
      <xdr:col>0</xdr:col>
      <xdr:colOff>0</xdr:colOff>
      <xdr:row>79</xdr:row>
      <xdr:rowOff>19050</xdr:rowOff>
    </xdr:from>
    <xdr:to>
      <xdr:col>11</xdr:col>
      <xdr:colOff>327391</xdr:colOff>
      <xdr:row>85</xdr:row>
      <xdr:rowOff>95079</xdr:rowOff>
    </xdr:to>
    <xdr:pic>
      <xdr:nvPicPr>
        <xdr:cNvPr id="9" name="图片 8">
          <a:extLst>
            <a:ext uri="{FF2B5EF4-FFF2-40B4-BE49-F238E27FC236}">
              <a16:creationId xmlns:a16="http://schemas.microsoft.com/office/drawing/2014/main" id="{D73FDB65-2D08-4CD4-9CB3-3822666532C3}"/>
            </a:ext>
          </a:extLst>
        </xdr:cNvPr>
        <xdr:cNvPicPr>
          <a:picLocks noChangeAspect="1"/>
        </xdr:cNvPicPr>
      </xdr:nvPicPr>
      <xdr:blipFill>
        <a:blip xmlns:r="http://schemas.openxmlformats.org/officeDocument/2006/relationships" r:embed="rId8"/>
        <a:stretch>
          <a:fillRect/>
        </a:stretch>
      </xdr:blipFill>
      <xdr:spPr>
        <a:xfrm>
          <a:off x="0" y="13563600"/>
          <a:ext cx="7871191" cy="1104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142875</xdr:colOff>
      <xdr:row>19</xdr:row>
      <xdr:rowOff>45153</xdr:rowOff>
    </xdr:to>
    <xdr:pic>
      <xdr:nvPicPr>
        <xdr:cNvPr id="2" name="图片 1">
          <a:extLst>
            <a:ext uri="{FF2B5EF4-FFF2-40B4-BE49-F238E27FC236}">
              <a16:creationId xmlns:a16="http://schemas.microsoft.com/office/drawing/2014/main" id="{5D363444-CDD2-4536-84AD-116CE5DAF993}"/>
            </a:ext>
          </a:extLst>
        </xdr:cNvPr>
        <xdr:cNvPicPr>
          <a:picLocks noChangeAspect="1"/>
        </xdr:cNvPicPr>
      </xdr:nvPicPr>
      <xdr:blipFill>
        <a:blip xmlns:r="http://schemas.openxmlformats.org/officeDocument/2006/relationships" r:embed="rId1"/>
        <a:stretch>
          <a:fillRect/>
        </a:stretch>
      </xdr:blipFill>
      <xdr:spPr>
        <a:xfrm>
          <a:off x="0" y="0"/>
          <a:ext cx="5629275" cy="3302703"/>
        </a:xfrm>
        <a:prstGeom prst="rect">
          <a:avLst/>
        </a:prstGeom>
      </xdr:spPr>
    </xdr:pic>
    <xdr:clientData/>
  </xdr:twoCellAnchor>
  <xdr:twoCellAnchor editAs="oneCell">
    <xdr:from>
      <xdr:col>0</xdr:col>
      <xdr:colOff>0</xdr:colOff>
      <xdr:row>19</xdr:row>
      <xdr:rowOff>19050</xdr:rowOff>
    </xdr:from>
    <xdr:to>
      <xdr:col>8</xdr:col>
      <xdr:colOff>50502</xdr:colOff>
      <xdr:row>35</xdr:row>
      <xdr:rowOff>47018</xdr:rowOff>
    </xdr:to>
    <xdr:pic>
      <xdr:nvPicPr>
        <xdr:cNvPr id="3" name="图片 2">
          <a:extLst>
            <a:ext uri="{FF2B5EF4-FFF2-40B4-BE49-F238E27FC236}">
              <a16:creationId xmlns:a16="http://schemas.microsoft.com/office/drawing/2014/main" id="{59F9C5D4-7BB1-4366-9756-184083D77CC6}"/>
            </a:ext>
          </a:extLst>
        </xdr:cNvPr>
        <xdr:cNvPicPr>
          <a:picLocks noChangeAspect="1"/>
        </xdr:cNvPicPr>
      </xdr:nvPicPr>
      <xdr:blipFill>
        <a:blip xmlns:r="http://schemas.openxmlformats.org/officeDocument/2006/relationships" r:embed="rId2"/>
        <a:stretch>
          <a:fillRect/>
        </a:stretch>
      </xdr:blipFill>
      <xdr:spPr>
        <a:xfrm>
          <a:off x="0" y="3276600"/>
          <a:ext cx="5536902" cy="2771168"/>
        </a:xfrm>
        <a:prstGeom prst="rect">
          <a:avLst/>
        </a:prstGeom>
      </xdr:spPr>
    </xdr:pic>
    <xdr:clientData/>
  </xdr:twoCellAnchor>
  <xdr:twoCellAnchor editAs="oneCell">
    <xdr:from>
      <xdr:col>16</xdr:col>
      <xdr:colOff>504825</xdr:colOff>
      <xdr:row>0</xdr:row>
      <xdr:rowOff>9525</xdr:rowOff>
    </xdr:from>
    <xdr:to>
      <xdr:col>22</xdr:col>
      <xdr:colOff>684849</xdr:colOff>
      <xdr:row>15</xdr:row>
      <xdr:rowOff>15746</xdr:rowOff>
    </xdr:to>
    <xdr:pic>
      <xdr:nvPicPr>
        <xdr:cNvPr id="4" name="图片 3">
          <a:extLst>
            <a:ext uri="{FF2B5EF4-FFF2-40B4-BE49-F238E27FC236}">
              <a16:creationId xmlns:a16="http://schemas.microsoft.com/office/drawing/2014/main" id="{CD6C122F-D0B6-4742-BC9C-4AD24D6167EA}"/>
            </a:ext>
          </a:extLst>
        </xdr:cNvPr>
        <xdr:cNvPicPr>
          <a:picLocks noChangeAspect="1"/>
        </xdr:cNvPicPr>
      </xdr:nvPicPr>
      <xdr:blipFill>
        <a:blip xmlns:r="http://schemas.openxmlformats.org/officeDocument/2006/relationships" r:embed="rId3"/>
        <a:stretch>
          <a:fillRect/>
        </a:stretch>
      </xdr:blipFill>
      <xdr:spPr>
        <a:xfrm>
          <a:off x="11477625" y="9525"/>
          <a:ext cx="4294824" cy="2577971"/>
        </a:xfrm>
        <a:prstGeom prst="rect">
          <a:avLst/>
        </a:prstGeom>
      </xdr:spPr>
    </xdr:pic>
    <xdr:clientData/>
  </xdr:twoCellAnchor>
  <xdr:twoCellAnchor editAs="oneCell">
    <xdr:from>
      <xdr:col>16</xdr:col>
      <xdr:colOff>323850</xdr:colOff>
      <xdr:row>13</xdr:row>
      <xdr:rowOff>83640</xdr:rowOff>
    </xdr:from>
    <xdr:to>
      <xdr:col>25</xdr:col>
      <xdr:colOff>227643</xdr:colOff>
      <xdr:row>32</xdr:row>
      <xdr:rowOff>75688</xdr:rowOff>
    </xdr:to>
    <xdr:pic>
      <xdr:nvPicPr>
        <xdr:cNvPr id="5" name="图片 4">
          <a:extLst>
            <a:ext uri="{FF2B5EF4-FFF2-40B4-BE49-F238E27FC236}">
              <a16:creationId xmlns:a16="http://schemas.microsoft.com/office/drawing/2014/main" id="{C3AB9562-BDA9-4847-B27D-1FA2FA192CE6}"/>
            </a:ext>
          </a:extLst>
        </xdr:cNvPr>
        <xdr:cNvPicPr>
          <a:picLocks noChangeAspect="1"/>
        </xdr:cNvPicPr>
      </xdr:nvPicPr>
      <xdr:blipFill>
        <a:blip xmlns:r="http://schemas.openxmlformats.org/officeDocument/2006/relationships" r:embed="rId4"/>
        <a:stretch>
          <a:fillRect/>
        </a:stretch>
      </xdr:blipFill>
      <xdr:spPr>
        <a:xfrm>
          <a:off x="11296650" y="2312490"/>
          <a:ext cx="6075993" cy="3249598"/>
        </a:xfrm>
        <a:prstGeom prst="rect">
          <a:avLst/>
        </a:prstGeom>
      </xdr:spPr>
    </xdr:pic>
    <xdr:clientData/>
  </xdr:twoCellAnchor>
  <xdr:twoCellAnchor editAs="oneCell">
    <xdr:from>
      <xdr:col>13</xdr:col>
      <xdr:colOff>609600</xdr:colOff>
      <xdr:row>32</xdr:row>
      <xdr:rowOff>47625</xdr:rowOff>
    </xdr:from>
    <xdr:to>
      <xdr:col>25</xdr:col>
      <xdr:colOff>84762</xdr:colOff>
      <xdr:row>51</xdr:row>
      <xdr:rowOff>94837</xdr:rowOff>
    </xdr:to>
    <xdr:pic>
      <xdr:nvPicPr>
        <xdr:cNvPr id="6" name="图片 5">
          <a:extLst>
            <a:ext uri="{FF2B5EF4-FFF2-40B4-BE49-F238E27FC236}">
              <a16:creationId xmlns:a16="http://schemas.microsoft.com/office/drawing/2014/main" id="{8C76CE5F-F8C5-4AA2-86FB-4769753C3614}"/>
            </a:ext>
          </a:extLst>
        </xdr:cNvPr>
        <xdr:cNvPicPr>
          <a:picLocks noChangeAspect="1"/>
        </xdr:cNvPicPr>
      </xdr:nvPicPr>
      <xdr:blipFill>
        <a:blip xmlns:r="http://schemas.openxmlformats.org/officeDocument/2006/relationships" r:embed="rId5"/>
        <a:stretch>
          <a:fillRect/>
        </a:stretch>
      </xdr:blipFill>
      <xdr:spPr>
        <a:xfrm>
          <a:off x="9525000" y="5534025"/>
          <a:ext cx="7704762" cy="33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26085;&#22363;&#22269;&#38469;-&#19968;&#23457;&#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35225</v>
          </cell>
          <cell r="D33">
            <v>45.57</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估价对象为北京市房地产，为XX所有。根据《》[]，估价对象建筑面积为45.57平方米。根据《》[]，估价对象（分摊）出让国有建设用地使用权面积为平方米。估价对象用途为。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2022年9月6日</v>
      </c>
    </row>
    <row r="10" spans="1:2">
      <c r="A10" s="1139" t="s">
        <v>865</v>
      </c>
      <c r="B10" s="1126" t="str">
        <f>'预评函-1'!A13</f>
        <v>本次估价的“房地产价值”是指在正常市场情况下，在价值时点2022年9月6日，估价对象规划用途为，假定未设立法定优先受偿款下的房地产市场价值。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45.57</v>
      </c>
    </row>
    <row r="19" spans="1:2">
      <c r="A19" s="1139" t="s">
        <v>874</v>
      </c>
      <c r="B19" s="1126">
        <f ca="1">'预评函-2（1）'!D7</f>
        <v>1180081</v>
      </c>
    </row>
    <row r="20" spans="1:2">
      <c r="A20" s="1139" t="s">
        <v>912</v>
      </c>
      <c r="B20" s="1126" t="str">
        <f>'预评函-2（1）'!C7</f>
        <v>总价（元）</v>
      </c>
    </row>
    <row r="21" spans="1:2">
      <c r="A21" s="1139" t="s">
        <v>875</v>
      </c>
      <c r="B21" s="1126">
        <f ca="1">'预评函-2（1）'!D9</f>
        <v>25896</v>
      </c>
    </row>
    <row r="22" spans="1:2">
      <c r="A22" s="1139" t="s">
        <v>876</v>
      </c>
      <c r="B22" s="1126" t="str">
        <f ca="1">'预评函-2（1）'!D8</f>
        <v>壹佰壹拾捌万零捌拾壹元整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1180081</v>
      </c>
    </row>
    <row r="30" spans="1:2">
      <c r="A30" s="1139" t="s">
        <v>882</v>
      </c>
      <c r="B30" s="1126" t="str">
        <f ca="1">'预评函-2（1）'!D16</f>
        <v>壹佰壹拾捌万零捌拾壹元整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854392</v>
      </c>
    </row>
    <row r="38" spans="1:2">
      <c r="A38" s="1139" t="s">
        <v>890</v>
      </c>
      <c r="B38" s="1126">
        <f ca="1">'预评函-2（2）'!E4</f>
        <v>18749</v>
      </c>
    </row>
    <row r="39" spans="1:2">
      <c r="A39" s="1139" t="s">
        <v>891</v>
      </c>
      <c r="B39" s="1126" t="str">
        <f ca="1">'预评函-2（2）'!D5</f>
        <v>捌拾伍万肆仟叁佰玖拾贰元整</v>
      </c>
    </row>
    <row r="40" spans="1:2">
      <c r="A40" s="1139" t="s">
        <v>892</v>
      </c>
      <c r="B40" s="1126">
        <f ca="1">'预评函-2（2）'!F4</f>
        <v>325689</v>
      </c>
    </row>
    <row r="41" spans="1:2">
      <c r="A41" s="1139" t="s">
        <v>893</v>
      </c>
      <c r="B41" s="1126">
        <f ca="1">'预评函-2（2）'!G4</f>
        <v>7147</v>
      </c>
    </row>
    <row r="42" spans="1:2" s="1136" customFormat="1" ht="15.75" thickBot="1">
      <c r="A42" s="1140" t="s">
        <v>894</v>
      </c>
      <c r="B42" s="1128" t="str">
        <f ca="1">'预评函-2（2）'!F5</f>
        <v>叁拾贰万伍仟陆佰捌拾玖元整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25896</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8" sqref="C8:D8"/>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44810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3095</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3096</v>
      </c>
      <c r="C7" s="1453" t="str">
        <f>IF(B7="自然人","姓名","名称")</f>
        <v>姓名</v>
      </c>
      <c r="D7" s="1366" t="s">
        <v>2480</v>
      </c>
      <c r="E7" s="783"/>
      <c r="F7" s="783"/>
      <c r="G7" s="1122"/>
    </row>
    <row r="8" spans="1:17" ht="13.5" thickTop="1">
      <c r="A8" s="3392" t="s">
        <v>1301</v>
      </c>
      <c r="B8" s="1367" t="s">
        <v>1302</v>
      </c>
      <c r="C8" s="3405"/>
      <c r="D8" s="3406"/>
      <c r="E8" s="2519" t="s">
        <v>1303</v>
      </c>
      <c r="F8" s="2520" t="s">
        <v>1304</v>
      </c>
      <c r="G8" s="2521" t="str">
        <f>C6</f>
        <v>XX</v>
      </c>
    </row>
    <row r="9" spans="1:17">
      <c r="A9" s="3392"/>
      <c r="B9" s="259" t="s">
        <v>1305</v>
      </c>
      <c r="C9" s="1359"/>
      <c r="D9" s="1368"/>
      <c r="E9" s="2815" t="s">
        <v>1306</v>
      </c>
      <c r="F9" s="2522"/>
      <c r="G9" s="2523"/>
    </row>
    <row r="10" spans="1:17" ht="13.5" thickBot="1">
      <c r="A10" s="3392"/>
      <c r="B10" s="259" t="s">
        <v>1307</v>
      </c>
      <c r="C10" s="3407"/>
      <c r="D10" s="3408"/>
      <c r="E10" s="2816" t="s">
        <v>1308</v>
      </c>
      <c r="F10" s="2524"/>
      <c r="G10" s="2525"/>
    </row>
    <row r="11" spans="1:17" ht="13.5" thickBot="1">
      <c r="A11" s="3392"/>
      <c r="B11" s="1370" t="s">
        <v>1309</v>
      </c>
      <c r="C11" s="3409"/>
      <c r="D11" s="3410"/>
      <c r="E11" s="769"/>
      <c r="F11" s="769"/>
      <c r="G11" s="788"/>
    </row>
    <row r="12" spans="1:17" ht="13.5" thickBot="1">
      <c r="A12" s="3396" t="s">
        <v>2587</v>
      </c>
      <c r="B12" s="2817" t="s">
        <v>1310</v>
      </c>
      <c r="C12" s="766">
        <v>45.57</v>
      </c>
      <c r="D12" s="1371" t="s">
        <v>1311</v>
      </c>
      <c r="E12" s="1372"/>
      <c r="F12" s="1373"/>
      <c r="G12" s="788"/>
    </row>
    <row r="13" spans="1:17" ht="21" customHeight="1" thickBot="1">
      <c r="A13" s="3397"/>
      <c r="B13" s="2818" t="s">
        <v>1312</v>
      </c>
      <c r="C13" s="767"/>
      <c r="D13" s="1374" t="s">
        <v>1313</v>
      </c>
      <c r="E13" s="1375"/>
      <c r="F13" s="769"/>
      <c r="G13" s="788"/>
      <c r="I13" s="3415"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15"/>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15"/>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1" t="s">
        <v>1320</v>
      </c>
      <c r="C17" s="3412"/>
      <c r="D17" s="3413" t="s">
        <v>1321</v>
      </c>
      <c r="E17" s="3414"/>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24" t="s">
        <v>2586</v>
      </c>
      <c r="B24" s="3424"/>
      <c r="C24" s="3424"/>
      <c r="D24" s="3424"/>
      <c r="E24" s="3424"/>
      <c r="F24" s="3424"/>
      <c r="G24" s="3424"/>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9" t="s">
        <v>1334</v>
      </c>
      <c r="D28" s="3400"/>
      <c r="E28" s="759"/>
      <c r="F28" s="761" t="s">
        <v>1334</v>
      </c>
      <c r="G28" s="759"/>
      <c r="K28" s="2822"/>
    </row>
    <row r="29" spans="1:66">
      <c r="A29" s="762" t="s">
        <v>1335</v>
      </c>
      <c r="B29" s="756"/>
      <c r="C29" s="3401" t="s">
        <v>1336</v>
      </c>
      <c r="D29" s="3402"/>
      <c r="E29" s="756"/>
      <c r="F29" s="762" t="s">
        <v>1336</v>
      </c>
      <c r="G29" s="756"/>
      <c r="K29" s="2822"/>
    </row>
    <row r="30" spans="1:66">
      <c r="A30" s="762" t="s">
        <v>1337</v>
      </c>
      <c r="B30" s="756"/>
      <c r="C30" s="3401" t="s">
        <v>1337</v>
      </c>
      <c r="D30" s="3402"/>
      <c r="E30" s="756"/>
      <c r="F30" s="762" t="s">
        <v>1338</v>
      </c>
      <c r="G30" s="756"/>
      <c r="K30" s="2822"/>
    </row>
    <row r="31" spans="1:66">
      <c r="A31" s="762" t="s">
        <v>1339</v>
      </c>
      <c r="B31" s="756"/>
      <c r="C31" s="3421" t="s">
        <v>1340</v>
      </c>
      <c r="D31" s="769"/>
      <c r="E31" s="2545" t="str">
        <f>E32&amp;" "&amp;E33&amp;" "&amp;E34&amp;" "&amp;E35</f>
        <v xml:space="preserve">   </v>
      </c>
      <c r="F31" s="762" t="s">
        <v>1341</v>
      </c>
      <c r="G31" s="756"/>
    </row>
    <row r="32" spans="1:66">
      <c r="A32" s="762" t="s">
        <v>1342</v>
      </c>
      <c r="B32" s="756"/>
      <c r="C32" s="3422"/>
      <c r="D32" s="259" t="s">
        <v>1343</v>
      </c>
      <c r="E32" s="756"/>
      <c r="F32" s="762" t="s">
        <v>1344</v>
      </c>
      <c r="G32" s="756"/>
    </row>
    <row r="33" spans="1:7" ht="24.75" thickBot="1">
      <c r="A33" s="763" t="s">
        <v>1345</v>
      </c>
      <c r="B33" s="760"/>
      <c r="C33" s="3422"/>
      <c r="D33" s="259" t="s">
        <v>1346</v>
      </c>
      <c r="E33" s="756"/>
      <c r="F33" s="762" t="s">
        <v>1347</v>
      </c>
      <c r="G33" s="756"/>
    </row>
    <row r="34" spans="1:7">
      <c r="A34" s="761" t="s">
        <v>1348</v>
      </c>
      <c r="B34" s="759"/>
      <c r="C34" s="3422"/>
      <c r="D34" s="259" t="s">
        <v>1349</v>
      </c>
      <c r="E34" s="756"/>
      <c r="F34" s="762" t="s">
        <v>1350</v>
      </c>
      <c r="G34" s="756"/>
    </row>
    <row r="35" spans="1:7" ht="13.5" thickBot="1">
      <c r="A35" s="762" t="s">
        <v>1351</v>
      </c>
      <c r="B35" s="756"/>
      <c r="C35" s="3423"/>
      <c r="D35" s="259" t="s">
        <v>1352</v>
      </c>
      <c r="E35" s="756"/>
      <c r="F35" s="763" t="s">
        <v>1353</v>
      </c>
      <c r="G35" s="2546"/>
    </row>
    <row r="36" spans="1:7">
      <c r="A36" s="762" t="s">
        <v>1310</v>
      </c>
      <c r="B36" s="756"/>
      <c r="C36" s="3401" t="s">
        <v>1354</v>
      </c>
      <c r="D36" s="3402"/>
      <c r="E36" s="756"/>
      <c r="F36" s="2547" t="s">
        <v>1355</v>
      </c>
      <c r="G36" s="759"/>
    </row>
    <row r="37" spans="1:7" ht="13.5" thickBot="1">
      <c r="A37" s="762" t="s">
        <v>1356</v>
      </c>
      <c r="B37" s="756"/>
      <c r="C37" s="3403" t="s">
        <v>1357</v>
      </c>
      <c r="D37" s="3404"/>
      <c r="E37" s="760"/>
      <c r="F37" s="1391" t="s">
        <v>1358</v>
      </c>
      <c r="G37" s="756"/>
    </row>
    <row r="38" spans="1:7" ht="13.5" thickBot="1">
      <c r="A38" s="762" t="s">
        <v>1359</v>
      </c>
      <c r="B38" s="756"/>
      <c r="C38" s="3393"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c r="A42" s="764" t="s">
        <v>1369</v>
      </c>
      <c r="B42" s="2548"/>
      <c r="C42" s="3416" t="s">
        <v>1369</v>
      </c>
      <c r="D42" s="3417"/>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18" t="s">
        <v>1372</v>
      </c>
      <c r="D49" s="3419"/>
      <c r="E49" s="778"/>
      <c r="F49" s="763" t="s">
        <v>1373</v>
      </c>
      <c r="G49" s="760"/>
    </row>
    <row r="50" spans="1:66">
      <c r="A50" s="762" t="s">
        <v>1374</v>
      </c>
      <c r="B50" s="777"/>
      <c r="C50" s="3393" t="s">
        <v>1375</v>
      </c>
      <c r="D50" s="3420"/>
      <c r="E50" s="2550"/>
      <c r="F50" s="795"/>
      <c r="G50" s="796"/>
    </row>
    <row r="51" spans="1:66" ht="13.5" thickBot="1">
      <c r="A51" s="762" t="s">
        <v>1376</v>
      </c>
      <c r="B51" s="777"/>
      <c r="C51" s="3395" t="s">
        <v>1377</v>
      </c>
      <c r="D51" s="3398"/>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5" t="s">
        <v>0</v>
      </c>
      <c r="B1" s="3425" t="s">
        <v>2</v>
      </c>
      <c r="C1" s="3425" t="s">
        <v>3</v>
      </c>
      <c r="D1" s="3426" t="s">
        <v>67</v>
      </c>
      <c r="E1" s="3426" t="s">
        <v>68</v>
      </c>
      <c r="F1" s="3426"/>
      <c r="G1" s="3426"/>
      <c r="H1" s="3426"/>
      <c r="I1" s="3426"/>
      <c r="J1" s="3426"/>
      <c r="K1" s="3426"/>
      <c r="L1" s="3426"/>
      <c r="M1" s="3426"/>
    </row>
    <row r="2" spans="1:13" ht="27" customHeight="1">
      <c r="A2" s="3425"/>
      <c r="B2" s="3425"/>
      <c r="C2" s="3425"/>
      <c r="D2" s="3426"/>
      <c r="E2" s="3426" t="s">
        <v>51</v>
      </c>
      <c r="F2" s="3426" t="s">
        <v>52</v>
      </c>
      <c r="G2" s="3426"/>
      <c r="H2" s="3426"/>
      <c r="I2" s="3426"/>
      <c r="J2" s="3426" t="s">
        <v>53</v>
      </c>
      <c r="K2" s="3426"/>
      <c r="L2" s="3426"/>
      <c r="M2" s="3426"/>
    </row>
    <row r="3" spans="1:13" ht="28.5">
      <c r="A3" s="3425"/>
      <c r="B3" s="3425"/>
      <c r="C3" s="3425"/>
      <c r="D3" s="3426"/>
      <c r="E3" s="34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6" t="s">
        <v>69</v>
      </c>
      <c r="B9" s="3426"/>
      <c r="C9" s="34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Normal="90" zoomScaleSheetLayoutView="100" workbookViewId="0">
      <pane xSplit="3" ySplit="11" topLeftCell="E17" activePane="bottomRight" state="frozen"/>
      <selection activeCell="A11" sqref="A11:D11"/>
      <selection pane="topRight" activeCell="A11" sqref="A11:D11"/>
      <selection pane="bottomLeft" activeCell="A11" sqref="A11:D11"/>
      <selection pane="bottomRight" activeCell="D6" sqref="D6"/>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44810</v>
      </c>
      <c r="C2" s="1613"/>
      <c r="D2" s="3427"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3032</v>
      </c>
      <c r="C3" s="1613"/>
      <c r="D3" s="3428"/>
      <c r="E3" s="2557" t="s">
        <v>3034</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3033</v>
      </c>
      <c r="C4" s="1613"/>
      <c r="D4" s="3428"/>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45.57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f>(1+0.72%)*(1+0.41%)*(1+0.24%)*(1+0.44%)*(1+0.15%)</f>
        <v>1.0197445662362949</v>
      </c>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40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25</v>
      </c>
      <c r="C13" s="2885"/>
      <c r="D13" s="2851" t="s">
        <v>1397</v>
      </c>
      <c r="E13" s="2571">
        <f>成本法!C10</f>
        <v>9114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0.82099999999999995</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0.05</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5.5E-2</v>
      </c>
      <c r="C17" s="2481" t="s">
        <v>2599</v>
      </c>
      <c r="D17" s="2844" t="s">
        <v>1406</v>
      </c>
      <c r="E17" s="2575">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5.5E-2</v>
      </c>
      <c r="C18" s="1613"/>
      <c r="D18" s="2857" t="str">
        <f>IF(B26=0,"建安总额","在建建安")</f>
        <v>建安总额</v>
      </c>
      <c r="E18" s="2858">
        <f>ROUND(B5*E17*IF(B26=0,1,E20),0)</f>
        <v>136710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H20</f>
        <v>0.78</v>
      </c>
      <c r="F20" s="905"/>
      <c r="G20" s="1613"/>
      <c r="H20" s="1613">
        <f>ROUND(1-(2022-B27)/60,2)</f>
        <v>0.78</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v>0.8</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f ca="1">结果表!G20</f>
        <v>25896</v>
      </c>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2009</v>
      </c>
      <c r="C27" s="1613"/>
      <c r="D27" s="3073" t="s">
        <v>3077</v>
      </c>
      <c r="E27" s="2870">
        <f ca="1">IF(D27="利息：取LPR",存贷款利率!G1,存贷款利率!G1+F27)</f>
        <v>4.7500000000000001E-2</v>
      </c>
      <c r="F27" s="3074">
        <v>1.0999999999999999E-2</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3035</v>
      </c>
      <c r="D29" s="2853" t="s">
        <v>1423</v>
      </c>
      <c r="E29" s="2872">
        <f>E30+E31</f>
        <v>5.6000000000000001E-2</v>
      </c>
      <c r="F29" s="1238"/>
      <c r="G29" s="2887"/>
      <c r="H29" s="2887"/>
      <c r="K29" s="1613"/>
      <c r="N29" s="1613"/>
    </row>
    <row r="30" spans="1:41" ht="14.25">
      <c r="A30" s="2848" t="str">
        <f>IF(B29="租赁期内按合同租金","合同租金","市场租金")</f>
        <v>市场租金</v>
      </c>
      <c r="B30" s="2588">
        <f>'比较法-商业'!C48</f>
        <v>2.9</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0.02</v>
      </c>
      <c r="D32" s="2855" t="s">
        <v>1429</v>
      </c>
      <c r="E32" s="2590">
        <v>7.0000000000000007E-2</v>
      </c>
      <c r="F32" s="2591" t="s">
        <v>2491</v>
      </c>
      <c r="G32" s="2887"/>
      <c r="H32" s="2887"/>
      <c r="K32" s="1613"/>
      <c r="L32" s="1613"/>
      <c r="M32" s="1613"/>
      <c r="N32" s="1613"/>
    </row>
    <row r="33" spans="1:14" ht="14.25">
      <c r="A33" s="2848" t="s">
        <v>1428</v>
      </c>
      <c r="B33" s="2573">
        <v>0.15</v>
      </c>
      <c r="D33" s="2855" t="s">
        <v>1431</v>
      </c>
      <c r="E33" s="2589">
        <v>0.03</v>
      </c>
      <c r="F33" s="1237" t="s">
        <v>1432</v>
      </c>
      <c r="G33" s="2887"/>
      <c r="H33" s="2887"/>
      <c r="K33" s="1613"/>
      <c r="L33" s="1613"/>
      <c r="M33" s="1613"/>
      <c r="N33" s="1613"/>
    </row>
    <row r="34" spans="1:14" s="2593" customFormat="1" ht="14.25">
      <c r="A34" s="2848" t="s">
        <v>1430</v>
      </c>
      <c r="B34" s="2876">
        <f>收益法!J54</f>
        <v>25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2602</v>
      </c>
      <c r="D45" s="2601" t="s">
        <v>1456</v>
      </c>
      <c r="E45" s="2588"/>
      <c r="F45" s="1239">
        <v>12</v>
      </c>
      <c r="G45" s="2593"/>
      <c r="H45" s="2593"/>
      <c r="M45" s="1613"/>
      <c r="N45" s="1613"/>
    </row>
    <row r="46" spans="1:14" ht="14.25">
      <c r="A46" s="2848" t="s">
        <v>1455</v>
      </c>
      <c r="B46" s="2603">
        <v>1.5E-3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9" t="s">
        <v>1463</v>
      </c>
      <c r="B1" s="3430"/>
      <c r="C1" s="3430"/>
      <c r="D1" s="3430"/>
      <c r="E1" s="3430"/>
      <c r="F1" s="3430"/>
      <c r="G1" s="3430"/>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36">
      <c r="A4" s="3026"/>
      <c r="B4" s="3010" t="s">
        <v>2614</v>
      </c>
      <c r="C4" s="3339" t="s">
        <v>3090</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60">
      <c r="A6" s="3026"/>
      <c r="B6" s="3010" t="s">
        <v>2621</v>
      </c>
      <c r="C6" s="3338" t="s">
        <v>3089</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108.75" thickBot="1">
      <c r="A7" s="3026"/>
      <c r="B7" s="3010" t="s">
        <v>2619</v>
      </c>
      <c r="C7" s="3338" t="s">
        <v>3085</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338" t="s">
        <v>3087</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36">
      <c r="A9" s="3026"/>
      <c r="B9" s="3010" t="s">
        <v>2626</v>
      </c>
      <c r="C9" s="3339" t="s">
        <v>3086</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2627</v>
      </c>
      <c r="C10" s="3340" t="s">
        <v>3088</v>
      </c>
      <c r="D10" s="3025"/>
      <c r="E10" s="3025"/>
      <c r="F10" s="2895"/>
      <c r="G10" s="2895"/>
      <c r="H10" s="1426"/>
      <c r="I10" s="3036"/>
      <c r="J10" s="3037"/>
      <c r="K10" s="1426"/>
      <c r="L10" s="3036"/>
      <c r="M10" s="3037"/>
      <c r="N10" s="1426"/>
      <c r="O10" s="3036"/>
      <c r="P10" s="3037"/>
      <c r="Q10" s="1426"/>
      <c r="R10" s="3036"/>
      <c r="S10" s="3021"/>
      <c r="T10" s="3021"/>
      <c r="U10" s="3021"/>
      <c r="V10" s="3021"/>
      <c r="W10" s="3021"/>
      <c r="X10" s="3021"/>
      <c r="Y10" s="3021"/>
      <c r="Z10" s="3021"/>
      <c r="AA10" s="3021"/>
      <c r="AB10" s="3021"/>
      <c r="AC10" s="3021"/>
    </row>
    <row r="11" spans="1:29" s="2593" customFormat="1" ht="12.75">
      <c r="A11" s="3038"/>
      <c r="B11" s="2900"/>
      <c r="C11" s="3025"/>
      <c r="D11" s="3025"/>
      <c r="E11" s="3025"/>
      <c r="F11" s="2900"/>
      <c r="G11" s="3039"/>
      <c r="H11" s="1426"/>
      <c r="I11" s="3036"/>
      <c r="J11" s="3037"/>
      <c r="K11" s="1426"/>
      <c r="L11" s="3036"/>
      <c r="M11" s="3037"/>
      <c r="N11" s="1426"/>
      <c r="O11" s="3036"/>
      <c r="P11" s="3037"/>
      <c r="Q11" s="1426"/>
      <c r="R11" s="3036"/>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0"/>
      <c r="B14" s="3040"/>
      <c r="C14" s="3041" t="s">
        <v>2628</v>
      </c>
      <c r="D14" s="3025"/>
      <c r="E14" s="3042"/>
      <c r="F14" s="3042"/>
      <c r="G14" s="3018" t="s">
        <v>2629</v>
      </c>
      <c r="H14" s="3043"/>
      <c r="I14" s="3044"/>
      <c r="J14" s="3043"/>
      <c r="K14" s="3043"/>
      <c r="L14" s="3044"/>
      <c r="M14" s="3043"/>
      <c r="N14" s="3043"/>
      <c r="O14" s="3044"/>
      <c r="P14" s="3043"/>
      <c r="Q14" s="3043"/>
      <c r="R14" s="3045"/>
      <c r="S14" s="3021"/>
      <c r="T14" s="3021"/>
      <c r="U14" s="3021"/>
      <c r="V14" s="3021"/>
      <c r="W14" s="3021"/>
      <c r="X14" s="3021"/>
      <c r="Y14" s="3021"/>
      <c r="Z14" s="3021"/>
      <c r="AA14" s="3021"/>
      <c r="AB14" s="3021"/>
      <c r="AC14" s="3021"/>
    </row>
    <row r="15" spans="1:29" s="2552" customFormat="1" ht="38.25">
      <c r="A15" s="3046" t="s">
        <v>2630</v>
      </c>
      <c r="B15" s="3047" t="s">
        <v>2610</v>
      </c>
      <c r="C15" s="3048" t="str">
        <f>C3</f>
        <v>估价对象周边居住用地比例、居住小区规模和社区发展完善程度，综合评价居住社区成熟度一般</v>
      </c>
      <c r="D15" s="3025"/>
      <c r="E15" s="3049" t="s">
        <v>2631</v>
      </c>
      <c r="F15" s="3047" t="s">
        <v>2632</v>
      </c>
      <c r="G15" s="3050" t="str">
        <f>G3</f>
        <v>估价对象位于XX开发区，园区建设成熟度XX，产业集聚程度XX</v>
      </c>
      <c r="H15" s="3043"/>
      <c r="I15" s="3044"/>
      <c r="J15" s="3043"/>
      <c r="K15" s="3043"/>
      <c r="L15" s="3044"/>
      <c r="M15" s="3043"/>
      <c r="N15" s="3043"/>
      <c r="O15" s="3044"/>
      <c r="P15" s="3043"/>
      <c r="Q15" s="3043"/>
      <c r="R15" s="3045"/>
      <c r="S15" s="3021"/>
      <c r="T15" s="3021"/>
      <c r="U15" s="3021"/>
      <c r="V15" s="3021"/>
      <c r="W15" s="3021"/>
      <c r="X15" s="3021"/>
      <c r="Y15" s="3021"/>
      <c r="Z15" s="3021"/>
      <c r="AA15" s="3021"/>
      <c r="AB15" s="3021"/>
      <c r="AC15" s="3021"/>
    </row>
    <row r="16" spans="1:29" s="2552" customFormat="1" ht="38.25">
      <c r="A16" s="3051"/>
      <c r="B16" s="2492" t="s">
        <v>2614</v>
      </c>
      <c r="C16" s="3052" t="str">
        <f>C4</f>
        <v>估价对象位于朝阳区朝外商圈，周边有悠唐购物中心、丰联广场、侨福芳草地等商业为主，商业繁华度较好。</v>
      </c>
      <c r="D16" s="3025"/>
      <c r="E16" s="3053"/>
      <c r="F16" s="3011" t="s">
        <v>2615</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1"/>
      <c r="T16" s="3021"/>
      <c r="U16" s="3021"/>
      <c r="V16" s="3021"/>
      <c r="W16" s="3021"/>
      <c r="X16" s="3021"/>
      <c r="Y16" s="3021"/>
      <c r="Z16" s="3021"/>
      <c r="AA16" s="3021"/>
      <c r="AB16" s="3021"/>
      <c r="AC16" s="3021"/>
    </row>
    <row r="17" spans="1:29" s="2552" customFormat="1" ht="25.5">
      <c r="A17" s="3051"/>
      <c r="B17" s="2492" t="s">
        <v>2617</v>
      </c>
      <c r="C17" s="3052" t="str">
        <f>C5</f>
        <v>估价对象位于XX商圈，周边办公楼项目较多，入驻率高，办公集聚程度较好</v>
      </c>
      <c r="D17" s="2900"/>
      <c r="E17" s="3053"/>
      <c r="F17" s="3323" t="s">
        <v>3027</v>
      </c>
      <c r="G17" s="3055"/>
      <c r="H17" s="3043"/>
      <c r="I17" s="3044"/>
      <c r="J17" s="3043"/>
      <c r="K17" s="3043"/>
      <c r="L17" s="3044"/>
      <c r="M17" s="3043"/>
      <c r="N17" s="3043"/>
      <c r="O17" s="3044"/>
      <c r="P17" s="3043"/>
      <c r="Q17" s="3043"/>
      <c r="R17" s="3045"/>
      <c r="S17" s="3021"/>
      <c r="T17" s="3021"/>
      <c r="U17" s="3021"/>
      <c r="V17" s="3021"/>
      <c r="W17" s="3021"/>
      <c r="X17" s="3021"/>
      <c r="Y17" s="3021"/>
      <c r="Z17" s="3021"/>
      <c r="AA17" s="3021"/>
      <c r="AB17" s="3021"/>
      <c r="AC17" s="3021"/>
    </row>
    <row r="18" spans="1:29" s="2552" customFormat="1" ht="63.75">
      <c r="A18" s="3051"/>
      <c r="B18" s="3011" t="s">
        <v>2621</v>
      </c>
      <c r="C18" s="3054" t="str">
        <f>C6</f>
        <v>估价对象距离地铁2号线朝阳门站约900米、距离地铁6号线东大桥站约900米，周边有75路、101路、109路、110路、139路、615路等公交通过并设站，综合评价交通便捷度较好。</v>
      </c>
      <c r="D18" s="2900"/>
      <c r="E18" s="3053"/>
      <c r="F18" s="3011" t="s">
        <v>2624</v>
      </c>
      <c r="G18" s="3054" t="str">
        <f>G7</f>
        <v>该园区内是否有污染型企业，绿化情况，卫生条件，整体环境状况判断</v>
      </c>
      <c r="H18" s="3043"/>
      <c r="I18" s="3044"/>
      <c r="J18" s="3043"/>
      <c r="K18" s="3043"/>
      <c r="L18" s="3044"/>
      <c r="M18" s="3043"/>
      <c r="N18" s="3043"/>
      <c r="O18" s="3044"/>
      <c r="P18" s="3043"/>
      <c r="Q18" s="3043"/>
      <c r="R18" s="3045"/>
      <c r="S18" s="3021"/>
      <c r="T18" s="3021"/>
      <c r="U18" s="3021"/>
      <c r="V18" s="3021"/>
      <c r="W18" s="3021"/>
      <c r="X18" s="3021"/>
      <c r="Y18" s="3021"/>
      <c r="Z18" s="3021"/>
      <c r="AA18" s="3021"/>
      <c r="AB18" s="3021"/>
      <c r="AC18" s="3021"/>
    </row>
    <row r="19" spans="1:29" s="2552" customFormat="1" ht="12.75">
      <c r="A19" s="3051"/>
      <c r="B19" s="3323" t="s">
        <v>3026</v>
      </c>
      <c r="C19" s="3055"/>
      <c r="D19" s="3025"/>
      <c r="E19" s="3053"/>
      <c r="F19" s="3010" t="s">
        <v>2619</v>
      </c>
      <c r="G19" s="3054" t="str">
        <f>G5</f>
        <v>估价对象所在区域公共配套设施齐备情况</v>
      </c>
      <c r="H19" s="3043"/>
      <c r="I19" s="3044"/>
      <c r="J19" s="3043"/>
      <c r="K19" s="3043"/>
      <c r="L19" s="3044"/>
      <c r="M19" s="3043"/>
      <c r="N19" s="3043"/>
      <c r="O19" s="3044"/>
      <c r="P19" s="3043"/>
      <c r="Q19" s="3043"/>
      <c r="R19" s="3045"/>
      <c r="S19" s="3021"/>
      <c r="T19" s="3021"/>
      <c r="U19" s="3021"/>
      <c r="V19" s="3021"/>
      <c r="W19" s="3021"/>
      <c r="X19" s="3021"/>
      <c r="Y19" s="3021"/>
      <c r="Z19" s="3021"/>
      <c r="AA19" s="3021"/>
      <c r="AB19" s="3021"/>
      <c r="AC19" s="3021"/>
    </row>
    <row r="20" spans="1:29" s="2552" customFormat="1" ht="38.25">
      <c r="A20" s="3051"/>
      <c r="B20" s="3011" t="s">
        <v>2633</v>
      </c>
      <c r="C20" s="3052" t="str">
        <f>C9</f>
        <v>周边有日坛公园、北京工人体育场、北京工体富国海底世界等自然人文环境，综合评价环境状况较好</v>
      </c>
      <c r="D20" s="2900"/>
      <c r="E20" s="3053"/>
      <c r="F20" s="3010" t="s">
        <v>2622</v>
      </c>
      <c r="G20" s="3054" t="str">
        <f>G6</f>
        <v>估价对象所在区域基础设施水平</v>
      </c>
      <c r="H20" s="3043"/>
      <c r="I20" s="3044"/>
      <c r="J20" s="3043"/>
      <c r="K20" s="3043"/>
      <c r="L20" s="3044"/>
      <c r="M20" s="3043"/>
      <c r="N20" s="3043"/>
      <c r="O20" s="3044"/>
      <c r="P20" s="3043"/>
      <c r="Q20" s="3043"/>
      <c r="R20" s="3045"/>
      <c r="S20" s="3021"/>
      <c r="T20" s="3021"/>
      <c r="U20" s="3021"/>
      <c r="V20" s="3021"/>
      <c r="W20" s="3021"/>
      <c r="X20" s="3021"/>
      <c r="Y20" s="3021"/>
      <c r="Z20" s="3021"/>
      <c r="AA20" s="3021"/>
      <c r="AB20" s="3021"/>
      <c r="AC20" s="3021"/>
    </row>
    <row r="21" spans="1:29" s="2552" customFormat="1" ht="114.75">
      <c r="A21" s="3051"/>
      <c r="B21" s="3010" t="s">
        <v>2619</v>
      </c>
      <c r="C21" s="3054" t="str">
        <f>C7</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D21" s="3025"/>
      <c r="E21" s="3053"/>
      <c r="F21" s="3011" t="s">
        <v>2634</v>
      </c>
      <c r="G21" s="3056"/>
      <c r="H21" s="3043"/>
      <c r="I21" s="3044"/>
      <c r="J21" s="3043"/>
      <c r="K21" s="3043"/>
      <c r="L21" s="3044"/>
      <c r="M21" s="3043"/>
      <c r="N21" s="3043"/>
      <c r="O21" s="3044"/>
      <c r="P21" s="3043"/>
      <c r="Q21" s="3043"/>
      <c r="R21" s="3045"/>
      <c r="S21" s="3021"/>
      <c r="T21" s="3021"/>
      <c r="U21" s="3021"/>
      <c r="V21" s="3021"/>
      <c r="W21" s="3021"/>
      <c r="X21" s="3021"/>
      <c r="Y21" s="3021"/>
      <c r="Z21" s="3021"/>
      <c r="AA21" s="3021"/>
      <c r="AB21" s="3021"/>
      <c r="AC21" s="3021"/>
    </row>
    <row r="22" spans="1:29" s="2552" customFormat="1" ht="12.75">
      <c r="A22" s="3051"/>
      <c r="B22" s="3010" t="s">
        <v>2622</v>
      </c>
      <c r="C22" s="3054" t="str">
        <f>C8</f>
        <v>估价对象所在区域基础设施水平-七通</v>
      </c>
      <c r="D22" s="3025"/>
      <c r="E22" s="3053"/>
      <c r="F22" s="3011" t="s">
        <v>2627</v>
      </c>
      <c r="G22" s="3057"/>
      <c r="H22" s="3043"/>
      <c r="I22" s="3044"/>
      <c r="J22" s="3043"/>
      <c r="K22" s="3043"/>
      <c r="L22" s="3044"/>
      <c r="M22" s="3043"/>
      <c r="N22" s="3043"/>
      <c r="O22" s="3044"/>
      <c r="P22" s="3043"/>
      <c r="Q22" s="3043"/>
      <c r="R22" s="3045"/>
      <c r="S22" s="3021"/>
      <c r="T22" s="3021"/>
      <c r="U22" s="3021"/>
      <c r="V22" s="3021"/>
      <c r="W22" s="3021"/>
      <c r="X22" s="3021"/>
      <c r="Y22" s="3021"/>
      <c r="Z22" s="3021"/>
      <c r="AA22" s="3021"/>
      <c r="AB22" s="3021"/>
      <c r="AC22" s="3021"/>
    </row>
    <row r="23" spans="1:29" s="3021" customFormat="1" ht="13.5" thickBot="1">
      <c r="A23" s="3051"/>
      <c r="B23" s="3011" t="s">
        <v>2634</v>
      </c>
      <c r="C23" s="3056"/>
      <c r="D23" s="3043"/>
      <c r="E23" s="3058"/>
      <c r="F23" s="3013" t="s">
        <v>2635</v>
      </c>
      <c r="G23" s="3059"/>
      <c r="H23" s="3043"/>
      <c r="I23" s="3044"/>
      <c r="J23" s="3043"/>
      <c r="K23" s="3043"/>
      <c r="L23" s="3044"/>
      <c r="M23" s="3043"/>
      <c r="N23" s="3043"/>
      <c r="O23" s="3044"/>
      <c r="P23" s="3043"/>
      <c r="Q23" s="3043"/>
      <c r="R23" s="3045"/>
    </row>
    <row r="24" spans="1:29" s="3021" customFormat="1" ht="26.25" thickBot="1">
      <c r="A24" s="3060"/>
      <c r="B24" s="3013" t="s">
        <v>2636</v>
      </c>
      <c r="C24" s="3061" t="str">
        <f>C10</f>
        <v>估价对象所属项目紧邻南营房胡同，为城市次干道</v>
      </c>
      <c r="D24" s="3043"/>
      <c r="E24" s="3062"/>
      <c r="F24" s="3062"/>
      <c r="G24" s="3063"/>
      <c r="H24" s="3043"/>
      <c r="I24" s="3044"/>
      <c r="J24" s="3043"/>
      <c r="K24" s="3043"/>
      <c r="L24" s="3044"/>
      <c r="M24" s="3043"/>
      <c r="N24" s="3043"/>
      <c r="O24" s="3044"/>
      <c r="P24" s="3043"/>
      <c r="Q24" s="3043"/>
      <c r="R24" s="3045"/>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45.57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44810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118.0081</v>
      </c>
      <c r="C5" s="2499">
        <f ca="1">ROUND(B5*10000/$B$1,0)</f>
        <v>25896</v>
      </c>
      <c r="D5" s="2499" t="e">
        <f ca="1">ROUND(B5*10000/$B$2,0)</f>
        <v>#DIV/0!</v>
      </c>
      <c r="E5" s="1562"/>
      <c r="F5" s="2500"/>
      <c r="G5" s="2500"/>
    </row>
    <row r="6" spans="1:9" ht="16.5">
      <c r="A6" s="2499" t="s">
        <v>981</v>
      </c>
      <c r="B6" s="2499">
        <f ca="1">SUM(G14:G23)</f>
        <v>118.0081</v>
      </c>
      <c r="C6" s="2499">
        <f t="shared" ref="C6:C8" ca="1" si="0">ROUND(B6*10000/$B$1,0)</f>
        <v>25896</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3028</v>
      </c>
      <c r="B14" s="2835">
        <f>项目基本情况!C12</f>
        <v>45.57</v>
      </c>
      <c r="C14" s="2835">
        <f>项目基本情况!C13</f>
        <v>0</v>
      </c>
      <c r="D14" s="2835">
        <f ca="1">IF('数据-取费表'!B3="万元",IF(A14="估价对象1（结果表）",结果表!H121,'结果表 (1修多)'!H125),IF(A14="估价对象1（结果表）",结果表!H121,'结果表 (1修多)'!H125)/10000)</f>
        <v>118.0081</v>
      </c>
      <c r="E14" s="2835">
        <f ca="1">ROUND(D14*10000/B14,0)</f>
        <v>25896</v>
      </c>
      <c r="F14" s="2835" t="e">
        <f ca="1">ROUND(D14*10000/C14,0)</f>
        <v>#DIV/0!</v>
      </c>
      <c r="G14" s="2835">
        <f ca="1">IF('数据-取费表'!B3="万元",IF(A14="估价对象1（结果表）",结果表!D125,'结果表 (1修多)'!D129),IF(A14="估价对象1（结果表）",结果表!D125,'结果表 (1修多)'!D129)/10000)</f>
        <v>118.0081</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10" zoomScaleNormal="100" zoomScaleSheetLayoutView="100" zoomScalePageLayoutView="80" workbookViewId="0">
      <selection activeCell="C17" sqref="C17"/>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2" t="str">
        <f>项目基本情况!B1</f>
        <v>北京市预评估</v>
      </c>
      <c r="B2" s="3502"/>
      <c r="C2" s="3502"/>
      <c r="D2" s="3502"/>
      <c r="E2" s="3502"/>
      <c r="F2" s="3502"/>
      <c r="G2" s="3502"/>
      <c r="H2" s="3502"/>
      <c r="I2" s="3502"/>
      <c r="J2" s="2762"/>
    </row>
    <row r="3" spans="1:15" ht="12.75">
      <c r="A3" s="3507" t="s">
        <v>1471</v>
      </c>
      <c r="B3" s="3508"/>
      <c r="C3" s="3508"/>
      <c r="D3" s="3508"/>
      <c r="E3" s="3508"/>
      <c r="F3" s="3508"/>
      <c r="G3" s="3508"/>
      <c r="H3" s="3508"/>
      <c r="I3" s="3508"/>
      <c r="J3" s="2763"/>
    </row>
    <row r="4" spans="1:15" ht="14.25">
      <c r="A4" s="2631" t="s">
        <v>1472</v>
      </c>
      <c r="B4" s="2631" t="s">
        <v>1473</v>
      </c>
      <c r="C4" s="2632" t="s">
        <v>3038</v>
      </c>
      <c r="D4" s="2632" t="s">
        <v>3039</v>
      </c>
      <c r="E4" s="3504" t="s">
        <v>1474</v>
      </c>
      <c r="F4" s="3492"/>
      <c r="G4" s="3492"/>
      <c r="H4" s="3492"/>
      <c r="I4" s="3493"/>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503" t="s">
        <v>1475</v>
      </c>
      <c r="B5" s="3503">
        <v>25</v>
      </c>
      <c r="C5" s="3509"/>
      <c r="D5" s="3506"/>
      <c r="E5" s="12" t="s">
        <v>1476</v>
      </c>
      <c r="F5" s="2017"/>
      <c r="G5" s="2017"/>
      <c r="H5" s="2017"/>
      <c r="I5" s="2012"/>
      <c r="J5" s="2764"/>
    </row>
    <row r="6" spans="1:15" ht="12.75">
      <c r="A6" s="3503"/>
      <c r="B6" s="3503"/>
      <c r="C6" s="3510"/>
      <c r="D6" s="3506"/>
      <c r="E6" s="12" t="s">
        <v>1477</v>
      </c>
      <c r="F6" s="2017"/>
      <c r="G6" s="2017"/>
      <c r="H6" s="2017"/>
      <c r="I6" s="2012"/>
      <c r="J6" s="2764"/>
    </row>
    <row r="7" spans="1:15" ht="12.75">
      <c r="A7" s="3503"/>
      <c r="B7" s="3503"/>
      <c r="C7" s="3511"/>
      <c r="D7" s="3506"/>
      <c r="E7" s="12" t="s">
        <v>1478</v>
      </c>
      <c r="F7" s="2017"/>
      <c r="G7" s="2017"/>
      <c r="H7" s="2017"/>
      <c r="I7" s="2012"/>
      <c r="J7" s="2764"/>
    </row>
    <row r="8" spans="1:15" ht="12.75">
      <c r="A8" s="3503" t="s">
        <v>1479</v>
      </c>
      <c r="B8" s="3503">
        <v>15</v>
      </c>
      <c r="C8" s="3509"/>
      <c r="D8" s="3506"/>
      <c r="E8" s="12" t="s">
        <v>1480</v>
      </c>
      <c r="F8" s="2017"/>
      <c r="G8" s="2017"/>
      <c r="H8" s="2017"/>
      <c r="I8" s="2012"/>
      <c r="J8" s="2764"/>
    </row>
    <row r="9" spans="1:15" ht="12.75">
      <c r="A9" s="3503"/>
      <c r="B9" s="3503"/>
      <c r="C9" s="3511"/>
      <c r="D9" s="3506"/>
      <c r="E9" s="12" t="s">
        <v>1481</v>
      </c>
      <c r="F9" s="2017"/>
      <c r="G9" s="2017"/>
      <c r="H9" s="2017"/>
      <c r="I9" s="2012"/>
      <c r="J9" s="2764"/>
    </row>
    <row r="10" spans="1:15" ht="12.75">
      <c r="A10" s="3503" t="s">
        <v>1482</v>
      </c>
      <c r="B10" s="3503">
        <v>15</v>
      </c>
      <c r="C10" s="3509"/>
      <c r="D10" s="3506"/>
      <c r="E10" s="12" t="s">
        <v>1483</v>
      </c>
      <c r="F10" s="2017"/>
      <c r="G10" s="2017"/>
      <c r="H10" s="2017"/>
      <c r="I10" s="2012"/>
      <c r="J10" s="2764"/>
    </row>
    <row r="11" spans="1:15" ht="12.75">
      <c r="A11" s="3503"/>
      <c r="B11" s="3503"/>
      <c r="C11" s="3511"/>
      <c r="D11" s="3506"/>
      <c r="E11" s="12" t="s">
        <v>1484</v>
      </c>
      <c r="F11" s="2017"/>
      <c r="G11" s="2017"/>
      <c r="H11" s="2017"/>
      <c r="I11" s="2012"/>
      <c r="J11" s="2764"/>
    </row>
    <row r="12" spans="1:15" ht="12.75">
      <c r="A12" s="3503" t="s">
        <v>1485</v>
      </c>
      <c r="B12" s="3503">
        <v>15</v>
      </c>
      <c r="C12" s="3509"/>
      <c r="D12" s="3506"/>
      <c r="E12" s="12" t="s">
        <v>1486</v>
      </c>
      <c r="F12" s="2017"/>
      <c r="G12" s="2017"/>
      <c r="H12" s="2017"/>
      <c r="I12" s="2012"/>
      <c r="J12" s="2764"/>
    </row>
    <row r="13" spans="1:15" ht="12.75">
      <c r="A13" s="3503"/>
      <c r="B13" s="3503"/>
      <c r="C13" s="3511"/>
      <c r="D13" s="3506"/>
      <c r="E13" s="12" t="s">
        <v>1487</v>
      </c>
      <c r="F13" s="2017"/>
      <c r="G13" s="2017"/>
      <c r="H13" s="2017"/>
      <c r="I13" s="2012"/>
      <c r="J13" s="2764"/>
    </row>
    <row r="14" spans="1:15" ht="12.75">
      <c r="A14" s="3503" t="s">
        <v>1488</v>
      </c>
      <c r="B14" s="3503">
        <v>30</v>
      </c>
      <c r="C14" s="3509">
        <v>3</v>
      </c>
      <c r="D14" s="3506">
        <f>10-C14</f>
        <v>7</v>
      </c>
      <c r="E14" s="12" t="s">
        <v>1489</v>
      </c>
      <c r="F14" s="2017"/>
      <c r="G14" s="2017"/>
      <c r="H14" s="2017"/>
      <c r="I14" s="2012"/>
      <c r="J14" s="2764"/>
    </row>
    <row r="15" spans="1:15" ht="12.75">
      <c r="A15" s="3503"/>
      <c r="B15" s="3503"/>
      <c r="C15" s="3510"/>
      <c r="D15" s="3506"/>
      <c r="E15" s="12" t="s">
        <v>1490</v>
      </c>
      <c r="F15" s="2017"/>
      <c r="G15" s="2017"/>
      <c r="H15" s="2017"/>
      <c r="I15" s="2012"/>
      <c r="J15" s="2764"/>
    </row>
    <row r="16" spans="1:15" ht="12.75">
      <c r="A16" s="3503"/>
      <c r="B16" s="3503"/>
      <c r="C16" s="3511"/>
      <c r="D16" s="3506"/>
      <c r="E16" s="12" t="s">
        <v>1491</v>
      </c>
      <c r="F16" s="2017"/>
      <c r="G16" s="2017"/>
      <c r="H16" s="2017"/>
      <c r="I16" s="2012"/>
      <c r="J16" s="2764"/>
    </row>
    <row r="17" spans="1:36" ht="15">
      <c r="A17" s="2633" t="s">
        <v>1492</v>
      </c>
      <c r="B17" s="2022"/>
      <c r="C17" s="2634">
        <f>SUM(C5:C16)</f>
        <v>3</v>
      </c>
      <c r="D17" s="2634">
        <f>SUM(D5:D16)</f>
        <v>7</v>
      </c>
      <c r="E17" s="2481"/>
      <c r="F17" s="2481"/>
      <c r="G17" s="2481"/>
      <c r="H17" s="2481"/>
      <c r="I17" s="2481"/>
      <c r="J17" s="2765"/>
    </row>
    <row r="18" spans="1:36" ht="30" customHeight="1" thickBot="1">
      <c r="A18" s="2635" t="s">
        <v>1493</v>
      </c>
      <c r="B18" s="2636"/>
      <c r="C18" s="2637">
        <f>ROUND(C17/SUM(C17:D17),2)</f>
        <v>0.3</v>
      </c>
      <c r="D18" s="2637">
        <f>1-C18</f>
        <v>0.7</v>
      </c>
      <c r="E18" s="3523" t="s">
        <v>2576</v>
      </c>
      <c r="F18" s="3524"/>
      <c r="G18" s="3524"/>
      <c r="H18" s="3524"/>
      <c r="I18" s="3524"/>
      <c r="J18" s="2765"/>
    </row>
    <row r="19" spans="1:36" ht="15">
      <c r="A19" s="2638" t="s">
        <v>1494</v>
      </c>
      <c r="B19" s="2639" t="s">
        <v>1495</v>
      </c>
      <c r="C19" s="2640">
        <f ca="1">SUMIF(INDIRECT("'"&amp;C4&amp;"'"&amp;"!A:A"),结果表!B19,INDIRECT("'"&amp;C4&amp;"'"&amp;"!B:B"))</f>
        <v>2549671</v>
      </c>
      <c r="D19" s="2641">
        <f ca="1">SUMIF(INDIRECT("'"&amp;D4&amp;"'"&amp;"!A:A"),结果表!B19,INDIRECT("'"&amp;D4&amp;"'"&amp;"!B:B"))</f>
        <v>593111</v>
      </c>
      <c r="E19" s="2638" t="s">
        <v>1496</v>
      </c>
      <c r="F19" s="2639" t="s">
        <v>1495</v>
      </c>
      <c r="G19" s="2642">
        <f ca="1">ROUND(C19*$C$18+D19*$D$18,0)</f>
        <v>1180079</v>
      </c>
      <c r="H19" s="2643" t="str">
        <f>'数据-取费表'!B3</f>
        <v>元</v>
      </c>
      <c r="I19" s="2691"/>
      <c r="J19" s="2766"/>
    </row>
    <row r="20" spans="1:36" ht="15">
      <c r="A20" s="2644"/>
      <c r="B20" s="1622" t="s">
        <v>1497</v>
      </c>
      <c r="C20" s="1847">
        <f ca="1">SUMIF(INDIRECT("'"&amp;C4&amp;"'"&amp;"!A:A"),结果表!B20,INDIRECT("'"&amp;C4&amp;"'"&amp;"!B:B"))</f>
        <v>55951</v>
      </c>
      <c r="D20" s="1850">
        <f ca="1">SUMIF(INDIRECT("'"&amp;D4&amp;"'"&amp;"!A:A"),结果表!B20,INDIRECT("'"&amp;D4&amp;"'"&amp;"!B:B"))</f>
        <v>13015</v>
      </c>
      <c r="E20" s="2644"/>
      <c r="F20" s="1622" t="s">
        <v>1497</v>
      </c>
      <c r="G20" s="2021">
        <f ca="1">ROUND(C20*$C$18+D20*$D$18,0)</f>
        <v>25896</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3.2988091605112704</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12" t="s">
        <v>1500</v>
      </c>
      <c r="B24" s="2639" t="s">
        <v>1495</v>
      </c>
      <c r="C24" s="2642">
        <f>D30</f>
        <v>0</v>
      </c>
      <c r="D24" s="2594"/>
      <c r="E24" s="905"/>
      <c r="F24" s="905"/>
      <c r="G24" s="905"/>
      <c r="H24" s="905"/>
      <c r="I24" s="905"/>
      <c r="J24" s="2765"/>
    </row>
    <row r="25" spans="1:36" ht="21.75" customHeight="1">
      <c r="A25" s="351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25896</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18749</v>
      </c>
      <c r="D34" s="2668">
        <f ca="1">IF(D33="自定义",ROUND(C34/C32,3),1-D35)</f>
        <v>0.72399999999999998</v>
      </c>
      <c r="E34" s="1363" t="s">
        <v>1510</v>
      </c>
      <c r="F34" s="2669">
        <v>2000</v>
      </c>
      <c r="G34" s="905"/>
      <c r="H34" s="905"/>
      <c r="I34" s="905"/>
      <c r="J34" s="2765"/>
    </row>
    <row r="35" spans="1:17" ht="15.75" thickBot="1">
      <c r="A35" s="1395"/>
      <c r="B35" s="2670" t="s">
        <v>1511</v>
      </c>
      <c r="C35" s="2671">
        <f ca="1">IF(D33="自定义",F35,ROUND(C32*D35,0))</f>
        <v>7147</v>
      </c>
      <c r="D35" s="2672">
        <f ca="1">IF(D33="自定义",ROUND(C35/C32,3),IF(D33="成本法成本比率",成本法!C56,IF(D33="收益法收益比率",收益法!J38,收益法!J41)))</f>
        <v>0.27600000000000002</v>
      </c>
      <c r="E35" s="2673" t="s">
        <v>1512</v>
      </c>
      <c r="F35" s="2674">
        <v>4460</v>
      </c>
      <c r="G35" s="905"/>
      <c r="H35" s="905"/>
      <c r="I35" s="905"/>
      <c r="J35" s="2765"/>
    </row>
    <row r="36" spans="1:17" ht="15.75" thickBot="1">
      <c r="A36" s="3512" t="s">
        <v>1513</v>
      </c>
      <c r="B36" s="1396" t="s">
        <v>1514</v>
      </c>
      <c r="C36" s="2675">
        <v>0</v>
      </c>
      <c r="D36" s="2676"/>
      <c r="E36" s="1608"/>
      <c r="F36" s="1608"/>
      <c r="G36" s="905"/>
      <c r="H36" s="905"/>
      <c r="I36" s="905"/>
      <c r="J36" s="2765"/>
    </row>
    <row r="37" spans="1:17" ht="15.75" thickBot="1">
      <c r="A37" s="3517"/>
      <c r="B37" s="2022" t="s">
        <v>1515</v>
      </c>
      <c r="C37" s="2677">
        <v>0</v>
      </c>
      <c r="D37" s="1239"/>
      <c r="E37" s="1239"/>
      <c r="F37" s="1608"/>
      <c r="G37" s="1239"/>
      <c r="H37" s="1239"/>
      <c r="I37" s="1239"/>
      <c r="J37" s="2769"/>
    </row>
    <row r="38" spans="1:17" ht="15.75" thickBot="1">
      <c r="A38" s="3518"/>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37" t="s">
        <v>1524</v>
      </c>
      <c r="B45" s="3438"/>
      <c r="C45" s="3448"/>
      <c r="D45" s="246">
        <f ca="1">ROUND(I102*F45,0)</f>
        <v>1180081</v>
      </c>
      <c r="E45" s="1470" t="s">
        <v>1525</v>
      </c>
      <c r="F45" s="2479">
        <v>1</v>
      </c>
      <c r="G45" s="2480" t="s">
        <v>1526</v>
      </c>
      <c r="H45" s="905"/>
      <c r="I45" s="905"/>
      <c r="J45" s="2765"/>
      <c r="K45" s="3443" t="s">
        <v>2505</v>
      </c>
      <c r="L45" s="3443"/>
      <c r="M45" s="3443"/>
      <c r="N45" s="3443"/>
      <c r="O45" s="3443"/>
      <c r="P45" s="3443"/>
      <c r="Q45" s="1236"/>
    </row>
    <row r="46" spans="1:17" ht="14.25" customHeight="1">
      <c r="A46" s="3514" t="s">
        <v>1528</v>
      </c>
      <c r="B46" s="3515"/>
      <c r="C46" s="3515"/>
      <c r="D46" s="3515"/>
      <c r="E46" s="3515"/>
      <c r="F46" s="3515"/>
      <c r="G46" s="3516"/>
      <c r="H46" s="2897"/>
      <c r="I46" s="905"/>
      <c r="J46" s="2765"/>
      <c r="K46" s="2454">
        <v>1</v>
      </c>
      <c r="L46" s="3444" t="s">
        <v>2506</v>
      </c>
      <c r="M46" s="3444"/>
      <c r="N46" s="3445" t="str">
        <f>项目基本情况!B1</f>
        <v>北京市预评估</v>
      </c>
      <c r="O46" s="3445"/>
      <c r="P46" s="3445"/>
      <c r="Q46" s="1236"/>
    </row>
    <row r="47" spans="1:17" ht="12" customHeight="1">
      <c r="A47" s="38" t="s">
        <v>1530</v>
      </c>
      <c r="B47" s="39"/>
      <c r="C47" s="40"/>
      <c r="D47" s="1028" t="s">
        <v>1531</v>
      </c>
      <c r="E47" s="235" t="s">
        <v>1532</v>
      </c>
      <c r="F47" s="41" t="s">
        <v>1533</v>
      </c>
      <c r="G47" s="2482" t="s">
        <v>1534</v>
      </c>
      <c r="H47" s="2897"/>
      <c r="I47" s="905"/>
      <c r="J47" s="2765"/>
      <c r="K47" s="2454">
        <v>2</v>
      </c>
      <c r="L47" s="3444" t="s">
        <v>2507</v>
      </c>
      <c r="M47" s="3444"/>
      <c r="N47" s="3446">
        <f>'数据-取费表'!B2</f>
        <v>44810</v>
      </c>
      <c r="O47" s="3446"/>
      <c r="P47" s="3446"/>
      <c r="Q47" s="1236"/>
    </row>
    <row r="48" spans="1:17" ht="25.5">
      <c r="A48" s="3519" t="s">
        <v>1536</v>
      </c>
      <c r="B48" s="3453"/>
      <c r="C48" s="3453"/>
      <c r="D48" s="12">
        <f ca="1">IF(H48="情况1",0,IF(H48="情况2",D52,IF(H48="情况3",D53,IF(H48="情况4",D54))))</f>
        <v>62938</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444" t="s">
        <v>2508</v>
      </c>
      <c r="M48" s="3444"/>
      <c r="N48" s="3445">
        <f ca="1">I102</f>
        <v>1180081</v>
      </c>
      <c r="O48" s="3445"/>
      <c r="P48" s="3445"/>
      <c r="Q48" s="1236"/>
    </row>
    <row r="49" spans="1:17" ht="25.5" customHeight="1">
      <c r="A49" s="2019" t="s">
        <v>1540</v>
      </c>
      <c r="B49" s="3492" t="s">
        <v>1541</v>
      </c>
      <c r="C49" s="3492"/>
      <c r="D49" s="2486">
        <v>0</v>
      </c>
      <c r="E49" s="261" t="s">
        <v>1542</v>
      </c>
      <c r="F49" s="2487" t="s">
        <v>48</v>
      </c>
      <c r="G49" s="3434"/>
      <c r="H49" s="2488" t="s">
        <v>2582</v>
      </c>
      <c r="I49" s="2489"/>
      <c r="J49" s="2773"/>
      <c r="K49" s="2454">
        <v>4</v>
      </c>
      <c r="L49" s="3444" t="str">
        <f>IF(项目基本情况!F5="房地产抵押价值","房地产抵押价值","抵押担保权已注销时的房地产抵押价值")</f>
        <v>抵押担保权已注销时的房地产抵押价值</v>
      </c>
      <c r="M49" s="3444"/>
      <c r="N49" s="3445" t="str">
        <f>IF(项目基本情况!F5="房地产抵押价值",I110,I112)</f>
        <v>——</v>
      </c>
      <c r="O49" s="3445"/>
      <c r="P49" s="3445"/>
      <c r="Q49" s="1236"/>
    </row>
    <row r="50" spans="1:17" ht="25.5" customHeight="1">
      <c r="A50" s="2009"/>
      <c r="B50" s="3492" t="s">
        <v>1543</v>
      </c>
      <c r="C50" s="3492"/>
      <c r="D50" s="2490"/>
      <c r="E50" s="269"/>
      <c r="F50" s="2487"/>
      <c r="G50" s="3435"/>
      <c r="H50" s="2491" t="s">
        <v>2501</v>
      </c>
      <c r="I50" s="2489"/>
      <c r="J50" s="2773"/>
      <c r="K50" s="3444" t="s">
        <v>2509</v>
      </c>
      <c r="L50" s="3444"/>
      <c r="M50" s="3444"/>
      <c r="N50" s="3444"/>
      <c r="O50" s="3444"/>
      <c r="P50" s="3444"/>
      <c r="Q50" s="1236"/>
    </row>
    <row r="51" spans="1:17" ht="20.45" customHeight="1">
      <c r="A51" s="2492"/>
      <c r="B51" s="3492" t="s">
        <v>1545</v>
      </c>
      <c r="C51" s="3492"/>
      <c r="D51" s="1028"/>
      <c r="E51" s="264"/>
      <c r="F51" s="2487"/>
      <c r="G51" s="3436"/>
      <c r="H51" s="2491" t="s">
        <v>2502</v>
      </c>
      <c r="I51" s="2489"/>
      <c r="J51" s="2773"/>
      <c r="K51" s="2455" t="s">
        <v>2510</v>
      </c>
      <c r="L51" s="3444" t="s">
        <v>2511</v>
      </c>
      <c r="M51" s="3444"/>
      <c r="N51" s="2455" t="s">
        <v>2512</v>
      </c>
      <c r="O51" s="2455" t="s">
        <v>2513</v>
      </c>
      <c r="P51" s="2455" t="s">
        <v>2514</v>
      </c>
      <c r="Q51" s="1236"/>
    </row>
    <row r="52" spans="1:17" ht="24" customHeight="1">
      <c r="A52" s="2010" t="s">
        <v>1551</v>
      </c>
      <c r="B52" s="3492" t="s">
        <v>1552</v>
      </c>
      <c r="C52" s="3492"/>
      <c r="D52" s="1028">
        <f ca="1">ROUND(D45*'数据-取费表'!E29/(1+'数据-取费表'!F30),0)</f>
        <v>62938</v>
      </c>
      <c r="E52" s="2020" t="s">
        <v>1553</v>
      </c>
      <c r="F52" s="2493">
        <f>'数据-取费表'!E29</f>
        <v>5.6000000000000001E-2</v>
      </c>
      <c r="G52" s="2494"/>
      <c r="H52" s="905"/>
      <c r="I52" s="2898"/>
      <c r="J52" s="2773"/>
      <c r="K52" s="2454">
        <v>1</v>
      </c>
      <c r="L52" s="3433" t="s">
        <v>2515</v>
      </c>
      <c r="M52" s="3433"/>
      <c r="N52" s="2456">
        <f ca="1">D48</f>
        <v>62938</v>
      </c>
      <c r="O52" s="2454" t="str">
        <f>E48</f>
        <v>销售额×税（费）率</v>
      </c>
      <c r="P52" s="2457">
        <f>F48</f>
        <v>5.6000000000000001E-2</v>
      </c>
      <c r="Q52" s="1236"/>
    </row>
    <row r="53" spans="1:17" ht="12" customHeight="1">
      <c r="A53" s="2010" t="s">
        <v>1555</v>
      </c>
      <c r="B53" s="3504" t="s">
        <v>2593</v>
      </c>
      <c r="C53" s="3493"/>
      <c r="D53" s="1028">
        <f ca="1">ROUND(D45*'数据-取费表'!E29/(1+'数据-取费表'!F30),0)</f>
        <v>62938</v>
      </c>
      <c r="E53" s="2020" t="s">
        <v>1553</v>
      </c>
      <c r="F53" s="2493">
        <f>'数据-取费表'!E29</f>
        <v>5.6000000000000001E-2</v>
      </c>
      <c r="G53" s="2494"/>
      <c r="H53" s="905"/>
      <c r="I53" s="2898"/>
      <c r="J53" s="2773"/>
      <c r="K53" s="2454">
        <v>2</v>
      </c>
      <c r="L53" s="3433" t="s">
        <v>2516</v>
      </c>
      <c r="M53" s="3433"/>
      <c r="N53" s="2456">
        <f t="shared" ref="N53:P54" si="1">D55</f>
        <v>0</v>
      </c>
      <c r="O53" s="2454" t="str">
        <f t="shared" si="1"/>
        <v>销售额×税（费）率</v>
      </c>
      <c r="P53" s="2457" t="str">
        <f t="shared" si="1"/>
        <v>免征</v>
      </c>
      <c r="Q53" s="1236"/>
    </row>
    <row r="54" spans="1:17" ht="12" customHeight="1">
      <c r="A54" s="2010" t="s">
        <v>1557</v>
      </c>
      <c r="B54" s="3504" t="s">
        <v>2594</v>
      </c>
      <c r="C54" s="3493"/>
      <c r="D54" s="1028">
        <f ca="1">C68</f>
        <v>62938</v>
      </c>
      <c r="E54" s="264" t="s">
        <v>1558</v>
      </c>
      <c r="F54" s="2493">
        <f>'数据-取费表'!E29</f>
        <v>5.6000000000000001E-2</v>
      </c>
      <c r="G54" s="2494"/>
      <c r="H54" s="2899"/>
      <c r="I54" s="2898"/>
      <c r="J54" s="2773"/>
      <c r="K54" s="2454">
        <v>3</v>
      </c>
      <c r="L54" s="3433" t="s">
        <v>2517</v>
      </c>
      <c r="M54" s="3433"/>
      <c r="N54" s="2456">
        <f t="shared" si="1"/>
        <v>0</v>
      </c>
      <c r="O54" s="2454" t="str">
        <f t="shared" si="1"/>
        <v>增值额×税（费）率</v>
      </c>
      <c r="P54" s="2458" t="str">
        <f t="shared" si="1"/>
        <v>免征</v>
      </c>
      <c r="Q54" s="1236"/>
    </row>
    <row r="55" spans="1:17" ht="24" customHeight="1">
      <c r="A55" s="3457" t="s">
        <v>1560</v>
      </c>
      <c r="B55" s="3453"/>
      <c r="C55" s="3453"/>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33" t="str">
        <f>IF(H59="非个人房产","——","个人所得税")</f>
        <v>——</v>
      </c>
      <c r="M55" s="3433"/>
      <c r="N55" s="2459" t="str">
        <f>D59</f>
        <v>——</v>
      </c>
      <c r="O55" s="2460" t="str">
        <f>E59</f>
        <v>——</v>
      </c>
      <c r="P55" s="2461" t="str">
        <f>F59</f>
        <v>——</v>
      </c>
      <c r="Q55" s="1236"/>
    </row>
    <row r="56" spans="1:17" ht="24.75">
      <c r="A56" s="3457" t="s">
        <v>1563</v>
      </c>
      <c r="B56" s="3453"/>
      <c r="C56" s="3453"/>
      <c r="D56" s="12">
        <f>IF(H56="个人住宅",D57,D58)</f>
        <v>0</v>
      </c>
      <c r="E56" s="2020" t="s">
        <v>1564</v>
      </c>
      <c r="F56" s="2493" t="str">
        <f>IF(H56="正常",F58,"免征")</f>
        <v>免征</v>
      </c>
      <c r="G56" s="2495" t="s">
        <v>1565</v>
      </c>
      <c r="H56" s="2496" t="s">
        <v>2498</v>
      </c>
      <c r="I56" s="2900"/>
      <c r="J56" s="2773"/>
      <c r="K56" s="2454" t="str">
        <f>IF(项目基本情况!I6="上海银行",IF(K55="",4,K55+1),"")</f>
        <v/>
      </c>
      <c r="L56" s="3431" t="str">
        <f>IF(项目基本情况!I6="上海银行","其他处置费用","")</f>
        <v/>
      </c>
      <c r="M56" s="3451"/>
      <c r="N56" s="2456" t="str">
        <f>IF(项目基本情况!I6="上海银行",N69,"")</f>
        <v/>
      </c>
      <c r="O56" s="3431" t="str">
        <f>IF(项目基本情况!I6="上海银行","包含处置中涉及的律师、诉讼、拍卖、评估等费用","")</f>
        <v/>
      </c>
      <c r="P56" s="3432"/>
      <c r="Q56" s="1236"/>
    </row>
    <row r="57" spans="1:17" ht="12.75">
      <c r="A57" s="2010" t="s">
        <v>1540</v>
      </c>
      <c r="B57" s="3504" t="s">
        <v>1566</v>
      </c>
      <c r="C57" s="3493"/>
      <c r="D57" s="2486">
        <v>0</v>
      </c>
      <c r="E57" s="261" t="s">
        <v>1542</v>
      </c>
      <c r="F57" s="235"/>
      <c r="G57" s="2494"/>
      <c r="H57" s="2900"/>
      <c r="I57" s="2900"/>
      <c r="J57" s="2773"/>
      <c r="K57" s="3433">
        <f>IF(AND(K55="",K56=""),4,IF(项目基本情况!I6="上海银行",K56+1,K55+1))</f>
        <v>4</v>
      </c>
      <c r="L57" s="3433" t="s">
        <v>2518</v>
      </c>
      <c r="M57" s="2462" t="s">
        <v>2519</v>
      </c>
      <c r="N57" s="2463"/>
      <c r="O57" s="2464">
        <f ca="1">SUMIF(N52:N56,"&lt;9e307")</f>
        <v>62938</v>
      </c>
      <c r="P57" s="2465"/>
      <c r="Q57" s="1234" t="e">
        <f ca="1">O57/N49</f>
        <v>#VALUE!</v>
      </c>
    </row>
    <row r="58" spans="1:17" ht="24.75">
      <c r="A58" s="2010" t="s">
        <v>1551</v>
      </c>
      <c r="B58" s="3504" t="s">
        <v>1569</v>
      </c>
      <c r="C58" s="3492"/>
      <c r="D58" s="12">
        <f ca="1">IF(H58="转让取得",C81,C97)</f>
        <v>667926</v>
      </c>
      <c r="E58" s="2020" t="s">
        <v>1564</v>
      </c>
      <c r="F58" s="235" t="s">
        <v>48</v>
      </c>
      <c r="G58" s="2494"/>
      <c r="H58" s="2496" t="s">
        <v>1570</v>
      </c>
      <c r="I58" s="2900"/>
      <c r="J58" s="2773"/>
      <c r="K58" s="3433"/>
      <c r="L58" s="3433"/>
      <c r="M58" s="2462" t="s">
        <v>2520</v>
      </c>
      <c r="N58" s="2466"/>
      <c r="O58" s="2467" t="str">
        <f ca="1">IF(H19="元",NUMBERSTRING(INT(O57),2)&amp;"元整",NUMBERSTRING(INT(O57*10000),2)&amp;"元整")</f>
        <v>陆万贰仟玖佰叁拾捌元整</v>
      </c>
      <c r="P58" s="2468"/>
      <c r="Q58" s="1236"/>
    </row>
    <row r="59" spans="1:17" ht="24.75" thickBot="1">
      <c r="A59" s="3520" t="s">
        <v>1572</v>
      </c>
      <c r="B59" s="3521"/>
      <c r="C59" s="3521"/>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6">
        <f>K57+1</f>
        <v>5</v>
      </c>
      <c r="L59" s="3433"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7"/>
      <c r="L60" s="3433"/>
      <c r="M60" s="2462" t="s">
        <v>2520</v>
      </c>
      <c r="N60" s="2466"/>
      <c r="O60" s="2467" t="e">
        <f ca="1">IF(H19="元",NUMBERSTRING(INT(O59),2)&amp;"元整",NUMBERSTRING(INT(O59*10000),2)&amp;"元整")</f>
        <v>#VALUE!</v>
      </c>
      <c r="P60" s="2468"/>
      <c r="Q60" s="1236"/>
    </row>
    <row r="61" spans="1:17" ht="13.5" thickBot="1">
      <c r="A61" s="3522" t="s">
        <v>1574</v>
      </c>
      <c r="B61" s="3522"/>
      <c r="C61" s="3522"/>
      <c r="D61" s="3522"/>
      <c r="E61" s="3522"/>
      <c r="F61" s="2901"/>
      <c r="G61" s="2901"/>
      <c r="H61" s="2903"/>
      <c r="I61" s="31"/>
      <c r="K61" s="2454">
        <f>K59+1</f>
        <v>6</v>
      </c>
      <c r="L61" s="3433" t="s">
        <v>2522</v>
      </c>
      <c r="M61" s="3433"/>
      <c r="N61" s="2472"/>
      <c r="O61" s="2473" t="e">
        <f ca="1">IF(H19="元",ROUND(O59/项目基本情况!C12,0),ROUND(O59*10000/项目基本情况!C12,0))</f>
        <v>#VALUE!</v>
      </c>
      <c r="P61" s="2474"/>
      <c r="Q61" s="1236"/>
    </row>
    <row r="62" spans="1:17" ht="12.75">
      <c r="A62" s="3471" t="s">
        <v>1576</v>
      </c>
      <c r="B62" s="3472"/>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1123887</v>
      </c>
      <c r="D63" s="47"/>
      <c r="E63" s="48"/>
      <c r="F63" s="2901"/>
      <c r="G63" s="2901"/>
      <c r="H63" s="2903"/>
      <c r="I63" s="31"/>
      <c r="K63" s="3452"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1180081</v>
      </c>
      <c r="D64" s="50" t="s">
        <v>41</v>
      </c>
      <c r="E64" s="52"/>
      <c r="F64" s="2901"/>
      <c r="G64" s="2901"/>
      <c r="H64" s="2903"/>
      <c r="I64" s="31"/>
      <c r="K64" s="3452"/>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52"/>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52"/>
      <c r="L66" s="2476" t="s">
        <v>2528</v>
      </c>
      <c r="M66" s="2476" t="e">
        <f>N49*0.5%</f>
        <v>#VALUE!</v>
      </c>
      <c r="N66" s="2477" t="e">
        <f>IF(M66&gt;0.5,0.5,ROUND(M66,0))</f>
        <v>#VALUE!</v>
      </c>
      <c r="O66" s="2475" t="s">
        <v>2529</v>
      </c>
      <c r="P66" s="2475"/>
      <c r="Q66" s="1236"/>
    </row>
    <row r="67" spans="1:36" ht="12.75">
      <c r="A67" s="53" t="s">
        <v>42</v>
      </c>
      <c r="B67" s="54" t="s">
        <v>1591</v>
      </c>
      <c r="C67" s="2708">
        <f ca="1">C63-C66</f>
        <v>1123887</v>
      </c>
      <c r="D67" s="50" t="s">
        <v>41</v>
      </c>
      <c r="E67" s="52"/>
      <c r="F67" s="2901"/>
      <c r="G67" s="2901"/>
      <c r="H67" s="2903"/>
      <c r="I67" s="31"/>
      <c r="K67" s="3452"/>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62938</v>
      </c>
      <c r="D68" s="2170">
        <f>'数据-取费表'!E29</f>
        <v>5.6000000000000001E-2</v>
      </c>
      <c r="E68" s="57"/>
      <c r="F68" s="2901"/>
      <c r="G68" s="2901"/>
      <c r="H68" s="2903"/>
      <c r="I68" s="31"/>
      <c r="K68" s="3452"/>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52"/>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3" t="s">
        <v>1596</v>
      </c>
      <c r="B70" s="3474"/>
      <c r="C70" s="3474"/>
      <c r="D70" s="3474"/>
      <c r="E70" s="3474"/>
      <c r="F70" s="3474"/>
      <c r="G70" s="3474"/>
      <c r="H70" s="3474"/>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1" t="s">
        <v>1576</v>
      </c>
      <c r="B71" s="3472"/>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1123887</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6743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504" t="s">
        <v>1606</v>
      </c>
      <c r="F76" s="3492"/>
      <c r="G76" s="3492"/>
      <c r="H76" s="3505"/>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6743</v>
      </c>
      <c r="D78" s="2717">
        <f>'数据-取费表'!E31</f>
        <v>6.000000000000001E-3</v>
      </c>
      <c r="E78" s="3440" t="s">
        <v>1611</v>
      </c>
      <c r="F78" s="3441"/>
      <c r="G78" s="3441"/>
      <c r="H78" s="3461"/>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1117144</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165.67462553759455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667926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3" t="s">
        <v>1615</v>
      </c>
      <c r="B83" s="3474"/>
      <c r="C83" s="3474"/>
      <c r="D83" s="3474"/>
      <c r="E83" s="3474"/>
      <c r="F83" s="3474"/>
      <c r="G83" s="3474"/>
      <c r="H83" s="3474"/>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1" t="s">
        <v>1576</v>
      </c>
      <c r="B84" s="3472"/>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1123887</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6743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80" t="s">
        <v>2493</v>
      </c>
      <c r="H90" s="3480"/>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40" t="s">
        <v>1623</v>
      </c>
      <c r="F91" s="3441"/>
      <c r="G91" s="3441"/>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40" t="s">
        <v>1626</v>
      </c>
      <c r="F92" s="3441"/>
      <c r="G92" s="3441"/>
      <c r="H92" s="3461"/>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6743</v>
      </c>
      <c r="D93" s="2717">
        <f>'数据-取费表'!E31</f>
        <v>6.000000000000001E-3</v>
      </c>
      <c r="E93" s="3440" t="s">
        <v>1611</v>
      </c>
      <c r="F93" s="3441"/>
      <c r="G93" s="3441"/>
      <c r="H93" s="3461"/>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40" t="s">
        <v>1628</v>
      </c>
      <c r="F94" s="3441"/>
      <c r="G94" s="3441"/>
      <c r="H94" s="3461"/>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1117144</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165.67462553759455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667926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58" t="s">
        <v>1630</v>
      </c>
      <c r="B99" s="3459"/>
      <c r="C99" s="3459"/>
      <c r="D99" s="3460"/>
      <c r="E99" s="1389"/>
      <c r="F99" s="3468" t="s">
        <v>1631</v>
      </c>
      <c r="G99" s="3469"/>
      <c r="H99" s="3469"/>
      <c r="I99" s="3470"/>
      <c r="J99" s="2779"/>
    </row>
    <row r="100" spans="1:36" ht="15">
      <c r="A100" s="3475" t="s">
        <v>1632</v>
      </c>
      <c r="B100" s="3476"/>
      <c r="C100" s="1235" t="str">
        <f>C4</f>
        <v>成本法</v>
      </c>
      <c r="D100" s="2727" t="str">
        <f>D4</f>
        <v>收益法</v>
      </c>
      <c r="E100" s="1389"/>
      <c r="F100" s="3477" t="s">
        <v>2537</v>
      </c>
      <c r="G100" s="3479"/>
      <c r="H100" s="3477" t="s">
        <v>2538</v>
      </c>
      <c r="I100" s="3478"/>
      <c r="J100" s="2780"/>
    </row>
    <row r="101" spans="1:36" ht="12.75">
      <c r="A101" s="3494" t="s">
        <v>2570</v>
      </c>
      <c r="B101" s="2235" t="str">
        <f>IF(H19="元","总价（元）","总价（万元）")</f>
        <v>总价（元）</v>
      </c>
      <c r="C101" s="1235">
        <f ca="1">C19</f>
        <v>2549671</v>
      </c>
      <c r="D101" s="2727">
        <f ca="1">D19</f>
        <v>593111</v>
      </c>
      <c r="E101" s="1389"/>
      <c r="F101" s="3477" t="str">
        <f>项目基本情况!I1</f>
        <v>北京市房地产</v>
      </c>
      <c r="G101" s="3479"/>
      <c r="H101" s="3481">
        <f>项目基本情况!C12</f>
        <v>45.57</v>
      </c>
      <c r="I101" s="3478"/>
      <c r="J101" s="2780"/>
    </row>
    <row r="102" spans="1:36" ht="12.75">
      <c r="A102" s="3494"/>
      <c r="B102" s="2235" t="s">
        <v>2571</v>
      </c>
      <c r="C102" s="2728">
        <f ca="1">C20</f>
        <v>55951</v>
      </c>
      <c r="D102" s="2729">
        <f ca="1">D20</f>
        <v>13015</v>
      </c>
      <c r="E102" s="1389"/>
      <c r="F102" s="3464" t="s">
        <v>2567</v>
      </c>
      <c r="G102" s="3465"/>
      <c r="H102" s="2737" t="str">
        <f>C106</f>
        <v>总价（元）</v>
      </c>
      <c r="I102" s="2738">
        <f ca="1">H121</f>
        <v>1180081</v>
      </c>
      <c r="J102" s="2780"/>
    </row>
    <row r="103" spans="1:36" ht="12.75">
      <c r="A103" s="3494" t="s">
        <v>2572</v>
      </c>
      <c r="B103" s="2173" t="str">
        <f>B101</f>
        <v>总价（元）</v>
      </c>
      <c r="C103" s="2732">
        <f ca="1">H121</f>
        <v>1180081</v>
      </c>
      <c r="D103" s="2730"/>
      <c r="E103" s="1389"/>
      <c r="F103" s="3464"/>
      <c r="G103" s="3465"/>
      <c r="H103" s="2737" t="s">
        <v>2540</v>
      </c>
      <c r="I103" s="52">
        <f ca="1">I121</f>
        <v>25896</v>
      </c>
      <c r="J103" s="2764"/>
    </row>
    <row r="104" spans="1:36" ht="13.5" thickBot="1">
      <c r="A104" s="3495"/>
      <c r="B104" s="2734" t="s">
        <v>2571</v>
      </c>
      <c r="C104" s="2735">
        <f ca="1">I121</f>
        <v>25896</v>
      </c>
      <c r="D104" s="2736"/>
      <c r="E104" s="1389"/>
      <c r="F104" s="3464"/>
      <c r="G104" s="3465"/>
      <c r="H104" s="3496"/>
      <c r="I104" s="3497"/>
      <c r="J104" s="2781"/>
    </row>
    <row r="105" spans="1:36" ht="15">
      <c r="A105" s="3458" t="s">
        <v>1633</v>
      </c>
      <c r="B105" s="3459"/>
      <c r="C105" s="3459"/>
      <c r="D105" s="3460"/>
      <c r="E105" s="1389"/>
      <c r="F105" s="3500" t="s">
        <v>2541</v>
      </c>
      <c r="G105" s="3501"/>
      <c r="H105" s="2739" t="str">
        <f>C108</f>
        <v>总额（元）</v>
      </c>
      <c r="I105" s="2738">
        <f>SUMIF(I106:I108,"&lt;9E307")</f>
        <v>0</v>
      </c>
      <c r="J105" s="2780"/>
    </row>
    <row r="106" spans="1:36" ht="14.25">
      <c r="A106" s="3464" t="s">
        <v>2564</v>
      </c>
      <c r="B106" s="3465"/>
      <c r="C106" s="2737" t="str">
        <f>B101</f>
        <v>总价（元）</v>
      </c>
      <c r="D106" s="2738">
        <f ca="1">H121</f>
        <v>1180081</v>
      </c>
      <c r="E106" s="1389"/>
      <c r="F106" s="3466" t="s">
        <v>2542</v>
      </c>
      <c r="G106" s="3467"/>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4"/>
      <c r="B107" s="3465"/>
      <c r="C107" s="2737" t="s">
        <v>2565</v>
      </c>
      <c r="D107" s="52">
        <f ca="1">I121</f>
        <v>25896</v>
      </c>
      <c r="E107" s="1389"/>
      <c r="F107" s="3466" t="s">
        <v>2543</v>
      </c>
      <c r="G107" s="3467"/>
      <c r="H107" s="2739" t="str">
        <f>C110</f>
        <v>总额（元）</v>
      </c>
      <c r="I107" s="52">
        <f>C37</f>
        <v>0</v>
      </c>
      <c r="J107" s="2764"/>
    </row>
    <row r="108" spans="1:36" ht="12.75">
      <c r="A108" s="3535" t="s">
        <v>2541</v>
      </c>
      <c r="B108" s="3536"/>
      <c r="C108" s="2739" t="str">
        <f>IF(H19="元","总额（元）","总额（万元）")</f>
        <v>总额（元）</v>
      </c>
      <c r="D108" s="2738">
        <f>IF(D36="正常操作",I106+I107+I108,I107+I108)</f>
        <v>0</v>
      </c>
      <c r="E108" s="1389"/>
      <c r="F108" s="3466" t="s">
        <v>2568</v>
      </c>
      <c r="G108" s="3467"/>
      <c r="H108" s="2739" t="str">
        <f>C111</f>
        <v>总额（元）</v>
      </c>
      <c r="I108" s="52">
        <f>C38</f>
        <v>0</v>
      </c>
      <c r="J108" s="2764"/>
    </row>
    <row r="109" spans="1:36" ht="12.75">
      <c r="A109" s="3466" t="s">
        <v>2542</v>
      </c>
      <c r="B109" s="3467"/>
      <c r="C109" s="2739" t="str">
        <f>C108</f>
        <v>总额（元）</v>
      </c>
      <c r="D109" s="52">
        <f>IF(D36="同一抵押权人同一抵押物续贷",C36&amp;"（未扣减，详见特别提示）",C36)</f>
        <v>0</v>
      </c>
      <c r="E109" s="1389"/>
      <c r="F109" s="3464"/>
      <c r="G109" s="3465"/>
      <c r="H109" s="3498"/>
      <c r="I109" s="3499"/>
      <c r="J109" s="2782"/>
    </row>
    <row r="110" spans="1:36" ht="28.5" customHeight="1">
      <c r="A110" s="3466" t="s">
        <v>2566</v>
      </c>
      <c r="B110" s="3467"/>
      <c r="C110" s="2739" t="str">
        <f>C108</f>
        <v>总额（元）</v>
      </c>
      <c r="D110" s="52">
        <f>C37</f>
        <v>0</v>
      </c>
      <c r="E110" s="1389"/>
      <c r="F110" s="3447" t="str">
        <f>IF(项目基本情况!F5="已注销","——","3.房地产抵押价值")</f>
        <v>3.房地产抵押价值</v>
      </c>
      <c r="G110" s="3448"/>
      <c r="H110" s="2725" t="str">
        <f>C112</f>
        <v>总价（元）</v>
      </c>
      <c r="I110" s="2738">
        <f ca="1">IF(F110="——","——",I102-I105)</f>
        <v>1180081</v>
      </c>
      <c r="J110" s="2780"/>
    </row>
    <row r="111" spans="1:36" ht="12.75">
      <c r="A111" s="3466" t="s">
        <v>2545</v>
      </c>
      <c r="B111" s="3467"/>
      <c r="C111" s="2739" t="str">
        <f>C108</f>
        <v>总额（元）</v>
      </c>
      <c r="D111" s="52">
        <f>C38</f>
        <v>0</v>
      </c>
      <c r="E111" s="1389"/>
      <c r="F111" s="3449"/>
      <c r="G111" s="3450"/>
      <c r="H111" s="2737" t="s">
        <v>2540</v>
      </c>
      <c r="I111" s="2741">
        <f ca="1">D113</f>
        <v>25896</v>
      </c>
      <c r="J111" s="2783"/>
    </row>
    <row r="112" spans="1:36" ht="26.25" customHeight="1">
      <c r="A112" s="3464" t="str">
        <f>IF(项目基本情况!F5="已注销","——","3.房地产抵押价值")</f>
        <v>3.房地产抵押价值</v>
      </c>
      <c r="B112" s="3465"/>
      <c r="C112" s="2737" t="str">
        <f>B101</f>
        <v>总价（元）</v>
      </c>
      <c r="D112" s="2738">
        <f ca="1">IF(A112="——","——",D106-D108)</f>
        <v>1180081</v>
      </c>
      <c r="E112" s="1389"/>
      <c r="F112" s="3447" t="str">
        <f>IF(项目基本情况!F5="已注销及未注销","4.抵押担保权已注销时的房地产抵押价值",IF(项目基本情况!F5="已注销","3.抵押担保权已注销时的房地产抵押价值","——"))</f>
        <v>——</v>
      </c>
      <c r="G112" s="3448"/>
      <c r="H112" s="2725" t="str">
        <f>C114</f>
        <v>总价（元）</v>
      </c>
      <c r="I112" s="2738" t="str">
        <f>IF(F112="——","——",I102-I107-I108)</f>
        <v>——</v>
      </c>
      <c r="J112" s="2780"/>
    </row>
    <row r="113" spans="1:16" ht="12.75">
      <c r="A113" s="3464"/>
      <c r="B113" s="3465"/>
      <c r="C113" s="2737" t="s">
        <v>2533</v>
      </c>
      <c r="D113" s="52">
        <f ca="1">ROUND(IF(D112=D106,D107,IF(H19="元",D112/项目基本情况!C12,D112*10000/项目基本情况!C12)),0)</f>
        <v>25896</v>
      </c>
      <c r="E113" s="1389"/>
      <c r="F113" s="3449"/>
      <c r="G113" s="3450"/>
      <c r="H113" s="2737" t="s">
        <v>2569</v>
      </c>
      <c r="I113" s="52" t="str">
        <f>D115</f>
        <v>——</v>
      </c>
      <c r="J113" s="2764"/>
    </row>
    <row r="114" spans="1:16" ht="12.75">
      <c r="A114" s="3464" t="str">
        <f>IF(项目基本情况!F5="已注销及未注销","4.抵押担保权已注销时的房地产抵押价值",IF(项目基本情况!F5="已注销","3.抵押担保权已注销时的房地产抵押价值","——"))</f>
        <v>——</v>
      </c>
      <c r="B114" s="3465"/>
      <c r="C114" s="2737" t="str">
        <f>B101</f>
        <v>总价（元）</v>
      </c>
      <c r="D114" s="2738" t="str">
        <f>IF(A114="——","——",D106-D110-D111)</f>
        <v>——</v>
      </c>
      <c r="E114" s="1389"/>
      <c r="F114" s="3447" t="str">
        <f>IF(项目基本情况!G5="抵押净值",IF(OR(项目基本情况!F5="已注销",项目基本情况!F5="房地产抵押价值"),"4.抵押净值","5.抵押净值"),"——")</f>
        <v>——</v>
      </c>
      <c r="G114" s="3448"/>
      <c r="H114" s="2737" t="str">
        <f>C116</f>
        <v>总价（元）</v>
      </c>
      <c r="I114" s="2738" t="str">
        <f>IF(F114="——","——",O59)</f>
        <v>——</v>
      </c>
      <c r="J114" s="2780"/>
    </row>
    <row r="115" spans="1:16" ht="13.5" thickBot="1">
      <c r="A115" s="3464"/>
      <c r="B115" s="3465"/>
      <c r="C115" s="2737" t="s">
        <v>2533</v>
      </c>
      <c r="D115" s="52" t="str">
        <f>IF(A114="——","——",ROUND(IF(D114=D106,D107,IF(H19="元",D114/项目基本情况!C12,D114*10000/项目基本情况!C12)),0))</f>
        <v>——</v>
      </c>
      <c r="E115" s="1389"/>
      <c r="F115" s="3527"/>
      <c r="G115" s="3528"/>
      <c r="H115" s="2742" t="s">
        <v>2533</v>
      </c>
      <c r="I115" s="2726" t="str">
        <f ca="1">D117</f>
        <v>——</v>
      </c>
      <c r="J115" s="2764"/>
    </row>
    <row r="116" spans="1:16" ht="15.75">
      <c r="A116" s="3464" t="str">
        <f>IF(项目基本情况!G5="抵押净值",IF(OR(项目基本情况!F5="已注销",项目基本情况!F5="房地产抵押价值"),"4.抵押净值","5.抵押净值"),"——")</f>
        <v>——</v>
      </c>
      <c r="B116" s="3465"/>
      <c r="C116" s="2737" t="str">
        <f>B101</f>
        <v>总价（元）</v>
      </c>
      <c r="D116" s="2738" t="str">
        <f>IF(A116="——","——",O59)</f>
        <v>——</v>
      </c>
      <c r="E116" s="1389"/>
      <c r="F116" s="3442"/>
      <c r="G116" s="3442"/>
      <c r="H116" s="3483"/>
      <c r="I116" s="3483"/>
      <c r="J116" s="2784"/>
      <c r="O116" s="32"/>
      <c r="P116" s="32"/>
    </row>
    <row r="117" spans="1:16" ht="13.5" thickBot="1">
      <c r="A117" s="3533"/>
      <c r="B117" s="3534"/>
      <c r="C117" s="2742" t="s">
        <v>2533</v>
      </c>
      <c r="D117" s="2726" t="str">
        <f ca="1">IF(D116=D112,D113,IF(A116="——","——",O61))</f>
        <v>——</v>
      </c>
      <c r="E117" s="1389"/>
      <c r="F117" s="3526" t="str">
        <f>IF(B32="总价","（以上估价结果中单价为总价除以建筑面积得出）","（以上估价结果中总价为楼面单价乘以建筑面积得出）")</f>
        <v>（以上估价结果中总价为楼面单价乘以建筑面积得出）</v>
      </c>
      <c r="G117" s="3526"/>
      <c r="H117" s="3526"/>
      <c r="I117" s="3526"/>
      <c r="J117" s="2785"/>
      <c r="O117" s="32"/>
      <c r="P117" s="32"/>
    </row>
    <row r="118" spans="1:16" ht="15">
      <c r="A118" s="3484" t="s">
        <v>1634</v>
      </c>
      <c r="B118" s="3485"/>
      <c r="C118" s="3485"/>
      <c r="D118" s="3485"/>
      <c r="E118" s="3485"/>
      <c r="F118" s="3485"/>
      <c r="G118" s="3485"/>
      <c r="H118" s="3485"/>
      <c r="I118" s="3485"/>
      <c r="J118" s="2786"/>
    </row>
    <row r="119" spans="1:16" ht="12.75">
      <c r="A119" s="3457" t="s">
        <v>2551</v>
      </c>
      <c r="B119" s="3455" t="s">
        <v>2561</v>
      </c>
      <c r="C119" s="3455" t="s">
        <v>2562</v>
      </c>
      <c r="D119" s="3462" t="s">
        <v>2553</v>
      </c>
      <c r="E119" s="3463"/>
      <c r="F119" s="3453" t="s">
        <v>2563</v>
      </c>
      <c r="G119" s="3453"/>
      <c r="H119" s="3453" t="s">
        <v>2554</v>
      </c>
      <c r="I119" s="3454"/>
      <c r="J119" s="2764"/>
    </row>
    <row r="120" spans="1:16" ht="12.75">
      <c r="A120" s="3457"/>
      <c r="B120" s="3456"/>
      <c r="C120" s="3456"/>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45.57</v>
      </c>
      <c r="C121" s="2020">
        <f>项目基本情况!C13</f>
        <v>0</v>
      </c>
      <c r="D121" s="2020">
        <f ca="1">ROUND(IF(B32="总价",C34,IF('数据-取费表'!B3="万元",E121*B121/10000,E121*B121)),0)</f>
        <v>854392</v>
      </c>
      <c r="E121" s="2020">
        <f ca="1">ROUND(IF(B32="楼面单价",C34,IF(H19="元",D121/B121,D121*10000/B121)),0)</f>
        <v>18749</v>
      </c>
      <c r="F121" s="2020">
        <f ca="1">ROUND(IF(B32="总价",C35,IF('数据-取费表'!B3="万元",G121*B121/10000,G121*B121)),0)</f>
        <v>325689</v>
      </c>
      <c r="G121" s="2020">
        <f ca="1">ROUND(IF(B32="楼面单价",C35,IF(H19="元",F121/B121,F121*10000/B121)),0)</f>
        <v>7147</v>
      </c>
      <c r="H121" s="2020">
        <f ca="1">ROUND(IF(B32="总价",C32,IF('数据-取费表'!B3="万元",I121*B121/10000,I121*B121)),0)</f>
        <v>1180081</v>
      </c>
      <c r="I121" s="52">
        <f ca="1">ROUND(IF(B32="楼面单价",C32,IF(H19="元",H121/B121,H121*10000/B121)),0)</f>
        <v>25896</v>
      </c>
      <c r="J121" s="2764"/>
    </row>
    <row r="122" spans="1:16" ht="12.75">
      <c r="A122" s="3457" t="s">
        <v>2557</v>
      </c>
      <c r="B122" s="3453"/>
      <c r="C122" s="3453"/>
      <c r="D122" s="3488" t="str">
        <f ca="1">IF(H19="元",NUMBERSTRING(INT(D121),2)&amp;"元整",NUMBERSTRING(INT(D121*10000),2)&amp;"元整")</f>
        <v>捌拾伍万肆仟叁佰玖拾贰元整</v>
      </c>
      <c r="E122" s="3489"/>
      <c r="F122" s="3488" t="str">
        <f ca="1">IF(H19="元",NUMBERSTRING(INT(F121),2)&amp;"元整",NUMBERSTRING(INT(F121*10000),2)&amp;"元整")</f>
        <v>叁拾贰万伍仟陆佰捌拾玖元整</v>
      </c>
      <c r="G122" s="3489"/>
      <c r="H122" s="3488" t="str">
        <f ca="1">IF(H19="元",NUMBERSTRING(INT(H121),2)&amp;"元整",NUMBERSTRING(INT(H121*10000),2)&amp;"元整")</f>
        <v>壹佰壹拾捌万零捌拾壹元整</v>
      </c>
      <c r="I122" s="3537"/>
      <c r="J122" s="2787"/>
    </row>
    <row r="123" spans="1:16" ht="12.75">
      <c r="A123" s="3477" t="str">
        <f>IF(项目基本情况!D5="房地产市场价值","——",MID(A108,3,LEN(A108)-2))</f>
        <v>估价师所知悉的法定优先受偿款</v>
      </c>
      <c r="B123" s="3490"/>
      <c r="C123" s="3479"/>
      <c r="D123" s="3481">
        <f>I105</f>
        <v>0</v>
      </c>
      <c r="E123" s="3490"/>
      <c r="F123" s="3490"/>
      <c r="G123" s="3490"/>
      <c r="H123" s="3490"/>
      <c r="I123" s="3478"/>
      <c r="J123" s="2780"/>
    </row>
    <row r="124" spans="1:16" ht="12.75">
      <c r="A124" s="3491" t="s">
        <v>2557</v>
      </c>
      <c r="B124" s="3492"/>
      <c r="C124" s="3493"/>
      <c r="D124" s="3529">
        <f>H109</f>
        <v>0</v>
      </c>
      <c r="E124" s="3530"/>
      <c r="F124" s="3530"/>
      <c r="G124" s="3530"/>
      <c r="H124" s="3530"/>
      <c r="I124" s="3531"/>
      <c r="J124" s="2788"/>
    </row>
    <row r="125" spans="1:16" ht="12.75">
      <c r="A125" s="3464" t="str">
        <f>IF(项目基本情况!D5="房地产市场价值","——",MID(A112,3,LEN(A112)-2))</f>
        <v>房地产抵押价值</v>
      </c>
      <c r="B125" s="3465"/>
      <c r="C125" s="3465"/>
      <c r="D125" s="3481">
        <f ca="1">I110</f>
        <v>1180081</v>
      </c>
      <c r="E125" s="3490"/>
      <c r="F125" s="3490"/>
      <c r="G125" s="3490"/>
      <c r="H125" s="3490"/>
      <c r="I125" s="3478"/>
      <c r="J125" s="2780"/>
    </row>
    <row r="126" spans="1:16" ht="12.75">
      <c r="A126" s="3457" t="s">
        <v>2557</v>
      </c>
      <c r="B126" s="3453"/>
      <c r="C126" s="3453"/>
      <c r="D126" s="3529">
        <f ca="1">I111</f>
        <v>25896</v>
      </c>
      <c r="E126" s="3530"/>
      <c r="F126" s="3530"/>
      <c r="G126" s="3530"/>
      <c r="H126" s="3530"/>
      <c r="I126" s="3531"/>
      <c r="J126" s="2788"/>
    </row>
    <row r="127" spans="1:16" ht="13.5" thickBot="1">
      <c r="A127" s="3464" t="str">
        <f>IF(项目基本情况!D5="房地产市场价值","——",MID(A114,3,LEN(A114)-2))</f>
        <v/>
      </c>
      <c r="B127" s="3465"/>
      <c r="C127" s="3465"/>
      <c r="D127" s="3437" t="str">
        <f>I112</f>
        <v>——</v>
      </c>
      <c r="E127" s="3438"/>
      <c r="F127" s="3438"/>
      <c r="G127" s="3438"/>
      <c r="H127" s="3438"/>
      <c r="I127" s="3439"/>
      <c r="J127" s="2780"/>
    </row>
    <row r="128" spans="1:16" ht="14.25" thickTop="1" thickBot="1">
      <c r="A128" s="3457" t="s">
        <v>2557</v>
      </c>
      <c r="B128" s="3453"/>
      <c r="C128" s="3504"/>
      <c r="D128" s="3482" t="str">
        <f>I113</f>
        <v>——</v>
      </c>
      <c r="E128" s="3482"/>
      <c r="F128" s="3482"/>
      <c r="G128" s="3482"/>
      <c r="H128" s="3482"/>
      <c r="I128" s="3482"/>
      <c r="J128" s="2788"/>
    </row>
    <row r="129" spans="1:10" ht="14.25" thickTop="1" thickBot="1">
      <c r="A129" s="3464" t="str">
        <f>IF(项目基本情况!D5="房地产市场价值","——",MID(F114,3,LEN(F114)-2))</f>
        <v/>
      </c>
      <c r="B129" s="3465"/>
      <c r="C129" s="3481"/>
      <c r="D129" s="3532" t="str">
        <f>I114</f>
        <v>——</v>
      </c>
      <c r="E129" s="3532"/>
      <c r="F129" s="3532"/>
      <c r="G129" s="3532"/>
      <c r="H129" s="3532"/>
      <c r="I129" s="3532"/>
      <c r="J129" s="2780"/>
    </row>
    <row r="130" spans="1:10" ht="14.25" thickTop="1" thickBot="1">
      <c r="A130" s="3520" t="s">
        <v>2557</v>
      </c>
      <c r="B130" s="3521"/>
      <c r="C130" s="3521"/>
      <c r="D130" s="3538">
        <f>H116</f>
        <v>0</v>
      </c>
      <c r="E130" s="3539"/>
      <c r="F130" s="3539"/>
      <c r="G130" s="3539"/>
      <c r="H130" s="3539"/>
      <c r="I130" s="3540"/>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525" t="str">
        <f>IF(B32="总价","（以上估价结果中楼面单价为总价除以建筑面积得出）","（以上估价结果中总价为楼面单价乘以建筑面积得出）")</f>
        <v>（以上估价结果中总价为楼面单价乘以建筑面积得出）</v>
      </c>
      <c r="B132" s="3525"/>
      <c r="C132" s="3525"/>
      <c r="D132" s="3525"/>
      <c r="E132" s="3525"/>
      <c r="F132" s="3525"/>
      <c r="G132" s="3525"/>
      <c r="H132" s="3525"/>
      <c r="I132" s="352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7" t="s">
        <v>1643</v>
      </c>
      <c r="B2" s="3547"/>
      <c r="C2" s="3547"/>
      <c r="D2" s="3547"/>
      <c r="E2" s="3547"/>
      <c r="F2" s="3547"/>
      <c r="G2" s="3547"/>
      <c r="H2" s="3547"/>
      <c r="I2" s="3547"/>
      <c r="J2" s="2793"/>
    </row>
    <row r="3" spans="1:15" ht="12.75">
      <c r="A3" s="3507" t="s">
        <v>1471</v>
      </c>
      <c r="B3" s="3508"/>
      <c r="C3" s="3508"/>
      <c r="D3" s="3508"/>
      <c r="E3" s="3508"/>
      <c r="F3" s="3508"/>
      <c r="G3" s="3508"/>
      <c r="H3" s="3508"/>
      <c r="I3" s="3508"/>
      <c r="J3" s="2763"/>
    </row>
    <row r="4" spans="1:15" ht="14.25">
      <c r="A4" s="2631" t="s">
        <v>1472</v>
      </c>
      <c r="B4" s="2631" t="s">
        <v>1473</v>
      </c>
      <c r="C4" s="2632"/>
      <c r="D4" s="2632"/>
      <c r="E4" s="3504" t="s">
        <v>1644</v>
      </c>
      <c r="F4" s="3492"/>
      <c r="G4" s="3492"/>
      <c r="H4" s="3492"/>
      <c r="I4" s="3493"/>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03" t="s">
        <v>1475</v>
      </c>
      <c r="B5" s="3503">
        <v>25</v>
      </c>
      <c r="C5" s="3509"/>
      <c r="D5" s="3506"/>
      <c r="E5" s="12" t="s">
        <v>1476</v>
      </c>
      <c r="F5" s="2017"/>
      <c r="G5" s="2017"/>
      <c r="H5" s="2017"/>
      <c r="I5" s="2012"/>
      <c r="J5" s="2764"/>
    </row>
    <row r="6" spans="1:15" ht="12.75">
      <c r="A6" s="3503"/>
      <c r="B6" s="3503"/>
      <c r="C6" s="3510"/>
      <c r="D6" s="3506"/>
      <c r="E6" s="12" t="s">
        <v>1477</v>
      </c>
      <c r="F6" s="2017"/>
      <c r="G6" s="2017"/>
      <c r="H6" s="2017"/>
      <c r="I6" s="2012"/>
      <c r="J6" s="2764"/>
    </row>
    <row r="7" spans="1:15" ht="12.75">
      <c r="A7" s="3503"/>
      <c r="B7" s="3503"/>
      <c r="C7" s="3511"/>
      <c r="D7" s="3506"/>
      <c r="E7" s="12" t="s">
        <v>1478</v>
      </c>
      <c r="F7" s="2017"/>
      <c r="G7" s="2017"/>
      <c r="H7" s="2017"/>
      <c r="I7" s="2012"/>
      <c r="J7" s="2764"/>
    </row>
    <row r="8" spans="1:15" ht="12.75">
      <c r="A8" s="3503" t="s">
        <v>1479</v>
      </c>
      <c r="B8" s="3503">
        <v>15</v>
      </c>
      <c r="C8" s="3509"/>
      <c r="D8" s="3506"/>
      <c r="E8" s="12" t="s">
        <v>1480</v>
      </c>
      <c r="F8" s="2017"/>
      <c r="G8" s="2017"/>
      <c r="H8" s="2017"/>
      <c r="I8" s="2012"/>
      <c r="J8" s="2764"/>
    </row>
    <row r="9" spans="1:15" ht="12.75">
      <c r="A9" s="3503"/>
      <c r="B9" s="3503"/>
      <c r="C9" s="3511"/>
      <c r="D9" s="3506"/>
      <c r="E9" s="12" t="s">
        <v>1481</v>
      </c>
      <c r="F9" s="2017"/>
      <c r="G9" s="2017"/>
      <c r="H9" s="2017"/>
      <c r="I9" s="2012"/>
      <c r="J9" s="2764"/>
    </row>
    <row r="10" spans="1:15" ht="12.75">
      <c r="A10" s="3503" t="s">
        <v>1482</v>
      </c>
      <c r="B10" s="3503">
        <v>15</v>
      </c>
      <c r="C10" s="3509"/>
      <c r="D10" s="3506"/>
      <c r="E10" s="12" t="s">
        <v>1483</v>
      </c>
      <c r="F10" s="2017"/>
      <c r="G10" s="2017"/>
      <c r="H10" s="2017"/>
      <c r="I10" s="2012"/>
      <c r="J10" s="2764"/>
    </row>
    <row r="11" spans="1:15" ht="12.75">
      <c r="A11" s="3503"/>
      <c r="B11" s="3503"/>
      <c r="C11" s="3511"/>
      <c r="D11" s="3506"/>
      <c r="E11" s="12" t="s">
        <v>1484</v>
      </c>
      <c r="F11" s="2017"/>
      <c r="G11" s="2017"/>
      <c r="H11" s="2017"/>
      <c r="I11" s="2012"/>
      <c r="J11" s="2764"/>
    </row>
    <row r="12" spans="1:15" ht="12.75">
      <c r="A12" s="3503" t="s">
        <v>1485</v>
      </c>
      <c r="B12" s="3503">
        <v>15</v>
      </c>
      <c r="C12" s="3509"/>
      <c r="D12" s="3506"/>
      <c r="E12" s="12" t="s">
        <v>1486</v>
      </c>
      <c r="F12" s="2017"/>
      <c r="G12" s="2017"/>
      <c r="H12" s="2017"/>
      <c r="I12" s="2012"/>
      <c r="J12" s="2764"/>
    </row>
    <row r="13" spans="1:15" ht="12.75">
      <c r="A13" s="3503"/>
      <c r="B13" s="3503"/>
      <c r="C13" s="3511"/>
      <c r="D13" s="3506"/>
      <c r="E13" s="12" t="s">
        <v>1487</v>
      </c>
      <c r="F13" s="2017"/>
      <c r="G13" s="2017"/>
      <c r="H13" s="2017"/>
      <c r="I13" s="2012"/>
      <c r="J13" s="2764"/>
    </row>
    <row r="14" spans="1:15" ht="12.75">
      <c r="A14" s="3503" t="s">
        <v>1488</v>
      </c>
      <c r="B14" s="3503">
        <v>30</v>
      </c>
      <c r="C14" s="3509"/>
      <c r="D14" s="3506"/>
      <c r="E14" s="12" t="s">
        <v>1489</v>
      </c>
      <c r="F14" s="2017"/>
      <c r="G14" s="2017"/>
      <c r="H14" s="2017"/>
      <c r="I14" s="2012"/>
      <c r="J14" s="2764"/>
    </row>
    <row r="15" spans="1:15" ht="12.75">
      <c r="A15" s="3503"/>
      <c r="B15" s="3503"/>
      <c r="C15" s="3510"/>
      <c r="D15" s="3506"/>
      <c r="E15" s="12" t="s">
        <v>1490</v>
      </c>
      <c r="F15" s="2017"/>
      <c r="G15" s="2017"/>
      <c r="H15" s="2017"/>
      <c r="I15" s="2012"/>
      <c r="J15" s="2764"/>
    </row>
    <row r="16" spans="1:15" ht="12.75">
      <c r="A16" s="3503"/>
      <c r="B16" s="3503"/>
      <c r="C16" s="3511"/>
      <c r="D16" s="3506"/>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23" t="s">
        <v>2576</v>
      </c>
      <c r="F18" s="3524"/>
      <c r="G18" s="3524"/>
      <c r="H18" s="3524"/>
      <c r="I18" s="3524"/>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12" t="s">
        <v>1500</v>
      </c>
      <c r="B24" s="2639" t="s">
        <v>1495</v>
      </c>
      <c r="C24" s="2642">
        <f>D30</f>
        <v>0</v>
      </c>
      <c r="D24" s="2594"/>
      <c r="E24" s="905"/>
      <c r="F24" s="905"/>
      <c r="G24" s="905"/>
      <c r="H24" s="905"/>
      <c r="I24" s="905"/>
      <c r="J24" s="2765"/>
    </row>
    <row r="25" spans="1:36" ht="21.75" customHeight="1">
      <c r="A25" s="3513"/>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69" t="s">
        <v>1647</v>
      </c>
      <c r="B32" s="3569"/>
      <c r="C32" s="3569"/>
      <c r="D32" s="3569"/>
      <c r="E32" s="3569"/>
      <c r="F32" s="3569"/>
      <c r="G32" s="3569"/>
      <c r="H32" s="3569"/>
      <c r="I32" s="3569"/>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512" t="s">
        <v>1656</v>
      </c>
      <c r="B38" s="1396" t="s">
        <v>1657</v>
      </c>
      <c r="C38" s="2675"/>
      <c r="D38" s="2676"/>
      <c r="E38" s="1608"/>
      <c r="F38" s="1608"/>
      <c r="G38" s="905"/>
      <c r="H38" s="905"/>
      <c r="I38" s="905"/>
      <c r="J38" s="2765"/>
    </row>
    <row r="39" spans="1:16" ht="15.75" thickBot="1">
      <c r="A39" s="3517"/>
      <c r="B39" s="2022" t="s">
        <v>1658</v>
      </c>
      <c r="C39" s="2677"/>
      <c r="D39" s="1239"/>
      <c r="E39" s="1239"/>
      <c r="F39" s="1608"/>
      <c r="G39" s="1239"/>
      <c r="H39" s="1239"/>
      <c r="I39" s="1239"/>
      <c r="J39" s="2769"/>
    </row>
    <row r="40" spans="1:16" ht="15.75" thickBot="1">
      <c r="A40" s="3518"/>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37" t="s">
        <v>1669</v>
      </c>
      <c r="B47" s="3438"/>
      <c r="C47" s="3448"/>
      <c r="D47" s="246">
        <f>ROUND(I104*F47,0)</f>
        <v>0</v>
      </c>
      <c r="E47" s="1470" t="s">
        <v>1670</v>
      </c>
      <c r="F47" s="2479">
        <v>1</v>
      </c>
      <c r="G47" s="2480" t="s">
        <v>1671</v>
      </c>
      <c r="H47" s="905"/>
      <c r="I47" s="905"/>
      <c r="J47" s="2765"/>
      <c r="K47" s="3542" t="s">
        <v>1527</v>
      </c>
      <c r="L47" s="3542"/>
      <c r="M47" s="3542"/>
      <c r="N47" s="3542"/>
      <c r="O47" s="3542"/>
      <c r="P47" s="3542"/>
    </row>
    <row r="48" spans="1:16" ht="14.25" customHeight="1">
      <c r="A48" s="3514" t="s">
        <v>1528</v>
      </c>
      <c r="B48" s="3515"/>
      <c r="C48" s="3515"/>
      <c r="D48" s="3515"/>
      <c r="E48" s="3515"/>
      <c r="F48" s="3515"/>
      <c r="G48" s="3516"/>
      <c r="H48" s="2897"/>
      <c r="I48" s="905"/>
      <c r="J48" s="2765"/>
      <c r="K48" s="2431">
        <v>1</v>
      </c>
      <c r="L48" s="3543" t="s">
        <v>1529</v>
      </c>
      <c r="M48" s="3543"/>
      <c r="N48" s="3544"/>
      <c r="O48" s="3544"/>
      <c r="P48" s="3544"/>
    </row>
    <row r="49" spans="1:17" ht="12" customHeight="1">
      <c r="A49" s="38" t="s">
        <v>1530</v>
      </c>
      <c r="B49" s="39"/>
      <c r="C49" s="40"/>
      <c r="D49" s="1028" t="s">
        <v>1531</v>
      </c>
      <c r="E49" s="235" t="s">
        <v>1532</v>
      </c>
      <c r="F49" s="41" t="s">
        <v>1533</v>
      </c>
      <c r="G49" s="2482" t="s">
        <v>1534</v>
      </c>
      <c r="H49" s="2897"/>
      <c r="I49" s="905"/>
      <c r="J49" s="2765"/>
      <c r="K49" s="2431">
        <v>2</v>
      </c>
      <c r="L49" s="3543" t="s">
        <v>1535</v>
      </c>
      <c r="M49" s="3543"/>
      <c r="N49" s="3546">
        <f>'数据-取费表'!B2</f>
        <v>44810</v>
      </c>
      <c r="O49" s="3546"/>
      <c r="P49" s="3546"/>
    </row>
    <row r="50" spans="1:17" ht="25.5">
      <c r="A50" s="3519" t="s">
        <v>1536</v>
      </c>
      <c r="B50" s="3453"/>
      <c r="C50" s="3453"/>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3" t="s">
        <v>1539</v>
      </c>
      <c r="M50" s="3543"/>
      <c r="N50" s="3548">
        <f>I104</f>
        <v>0</v>
      </c>
      <c r="O50" s="3548"/>
      <c r="P50" s="3548"/>
    </row>
    <row r="51" spans="1:17" ht="25.5" customHeight="1">
      <c r="A51" s="2019" t="s">
        <v>1540</v>
      </c>
      <c r="B51" s="3492" t="s">
        <v>1541</v>
      </c>
      <c r="C51" s="3492"/>
      <c r="D51" s="2486">
        <v>0</v>
      </c>
      <c r="E51" s="261" t="s">
        <v>1542</v>
      </c>
      <c r="F51" s="2487" t="s">
        <v>48</v>
      </c>
      <c r="G51" s="3434"/>
      <c r="H51" s="2488" t="s">
        <v>2500</v>
      </c>
      <c r="I51" s="2489"/>
      <c r="J51" s="2773"/>
      <c r="K51" s="2431">
        <v>4</v>
      </c>
      <c r="L51" s="3543" t="str">
        <f>IF(项目基本情况!F5="房地产抵押价值","房地产抵押价值","抵押担保权已注销时的房地产抵押价值")</f>
        <v>抵押担保权已注销时的房地产抵押价值</v>
      </c>
      <c r="M51" s="3543"/>
      <c r="N51" s="3548" t="str">
        <f>IF(项目基本情况!F5="房地产抵押价值",I112,I114)</f>
        <v>——</v>
      </c>
      <c r="O51" s="3548"/>
      <c r="P51" s="3548"/>
    </row>
    <row r="52" spans="1:17" ht="25.5" customHeight="1">
      <c r="A52" s="2009"/>
      <c r="B52" s="3492" t="s">
        <v>1543</v>
      </c>
      <c r="C52" s="3492"/>
      <c r="D52" s="2490"/>
      <c r="E52" s="269"/>
      <c r="F52" s="2487"/>
      <c r="G52" s="3435"/>
      <c r="H52" s="2491" t="s">
        <v>2501</v>
      </c>
      <c r="I52" s="2489"/>
      <c r="J52" s="2773"/>
      <c r="K52" s="3543" t="s">
        <v>1544</v>
      </c>
      <c r="L52" s="3543"/>
      <c r="M52" s="3543"/>
      <c r="N52" s="3543"/>
      <c r="O52" s="3543"/>
      <c r="P52" s="3543"/>
    </row>
    <row r="53" spans="1:17" ht="20.45" customHeight="1">
      <c r="A53" s="2492"/>
      <c r="B53" s="3492" t="s">
        <v>1545</v>
      </c>
      <c r="C53" s="3492"/>
      <c r="D53" s="1028"/>
      <c r="E53" s="264"/>
      <c r="F53" s="2487"/>
      <c r="G53" s="3436"/>
      <c r="H53" s="2491" t="s">
        <v>2502</v>
      </c>
      <c r="I53" s="2489"/>
      <c r="J53" s="2773"/>
      <c r="K53" s="2432" t="s">
        <v>1546</v>
      </c>
      <c r="L53" s="3543" t="s">
        <v>1547</v>
      </c>
      <c r="M53" s="3543"/>
      <c r="N53" s="2432" t="s">
        <v>1548</v>
      </c>
      <c r="O53" s="2432" t="s">
        <v>1549</v>
      </c>
      <c r="P53" s="2432" t="s">
        <v>1550</v>
      </c>
    </row>
    <row r="54" spans="1:17" ht="24" customHeight="1">
      <c r="A54" s="2010" t="s">
        <v>1551</v>
      </c>
      <c r="B54" s="3492" t="s">
        <v>1552</v>
      </c>
      <c r="C54" s="3492"/>
      <c r="D54" s="1028">
        <f>ROUND(D47*'数据-取费表'!E29/(1+'数据-取费表'!F30),0)</f>
        <v>0</v>
      </c>
      <c r="E54" s="2020" t="s">
        <v>1553</v>
      </c>
      <c r="F54" s="2493">
        <f>'数据-取费表'!E29</f>
        <v>5.6000000000000001E-2</v>
      </c>
      <c r="G54" s="2494"/>
      <c r="H54" s="905"/>
      <c r="I54" s="2898"/>
      <c r="J54" s="2773"/>
      <c r="K54" s="2431">
        <v>1</v>
      </c>
      <c r="L54" s="3545" t="s">
        <v>1554</v>
      </c>
      <c r="M54" s="3545"/>
      <c r="N54" s="2433">
        <f>D50</f>
        <v>0</v>
      </c>
      <c r="O54" s="2431" t="str">
        <f>E50</f>
        <v>销售额×税（费）率</v>
      </c>
      <c r="P54" s="2434">
        <f>F50</f>
        <v>5.6000000000000001E-2</v>
      </c>
    </row>
    <row r="55" spans="1:17" ht="12" customHeight="1">
      <c r="A55" s="2010" t="s">
        <v>1555</v>
      </c>
      <c r="B55" s="3504" t="s">
        <v>2593</v>
      </c>
      <c r="C55" s="3493"/>
      <c r="D55" s="1028">
        <f>ROUND(D47*'数据-取费表'!E29/(1+'数据-取费表'!F30),0)</f>
        <v>0</v>
      </c>
      <c r="E55" s="2020" t="s">
        <v>1553</v>
      </c>
      <c r="F55" s="2493">
        <f>'数据-取费表'!E29</f>
        <v>5.6000000000000001E-2</v>
      </c>
      <c r="G55" s="2494"/>
      <c r="H55" s="905"/>
      <c r="I55" s="2898"/>
      <c r="J55" s="2773"/>
      <c r="K55" s="2431">
        <v>2</v>
      </c>
      <c r="L55" s="3545" t="s">
        <v>1556</v>
      </c>
      <c r="M55" s="3545"/>
      <c r="N55" s="2433">
        <f t="shared" ref="N55:P56" si="1">D57</f>
        <v>0</v>
      </c>
      <c r="O55" s="2431" t="str">
        <f t="shared" si="1"/>
        <v>销售额×税（费）率</v>
      </c>
      <c r="P55" s="2434">
        <f t="shared" si="1"/>
        <v>5.0000000000000001E-4</v>
      </c>
    </row>
    <row r="56" spans="1:17" ht="12" customHeight="1">
      <c r="A56" s="2010" t="s">
        <v>1557</v>
      </c>
      <c r="B56" s="3504" t="s">
        <v>2594</v>
      </c>
      <c r="C56" s="3493"/>
      <c r="D56" s="1028">
        <f>C70</f>
        <v>0</v>
      </c>
      <c r="E56" s="264" t="s">
        <v>1558</v>
      </c>
      <c r="F56" s="2493">
        <f>'数据-取费表'!E29</f>
        <v>5.6000000000000001E-2</v>
      </c>
      <c r="G56" s="2494"/>
      <c r="H56" s="2899"/>
      <c r="I56" s="2898"/>
      <c r="J56" s="2773"/>
      <c r="K56" s="2431">
        <v>3</v>
      </c>
      <c r="L56" s="3545" t="s">
        <v>1559</v>
      </c>
      <c r="M56" s="3545"/>
      <c r="N56" s="2433">
        <f t="shared" si="1"/>
        <v>0</v>
      </c>
      <c r="O56" s="2431" t="str">
        <f t="shared" si="1"/>
        <v>增值额×税（费）率</v>
      </c>
      <c r="P56" s="2435" t="str">
        <f t="shared" si="1"/>
        <v>——</v>
      </c>
    </row>
    <row r="57" spans="1:17" ht="24" customHeight="1">
      <c r="A57" s="3457" t="s">
        <v>1560</v>
      </c>
      <c r="B57" s="3453"/>
      <c r="C57" s="3453"/>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5" t="str">
        <f>IF(H61="非个人房产","——","个人所得税")</f>
        <v>个人所得税</v>
      </c>
      <c r="M57" s="3545"/>
      <c r="N57" s="2436">
        <f>D61</f>
        <v>0</v>
      </c>
      <c r="O57" s="2437" t="str">
        <f>E61</f>
        <v>销售额×税（费）率</v>
      </c>
      <c r="P57" s="2438">
        <f>F61</f>
        <v>0.01</v>
      </c>
    </row>
    <row r="58" spans="1:17" ht="24.75">
      <c r="A58" s="3457" t="s">
        <v>1563</v>
      </c>
      <c r="B58" s="3453"/>
      <c r="C58" s="3453"/>
      <c r="D58" s="12">
        <f>IF(H58="个人住宅",D59,D60)</f>
        <v>0</v>
      </c>
      <c r="E58" s="2020" t="s">
        <v>1564</v>
      </c>
      <c r="F58" s="2493" t="str">
        <f>IF(H58="正常",F60,"免征")</f>
        <v>——</v>
      </c>
      <c r="G58" s="2495" t="s">
        <v>1565</v>
      </c>
      <c r="H58" s="2496" t="s">
        <v>1562</v>
      </c>
      <c r="I58" s="2900"/>
      <c r="J58" s="2773"/>
      <c r="K58" s="2431" t="str">
        <f>IF(项目基本情况!I6="上海银行",IF(K57="",4,K57+1),"")</f>
        <v/>
      </c>
      <c r="L58" s="3549" t="str">
        <f>IF(项目基本情况!I6="上海银行","其他处置费用","")</f>
        <v/>
      </c>
      <c r="M58" s="3554"/>
      <c r="N58" s="2433" t="str">
        <f>IF(项目基本情况!I6="上海银行",N71,"")</f>
        <v/>
      </c>
      <c r="O58" s="3549" t="str">
        <f>IF(项目基本情况!I6="上海银行","包含处置中涉及的律师、诉讼、拍卖、评估等费用","")</f>
        <v/>
      </c>
      <c r="P58" s="3550"/>
    </row>
    <row r="59" spans="1:17" ht="12.75">
      <c r="A59" s="2010" t="s">
        <v>1540</v>
      </c>
      <c r="B59" s="3504" t="s">
        <v>1566</v>
      </c>
      <c r="C59" s="3493"/>
      <c r="D59" s="2486">
        <v>0</v>
      </c>
      <c r="E59" s="261" t="s">
        <v>1542</v>
      </c>
      <c r="F59" s="235"/>
      <c r="G59" s="2494"/>
      <c r="H59" s="2900"/>
      <c r="I59" s="2900"/>
      <c r="J59" s="2773"/>
      <c r="K59" s="3545">
        <f>IF(AND(K57="",K58=""),4,IF(项目基本情况!I6="上海银行",K58+1,K57+1))</f>
        <v>5</v>
      </c>
      <c r="L59" s="3545" t="s">
        <v>1567</v>
      </c>
      <c r="M59" s="2439" t="s">
        <v>1568</v>
      </c>
      <c r="N59" s="2440"/>
      <c r="O59" s="2441">
        <f>SUMIF(N54:N58,"&lt;9e307")</f>
        <v>0</v>
      </c>
      <c r="P59" s="2442"/>
      <c r="Q59" s="1234" t="e">
        <f>O59/N51</f>
        <v>#VALUE!</v>
      </c>
    </row>
    <row r="60" spans="1:17" ht="24.75">
      <c r="A60" s="2010" t="s">
        <v>1551</v>
      </c>
      <c r="B60" s="3504" t="s">
        <v>1569</v>
      </c>
      <c r="C60" s="3492"/>
      <c r="D60" s="12">
        <f>IF(H60="转让取得",C83,C99)</f>
        <v>0</v>
      </c>
      <c r="E60" s="2020" t="s">
        <v>1564</v>
      </c>
      <c r="F60" s="235" t="s">
        <v>48</v>
      </c>
      <c r="G60" s="2494"/>
      <c r="H60" s="2496" t="s">
        <v>1570</v>
      </c>
      <c r="I60" s="2900"/>
      <c r="J60" s="2773"/>
      <c r="K60" s="3545"/>
      <c r="L60" s="3545"/>
      <c r="M60" s="2439" t="s">
        <v>1571</v>
      </c>
      <c r="N60" s="2443"/>
      <c r="O60" s="2444" t="str">
        <f>IF(H19="元",NUMBERSTRING(INT(O59),2)&amp;"元整",NUMBERSTRING(INT(O59*10000),2)&amp;"元整")</f>
        <v>零元整</v>
      </c>
      <c r="P60" s="2445"/>
    </row>
    <row r="61" spans="1:17" ht="26.25" thickBot="1">
      <c r="A61" s="3520" t="s">
        <v>1572</v>
      </c>
      <c r="B61" s="3521"/>
      <c r="C61" s="3521"/>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51">
        <f>K59+1</f>
        <v>6</v>
      </c>
      <c r="L61" s="3545" t="s">
        <v>1573</v>
      </c>
      <c r="M61" s="2431" t="s">
        <v>1568</v>
      </c>
      <c r="N61" s="2446"/>
      <c r="O61" s="2447" t="e">
        <f>N51-O59</f>
        <v>#VALUE!</v>
      </c>
      <c r="P61" s="2448"/>
    </row>
    <row r="62" spans="1:17" ht="12" customHeight="1">
      <c r="A62" s="1385"/>
      <c r="B62" s="2481"/>
      <c r="C62" s="2481"/>
      <c r="D62" s="2481"/>
      <c r="E62" s="1385"/>
      <c r="F62" s="2900"/>
      <c r="G62" s="2900"/>
      <c r="H62" s="2895"/>
      <c r="I62" s="905"/>
      <c r="J62" s="2773"/>
      <c r="K62" s="3552"/>
      <c r="L62" s="3545"/>
      <c r="M62" s="2439" t="s">
        <v>1571</v>
      </c>
      <c r="N62" s="2443"/>
      <c r="O62" s="2444" t="e">
        <f>IF(H19="元",NUMBERSTRING(INT(O61),2)&amp;"元整",NUMBERSTRING(INT(O61*10000),2)&amp;"元整")</f>
        <v>#VALUE!</v>
      </c>
      <c r="P62" s="2445"/>
    </row>
    <row r="63" spans="1:17" ht="13.5" thickBot="1">
      <c r="A63" s="3553" t="s">
        <v>1574</v>
      </c>
      <c r="B63" s="3553"/>
      <c r="C63" s="3553"/>
      <c r="D63" s="3553"/>
      <c r="E63" s="3553"/>
      <c r="F63" s="2900"/>
      <c r="G63" s="2900"/>
      <c r="H63" s="2895"/>
      <c r="I63" s="905"/>
      <c r="J63" s="2765"/>
      <c r="K63" s="2431">
        <f>K61+1</f>
        <v>7</v>
      </c>
      <c r="L63" s="3545" t="s">
        <v>1575</v>
      </c>
      <c r="M63" s="3545"/>
      <c r="N63" s="2449"/>
      <c r="O63" s="2450" t="e">
        <f>IF(H19="元",ROUND(O61/项目基本情况!C12,0),ROUND(O61*10000/项目基本情况!C12,0))</f>
        <v>#VALUE!</v>
      </c>
      <c r="P63" s="2451"/>
    </row>
    <row r="64" spans="1:17" ht="12.75">
      <c r="A64" s="3471" t="s">
        <v>1576</v>
      </c>
      <c r="B64" s="3472"/>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41"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41"/>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41"/>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41"/>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41"/>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41"/>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41"/>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8" t="s">
        <v>1596</v>
      </c>
      <c r="B72" s="3559"/>
      <c r="C72" s="3559"/>
      <c r="D72" s="3559"/>
      <c r="E72" s="3559"/>
      <c r="F72" s="3559"/>
      <c r="G72" s="3559"/>
      <c r="H72" s="3559"/>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1" t="s">
        <v>1576</v>
      </c>
      <c r="B73" s="3472"/>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504" t="s">
        <v>1606</v>
      </c>
      <c r="F78" s="3492"/>
      <c r="G78" s="3492"/>
      <c r="H78" s="3505"/>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40" t="s">
        <v>1611</v>
      </c>
      <c r="F80" s="3441"/>
      <c r="G80" s="3441"/>
      <c r="H80" s="3461"/>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8" t="s">
        <v>1615</v>
      </c>
      <c r="B85" s="3559"/>
      <c r="C85" s="3559"/>
      <c r="D85" s="3559"/>
      <c r="E85" s="3559"/>
      <c r="F85" s="3559"/>
      <c r="G85" s="3559"/>
      <c r="H85" s="3559"/>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1" t="s">
        <v>1576</v>
      </c>
      <c r="B86" s="3472"/>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80" t="s">
        <v>2494</v>
      </c>
      <c r="H92" s="3560"/>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40" t="s">
        <v>1623</v>
      </c>
      <c r="F93" s="3441"/>
      <c r="G93" s="3441"/>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40" t="s">
        <v>1626</v>
      </c>
      <c r="F94" s="3441"/>
      <c r="G94" s="3441"/>
      <c r="H94" s="3461"/>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40" t="s">
        <v>1611</v>
      </c>
      <c r="F95" s="3441"/>
      <c r="G95" s="3441"/>
      <c r="H95" s="3461"/>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40" t="s">
        <v>1628</v>
      </c>
      <c r="F96" s="3441"/>
      <c r="G96" s="3441"/>
      <c r="H96" s="3461"/>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58" t="s">
        <v>1630</v>
      </c>
      <c r="B101" s="3459"/>
      <c r="C101" s="3459"/>
      <c r="D101" s="3460"/>
      <c r="E101" s="1389"/>
      <c r="F101" s="3555" t="s">
        <v>2536</v>
      </c>
      <c r="G101" s="3556"/>
      <c r="H101" s="3556"/>
      <c r="I101" s="3557"/>
      <c r="J101" s="2800"/>
    </row>
    <row r="102" spans="1:36" ht="15">
      <c r="A102" s="3475" t="s">
        <v>1632</v>
      </c>
      <c r="B102" s="3476"/>
      <c r="C102" s="2723">
        <f>C4</f>
        <v>0</v>
      </c>
      <c r="D102" s="2724">
        <f>D4</f>
        <v>0</v>
      </c>
      <c r="E102" s="1389"/>
      <c r="F102" s="3477" t="s">
        <v>2537</v>
      </c>
      <c r="G102" s="3479"/>
      <c r="H102" s="3490" t="s">
        <v>2538</v>
      </c>
      <c r="I102" s="3478"/>
      <c r="J102" s="2780"/>
    </row>
    <row r="103" spans="1:36" ht="12.75">
      <c r="A103" s="3561" t="s">
        <v>2532</v>
      </c>
      <c r="B103" s="2235" t="str">
        <f>IF(H19="元","总价（元）","总价（万元）")</f>
        <v>总价（元）</v>
      </c>
      <c r="C103" s="1235" t="e">
        <f ca="1">C19</f>
        <v>#REF!</v>
      </c>
      <c r="D103" s="2727" t="e">
        <f ca="1">D19</f>
        <v>#REF!</v>
      </c>
      <c r="E103" s="1389"/>
      <c r="F103" s="3562"/>
      <c r="G103" s="3563"/>
      <c r="H103" s="3481">
        <f>典型户型修正!B25</f>
        <v>0</v>
      </c>
      <c r="I103" s="3478"/>
      <c r="J103" s="2780"/>
    </row>
    <row r="104" spans="1:36" ht="12.75">
      <c r="A104" s="3561"/>
      <c r="B104" s="2235" t="s">
        <v>2533</v>
      </c>
      <c r="C104" s="2728" t="e">
        <f ca="1">C20</f>
        <v>#REF!</v>
      </c>
      <c r="D104" s="2729" t="e">
        <f ca="1">D20</f>
        <v>#REF!</v>
      </c>
      <c r="E104" s="1389"/>
      <c r="F104" s="3464" t="s">
        <v>2539</v>
      </c>
      <c r="G104" s="3465"/>
      <c r="H104" s="2737" t="str">
        <f>C110</f>
        <v>总价（元）</v>
      </c>
      <c r="I104" s="2738">
        <f>H125</f>
        <v>0</v>
      </c>
      <c r="J104" s="2780"/>
    </row>
    <row r="105" spans="1:36" ht="12.75">
      <c r="A105" s="3561" t="s">
        <v>2534</v>
      </c>
      <c r="B105" s="2173" t="str">
        <f>B103</f>
        <v>总价（元）</v>
      </c>
      <c r="C105" s="12" t="e">
        <f ca="1">ROUND(IF('数据-取费表'!B4="总价",G19,IF(H19="元",G20*'数据-取费表'!E5,G20*'数据-取费表'!E5/10000)),0)</f>
        <v>#REF!</v>
      </c>
      <c r="D105" s="2730"/>
      <c r="E105" s="1389"/>
      <c r="F105" s="3464"/>
      <c r="G105" s="3465"/>
      <c r="H105" s="2737" t="s">
        <v>2540</v>
      </c>
      <c r="I105" s="52" t="e">
        <f>I125</f>
        <v>#DIV/0!</v>
      </c>
      <c r="J105" s="2764"/>
    </row>
    <row r="106" spans="1:36" ht="12.75">
      <c r="A106" s="3561"/>
      <c r="B106" s="2235" t="s">
        <v>2533</v>
      </c>
      <c r="C106" s="1409" t="e">
        <f ca="1">ROUND(IF('数据-取费表'!B4="楼面单价",G20,IF(H19="元",G19/'数据-取费表'!E5,G19*10000/'数据-取费表'!E5)),0)</f>
        <v>#REF!</v>
      </c>
      <c r="D106" s="2730"/>
      <c r="E106" s="1389"/>
      <c r="F106" s="3464"/>
      <c r="G106" s="3465"/>
      <c r="H106" s="3496"/>
      <c r="I106" s="3497"/>
      <c r="J106" s="2781"/>
    </row>
    <row r="107" spans="1:36" ht="12.75">
      <c r="A107" s="3568" t="s">
        <v>2535</v>
      </c>
      <c r="B107" s="2731" t="str">
        <f>B103</f>
        <v>总价（元）</v>
      </c>
      <c r="C107" s="2732">
        <f>H125</f>
        <v>0</v>
      </c>
      <c r="D107" s="2733"/>
      <c r="E107" s="1389"/>
      <c r="F107" s="3500" t="s">
        <v>2541</v>
      </c>
      <c r="G107" s="3501"/>
      <c r="H107" s="2739" t="str">
        <f>C112</f>
        <v>总额（元）</v>
      </c>
      <c r="I107" s="2738">
        <f>SUMIF(I108:I110,"&lt;9E307")</f>
        <v>0</v>
      </c>
      <c r="J107" s="2780"/>
    </row>
    <row r="108" spans="1:36" ht="15" thickBot="1">
      <c r="A108" s="3495"/>
      <c r="B108" s="2734" t="s">
        <v>2533</v>
      </c>
      <c r="C108" s="2735" t="e">
        <f>I125</f>
        <v>#DIV/0!</v>
      </c>
      <c r="D108" s="2736"/>
      <c r="E108" s="1389"/>
      <c r="F108" s="3466" t="s">
        <v>2542</v>
      </c>
      <c r="G108" s="3467"/>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64" t="s">
        <v>1633</v>
      </c>
      <c r="B109" s="3565"/>
      <c r="C109" s="3565"/>
      <c r="D109" s="3566"/>
      <c r="E109" s="1389"/>
      <c r="F109" s="3466" t="s">
        <v>2543</v>
      </c>
      <c r="G109" s="3467"/>
      <c r="H109" s="2739" t="str">
        <f>C114</f>
        <v>总额（元）</v>
      </c>
      <c r="I109" s="52">
        <f>C39</f>
        <v>0</v>
      </c>
      <c r="J109" s="2764"/>
    </row>
    <row r="110" spans="1:36" ht="12.75">
      <c r="A110" s="3464" t="s">
        <v>2546</v>
      </c>
      <c r="B110" s="3465"/>
      <c r="C110" s="2737" t="str">
        <f>B103</f>
        <v>总价（元）</v>
      </c>
      <c r="D110" s="2738">
        <f>H125</f>
        <v>0</v>
      </c>
      <c r="E110" s="1389"/>
      <c r="F110" s="3466" t="s">
        <v>2544</v>
      </c>
      <c r="G110" s="3467"/>
      <c r="H110" s="2739" t="str">
        <f>C115</f>
        <v>总额（元）</v>
      </c>
      <c r="I110" s="52">
        <f>C40</f>
        <v>0</v>
      </c>
      <c r="J110" s="2764"/>
    </row>
    <row r="111" spans="1:36" ht="12.75">
      <c r="A111" s="3464"/>
      <c r="B111" s="3465"/>
      <c r="C111" s="2737" t="s">
        <v>2547</v>
      </c>
      <c r="D111" s="52" t="e">
        <f>I125</f>
        <v>#DIV/0!</v>
      </c>
      <c r="E111" s="1389"/>
      <c r="F111" s="3464"/>
      <c r="G111" s="3465"/>
      <c r="H111" s="3498"/>
      <c r="I111" s="3499"/>
      <c r="J111" s="2782"/>
    </row>
    <row r="112" spans="1:36" ht="28.5" customHeight="1">
      <c r="A112" s="3535" t="s">
        <v>2541</v>
      </c>
      <c r="B112" s="3536"/>
      <c r="C112" s="2739" t="str">
        <f>IF(H19="元","总额（元）","总额（万元）")</f>
        <v>总额（元）</v>
      </c>
      <c r="D112" s="2738">
        <f>IF(D38="正常操作",I108+I109+I110,I109+I110)</f>
        <v>0</v>
      </c>
      <c r="E112" s="1389"/>
      <c r="F112" s="3447" t="str">
        <f>IF(项目基本情况!F5="已注销","——","3.房地产抵押价值")</f>
        <v>3.房地产抵押价值</v>
      </c>
      <c r="G112" s="3448"/>
      <c r="H112" s="1409" t="str">
        <f>C116</f>
        <v>总价（元）</v>
      </c>
      <c r="I112" s="2738">
        <f>IF(F112="——","——",I104-I107)</f>
        <v>0</v>
      </c>
      <c r="J112" s="2780"/>
    </row>
    <row r="113" spans="1:27" ht="12.75">
      <c r="A113" s="3466" t="s">
        <v>2548</v>
      </c>
      <c r="B113" s="3467"/>
      <c r="C113" s="2739" t="str">
        <f>C112</f>
        <v>总额（元）</v>
      </c>
      <c r="D113" s="52">
        <f>IF(D38="同一抵押权人同一抵押物续贷",C38&amp;"（未扣减，详见特别提示）",C38)</f>
        <v>0</v>
      </c>
      <c r="E113" s="1389"/>
      <c r="F113" s="3449"/>
      <c r="G113" s="3450"/>
      <c r="H113" s="2737" t="s">
        <v>2540</v>
      </c>
      <c r="I113" s="2741" t="e">
        <f>D117</f>
        <v>#DIV/0!</v>
      </c>
      <c r="J113" s="2783"/>
    </row>
    <row r="114" spans="1:27" ht="12.75">
      <c r="A114" s="3466" t="s">
        <v>2549</v>
      </c>
      <c r="B114" s="3467"/>
      <c r="C114" s="2739" t="str">
        <f>C112</f>
        <v>总额（元）</v>
      </c>
      <c r="D114" s="52">
        <f>C39</f>
        <v>0</v>
      </c>
      <c r="E114" s="1389"/>
      <c r="F114" s="3447" t="str">
        <f>IF(项目基本情况!F5="已注销及未注销","4.抵押担保权已注销时的房地产抵押价值",IF(项目基本情况!F5="已注销","3.抵押担保权已注销时的房地产抵押价值","——"))</f>
        <v>——</v>
      </c>
      <c r="G114" s="3448"/>
      <c r="H114" s="1409" t="str">
        <f>C118</f>
        <v>总价（元）</v>
      </c>
      <c r="I114" s="2738" t="str">
        <f>IF(F114="——","——",I104-I109-I110)</f>
        <v>——</v>
      </c>
      <c r="J114" s="2780"/>
    </row>
    <row r="115" spans="1:27" ht="12.75">
      <c r="A115" s="3466" t="s">
        <v>2550</v>
      </c>
      <c r="B115" s="3467"/>
      <c r="C115" s="2739" t="str">
        <f>C112</f>
        <v>总额（元）</v>
      </c>
      <c r="D115" s="52">
        <f>C40</f>
        <v>0</v>
      </c>
      <c r="E115" s="1389"/>
      <c r="F115" s="3449"/>
      <c r="G115" s="3450"/>
      <c r="H115" s="2737" t="s">
        <v>2540</v>
      </c>
      <c r="I115" s="52" t="str">
        <f>D119</f>
        <v>——</v>
      </c>
      <c r="J115" s="2764"/>
    </row>
    <row r="116" spans="1:27" ht="12.75">
      <c r="A116" s="3464" t="str">
        <f>IF(项目基本情况!F5="已注销","——","3.房地产抵押价值")</f>
        <v>3.房地产抵押价值</v>
      </c>
      <c r="B116" s="3465"/>
      <c r="C116" s="2737" t="str">
        <f>B103</f>
        <v>总价（元）</v>
      </c>
      <c r="D116" s="2738">
        <f>IF(A116="——","——",D110-D112)</f>
        <v>0</v>
      </c>
      <c r="E116" s="1389"/>
      <c r="F116" s="3447" t="str">
        <f>IF(项目基本情况!G5="抵押净值",IF(OR(项目基本情况!F5="已注销",项目基本情况!F5="房地产抵押价值"),"4.抵押净值","5.抵押净值"),"——")</f>
        <v>——</v>
      </c>
      <c r="G116" s="3448"/>
      <c r="H116" s="2737" t="str">
        <f>C120</f>
        <v>总价（元）</v>
      </c>
      <c r="I116" s="2738" t="str">
        <f>IF(F116="——","——",O61)</f>
        <v>——</v>
      </c>
      <c r="J116" s="2780"/>
    </row>
    <row r="117" spans="1:27" ht="13.5" thickBot="1">
      <c r="A117" s="3464"/>
      <c r="B117" s="3465"/>
      <c r="C117" s="2737" t="s">
        <v>2547</v>
      </c>
      <c r="D117" s="52" t="e">
        <f>ROUND(IF(D116=D110,D111,IF(H19="元",D116/B125,D116*10000/B125)),0)</f>
        <v>#DIV/0!</v>
      </c>
      <c r="E117" s="1389"/>
      <c r="F117" s="3527"/>
      <c r="G117" s="3528"/>
      <c r="H117" s="2742" t="s">
        <v>2540</v>
      </c>
      <c r="I117" s="2726" t="str">
        <f>D121</f>
        <v>——</v>
      </c>
      <c r="J117" s="2764"/>
    </row>
    <row r="118" spans="1:27" ht="15.75">
      <c r="A118" s="3464" t="str">
        <f>IF(项目基本情况!F5="已注销及未注销","4.抵押担保权已注销时的房地产抵押价值",IF(项目基本情况!F5="已注销","3.抵押担保权已注销时的房地产抵押价值","——"))</f>
        <v>——</v>
      </c>
      <c r="B118" s="3465"/>
      <c r="C118" s="2737" t="str">
        <f>B103</f>
        <v>总价（元）</v>
      </c>
      <c r="D118" s="2738" t="str">
        <f>IF(A118="——","——",D110-D114-D115)</f>
        <v>——</v>
      </c>
      <c r="E118" s="1389"/>
      <c r="F118" s="3442"/>
      <c r="G118" s="3442"/>
      <c r="H118" s="3483"/>
      <c r="I118" s="3483"/>
      <c r="J118" s="2784"/>
      <c r="O118" s="32"/>
      <c r="P118" s="32"/>
    </row>
    <row r="119" spans="1:27" s="1236" customFormat="1" ht="12.75">
      <c r="A119" s="3464"/>
      <c r="B119" s="3465"/>
      <c r="C119" s="2737" t="s">
        <v>2547</v>
      </c>
      <c r="D119" s="52" t="str">
        <f>IF(A118="——","——",IF(H19="元",ROUND(D118/B125,0),ROUND(D118*10000/B125,0)))</f>
        <v>——</v>
      </c>
      <c r="E119" s="1389"/>
      <c r="F119" s="3567" t="str">
        <f>IF(B33="总价","（以上估价结果中楼面单价为总价除以建筑面积得出）","（以上估价结果中总价为楼面单价乘以建筑面积得出）")</f>
        <v>（以上估价结果中总价为楼面单价乘以建筑面积得出）</v>
      </c>
      <c r="G119" s="3567"/>
      <c r="H119" s="3567"/>
      <c r="I119" s="356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4" t="str">
        <f>IF(项目基本情况!G5="抵押净值",IF(OR(项目基本情况!F5="已注销",项目基本情况!F5="房地产抵押价值"),"4.抵押净值","5.抵押净值"),"——")</f>
        <v>——</v>
      </c>
      <c r="B120" s="3465"/>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33"/>
      <c r="B121" s="3534"/>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4" t="s">
        <v>1672</v>
      </c>
      <c r="B122" s="3485"/>
      <c r="C122" s="3485"/>
      <c r="D122" s="3485"/>
      <c r="E122" s="3485"/>
      <c r="F122" s="3485"/>
      <c r="G122" s="3485"/>
      <c r="H122" s="3485"/>
      <c r="I122" s="3485"/>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7" t="s">
        <v>2551</v>
      </c>
      <c r="B123" s="3455" t="s">
        <v>2552</v>
      </c>
      <c r="C123" s="3455" t="s">
        <v>2558</v>
      </c>
      <c r="D123" s="3462" t="s">
        <v>2553</v>
      </c>
      <c r="E123" s="3463"/>
      <c r="F123" s="3453" t="s">
        <v>2559</v>
      </c>
      <c r="G123" s="3453"/>
      <c r="H123" s="3453" t="s">
        <v>2554</v>
      </c>
      <c r="I123" s="345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7"/>
      <c r="B124" s="3456"/>
      <c r="C124" s="3456"/>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7" t="s">
        <v>2557</v>
      </c>
      <c r="B126" s="3453"/>
      <c r="C126" s="3453"/>
      <c r="D126" s="3488" t="str">
        <f>IF(H19="元",NUMBERSTRING(INT(D125),2)&amp;"元整",NUMBERSTRING(INT(D125*10000),2)&amp;"元整")</f>
        <v>零元整</v>
      </c>
      <c r="E126" s="3489"/>
      <c r="F126" s="3488" t="str">
        <f>IF(H19="元",NUMBERSTRING(INT(F125),2)&amp;"元整",NUMBERSTRING(INT(F125*10000),2)&amp;"元整")</f>
        <v>零元整</v>
      </c>
      <c r="G126" s="3489"/>
      <c r="H126" s="3488" t="str">
        <f>IF(H19="元",NUMBERSTRING(INT(H125),2)&amp;"元整",NUMBERSTRING(INT(H125*10000),2)&amp;"元整")</f>
        <v>零元整</v>
      </c>
      <c r="I126" s="3537"/>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77" t="str">
        <f>IF(项目基本情况!D5="房地产市场价值","——",MID(A112,3,LEN(A112)-2))</f>
        <v>估价师所知悉的法定优先受偿款</v>
      </c>
      <c r="B127" s="3490"/>
      <c r="C127" s="3479"/>
      <c r="D127" s="3481">
        <f>I107</f>
        <v>0</v>
      </c>
      <c r="E127" s="3490"/>
      <c r="F127" s="3490"/>
      <c r="G127" s="3490"/>
      <c r="H127" s="3490"/>
      <c r="I127" s="3478"/>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1" t="s">
        <v>2557</v>
      </c>
      <c r="B128" s="3492"/>
      <c r="C128" s="3493"/>
      <c r="D128" s="3529">
        <f>H111</f>
        <v>0</v>
      </c>
      <c r="E128" s="3530"/>
      <c r="F128" s="3530"/>
      <c r="G128" s="3530"/>
      <c r="H128" s="3530"/>
      <c r="I128" s="35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4" t="str">
        <f>IF(项目基本情况!D5="房地产市场价值","——",MID(A116,3,LEN(A116)-2))</f>
        <v>房地产抵押价值</v>
      </c>
      <c r="B129" s="3465"/>
      <c r="C129" s="3465"/>
      <c r="D129" s="3481">
        <f>I112</f>
        <v>0</v>
      </c>
      <c r="E129" s="3490"/>
      <c r="F129" s="3490"/>
      <c r="G129" s="3490"/>
      <c r="H129" s="3490"/>
      <c r="I129" s="3478"/>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7" t="s">
        <v>2557</v>
      </c>
      <c r="B130" s="3453"/>
      <c r="C130" s="3453"/>
      <c r="D130" s="3529" t="e">
        <f>I113</f>
        <v>#DIV/0!</v>
      </c>
      <c r="E130" s="3530"/>
      <c r="F130" s="3530"/>
      <c r="G130" s="3530"/>
      <c r="H130" s="3530"/>
      <c r="I130" s="35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4" t="str">
        <f>IF(项目基本情况!D5="房地产市场价值","——",MID(A118,3,LEN(A118)-2))</f>
        <v/>
      </c>
      <c r="B131" s="3465"/>
      <c r="C131" s="3465"/>
      <c r="D131" s="3437" t="str">
        <f>I114</f>
        <v>——</v>
      </c>
      <c r="E131" s="3438"/>
      <c r="F131" s="3438"/>
      <c r="G131" s="3438"/>
      <c r="H131" s="3438"/>
      <c r="I131" s="3439"/>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7" t="s">
        <v>2557</v>
      </c>
      <c r="B132" s="3453"/>
      <c r="C132" s="3504"/>
      <c r="D132" s="3482" t="str">
        <f>I115</f>
        <v>——</v>
      </c>
      <c r="E132" s="3482"/>
      <c r="F132" s="3482"/>
      <c r="G132" s="3482"/>
      <c r="H132" s="3482"/>
      <c r="I132" s="3482"/>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4" t="str">
        <f>IF(项目基本情况!D5="房地产市场价值","——",MID(F116,3,LEN(F116)-2))</f>
        <v/>
      </c>
      <c r="B133" s="3465"/>
      <c r="C133" s="3481"/>
      <c r="D133" s="3532" t="str">
        <f>I116</f>
        <v>——</v>
      </c>
      <c r="E133" s="3532"/>
      <c r="F133" s="3532"/>
      <c r="G133" s="3532"/>
      <c r="H133" s="3532"/>
      <c r="I133" s="3532"/>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20" t="s">
        <v>2557</v>
      </c>
      <c r="B134" s="3521"/>
      <c r="C134" s="3521"/>
      <c r="D134" s="3538">
        <f>H118</f>
        <v>0</v>
      </c>
      <c r="E134" s="3539"/>
      <c r="F134" s="3539"/>
      <c r="G134" s="3539"/>
      <c r="H134" s="3539"/>
      <c r="I134" s="3540"/>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25" t="str">
        <f>IF(B33="总价","（以上估价结果中楼面单价为总价除以建筑面积得出）","（以上估价结果中总价为楼面单价乘以建筑面积得出）")</f>
        <v>（以上估价结果中总价为楼面单价乘以建筑面积得出）</v>
      </c>
      <c r="B136" s="3525"/>
      <c r="C136" s="3525"/>
      <c r="D136" s="3525"/>
      <c r="E136" s="3525"/>
      <c r="F136" s="3525"/>
      <c r="G136" s="3525"/>
      <c r="H136" s="3525"/>
      <c r="I136" s="352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34" zoomScale="90" zoomScaleNormal="80" zoomScaleSheetLayoutView="90" workbookViewId="0">
      <selection activeCell="C44" sqref="C4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t="s">
        <v>2506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2549671</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55951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1663276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ROUND([2]基准地价修正!$C$33*[2]基准地价修正!$D$33,0)</f>
        <v>1605203</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48959</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9114</v>
      </c>
      <c r="D8" s="1099"/>
      <c r="E8" s="115"/>
      <c r="F8" s="1098"/>
      <c r="G8" s="1446" t="s">
        <v>3029</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9114</v>
      </c>
      <c r="D10" s="1101">
        <f>IF('数据-取费表'!B10&lt;&gt;"住宅",IF(B1="仅计算典型户型",'数据-取费表'!E5,'数据-取费表'!B5),0)</f>
        <v>45.57</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45.57</v>
      </c>
      <c r="E19" s="111">
        <f>'数据-取费表'!E15</f>
        <v>200</v>
      </c>
      <c r="F19" s="112"/>
      <c r="G19" s="1446" t="s">
        <v>3030</v>
      </c>
    </row>
    <row r="20" spans="1:123" s="91" customFormat="1" ht="13.5" customHeight="1">
      <c r="A20" s="120" t="s">
        <v>1702</v>
      </c>
      <c r="B20" s="89" t="s">
        <v>1703</v>
      </c>
      <c r="C20" s="99">
        <f>ROUND((C5+C19)*F20,0)</f>
        <v>33266</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163344</v>
      </c>
      <c r="D22" s="101">
        <f ca="1">C26</f>
        <v>1E-3</v>
      </c>
      <c r="E22" s="102" t="s">
        <v>1707</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161764</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1580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339308</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339308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2386019</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151976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136710</v>
      </c>
      <c r="D34" s="1096"/>
      <c r="E34" s="115"/>
      <c r="F34" s="1107" t="str">
        <f>IF('数据-取费表'!B26=0,"",'数据-取费表'!E20)</f>
        <v/>
      </c>
      <c r="G34" s="95"/>
    </row>
    <row r="35" spans="1:123" ht="13.5" customHeight="1">
      <c r="A35" s="92" t="s">
        <v>1685</v>
      </c>
      <c r="B35" s="93" t="s">
        <v>1734</v>
      </c>
      <c r="C35" s="115">
        <f>ROUND(C34*F35,0)</f>
        <v>4101</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9114</v>
      </c>
      <c r="D37" s="1096">
        <f>IF(B1="仅计算典型户型",'数据-取费表'!E5,'数据-取费表'!B5)</f>
        <v>45.57</v>
      </c>
      <c r="E37" s="115">
        <f>'数据-取费表'!E23</f>
        <v>200</v>
      </c>
      <c r="F37" s="1108"/>
      <c r="G37" s="124" t="s">
        <v>1739</v>
      </c>
    </row>
    <row r="38" spans="1:123" ht="13.5" customHeight="1">
      <c r="A38" s="92" t="s">
        <v>1740</v>
      </c>
      <c r="B38" s="93" t="s">
        <v>1741</v>
      </c>
      <c r="C38" s="115">
        <f>ROUND(C34*F38,0)</f>
        <v>2051</v>
      </c>
      <c r="D38" s="115"/>
      <c r="E38" s="115"/>
      <c r="F38" s="1108">
        <f>'数据-取费表'!E24</f>
        <v>1.4999999999999999E-2</v>
      </c>
      <c r="G38" s="95" t="s">
        <v>1735</v>
      </c>
    </row>
    <row r="39" spans="1:123" s="91" customFormat="1" ht="13.5" customHeight="1">
      <c r="A39" s="120" t="s">
        <v>1700</v>
      </c>
      <c r="B39" s="89" t="s">
        <v>1703</v>
      </c>
      <c r="C39" s="99">
        <f>ROUND(C33*F20,0)</f>
        <v>3040</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7363</v>
      </c>
      <c r="D41" s="101">
        <f ca="1">C44</f>
        <v>1E-3</v>
      </c>
      <c r="E41" s="102" t="s">
        <v>1743</v>
      </c>
      <c r="F41" s="2806">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7219</v>
      </c>
      <c r="D42" s="104"/>
      <c r="E42" s="104"/>
      <c r="F42" s="105"/>
      <c r="G42" s="3570" t="s">
        <v>1745</v>
      </c>
    </row>
    <row r="43" spans="1:123" ht="13.5" customHeight="1">
      <c r="A43" s="92" t="s">
        <v>1685</v>
      </c>
      <c r="B43" s="93" t="s">
        <v>1714</v>
      </c>
      <c r="C43" s="104">
        <f ca="1">ROUND(IF('数据-取费表'!B24&lt;=1,C39*F22*'数据-取费表'!B23/2,C39*(POWER((1+F22),'数据-取费表'!B23/2)-1)),0)</f>
        <v>144</v>
      </c>
      <c r="D43" s="104"/>
      <c r="E43" s="104"/>
      <c r="F43" s="105"/>
      <c r="G43" s="3571"/>
    </row>
    <row r="44" spans="1:123" ht="13.5" customHeight="1">
      <c r="A44" s="92" t="s">
        <v>1687</v>
      </c>
      <c r="B44" s="93" t="s">
        <v>1716</v>
      </c>
      <c r="C44" s="104">
        <f ca="1">ROUND(IF('数据-取费表'!B24&lt;=1,C40*F22*'数据-取费表'!B23/2,C40*(POWER((1+F22),'数据-取费表'!B23/2)-1)),4)</f>
        <v>1E-3</v>
      </c>
      <c r="D44" s="104"/>
      <c r="E44" s="104"/>
      <c r="F44" s="105"/>
      <c r="G44" s="3572"/>
    </row>
    <row r="45" spans="1:123" s="91" customFormat="1" ht="13.5" customHeight="1">
      <c r="A45" s="120" t="s">
        <v>1709</v>
      </c>
      <c r="B45" s="110" t="s">
        <v>1721</v>
      </c>
      <c r="C45" s="111">
        <f>C46</f>
        <v>31003</v>
      </c>
      <c r="D45" s="101">
        <f>C47</f>
        <v>4.0000000000000001E-3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31003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209810</v>
      </c>
      <c r="D49" s="99"/>
      <c r="E49" s="99"/>
      <c r="F49" s="126"/>
      <c r="G49" s="100" t="s">
        <v>1753</v>
      </c>
    </row>
    <row r="50" spans="1:123" s="122" customFormat="1" ht="24">
      <c r="A50" s="952" t="s">
        <v>1754</v>
      </c>
      <c r="B50" s="89" t="s">
        <v>1755</v>
      </c>
      <c r="C50" s="99"/>
      <c r="D50" s="99"/>
      <c r="E50" s="99"/>
      <c r="F50" s="126">
        <f>IF('数据-取费表'!B26=0,'数据-取费表'!E20,1)</f>
        <v>0.78</v>
      </c>
      <c r="G50" s="113" t="s">
        <v>1756</v>
      </c>
    </row>
    <row r="51" spans="1:123" ht="16.5" customHeight="1">
      <c r="A51" s="952" t="s">
        <v>1757</v>
      </c>
      <c r="B51" s="89" t="s">
        <v>1758</v>
      </c>
      <c r="C51" s="99">
        <f ca="1">ROUND(C49*F50,0)</f>
        <v>163652</v>
      </c>
      <c r="D51" s="99"/>
      <c r="E51" s="99"/>
      <c r="F51" s="126"/>
      <c r="G51" s="100" t="s">
        <v>1759</v>
      </c>
    </row>
    <row r="52" spans="1:123" s="88" customFormat="1" ht="16.5" thickBot="1">
      <c r="A52" s="127" t="s">
        <v>1760</v>
      </c>
      <c r="B52" s="128"/>
      <c r="C52" s="129">
        <f ca="1">C31+C51</f>
        <v>2549671</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6.4000000000000001E-2</v>
      </c>
    </row>
    <row r="57" spans="1:123">
      <c r="B57" s="135" t="s">
        <v>1763</v>
      </c>
      <c r="C57" s="137">
        <f ca="1">1-C56</f>
        <v>0.93599999999999994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9034</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0.21999999999999997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-9114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-9114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-182</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4.7500000000000001E-2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-1859</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-1859</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9034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36" zoomScale="90" zoomScaleNormal="60" zoomScaleSheetLayoutView="90" workbookViewId="0">
      <selection activeCell="D54" sqref="D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593111</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13015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41051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41000</v>
      </c>
      <c r="D6" s="36" t="s">
        <v>2461</v>
      </c>
      <c r="E6" s="235" t="s">
        <v>1776</v>
      </c>
      <c r="F6" s="236">
        <f>'数据-取费表'!B30</f>
        <v>2.9</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45.57</v>
      </c>
      <c r="G7" s="909"/>
      <c r="H7" s="237"/>
      <c r="I7" s="238"/>
      <c r="J7" s="239"/>
      <c r="K7" s="240"/>
      <c r="L7" s="235" t="s">
        <v>1777</v>
      </c>
      <c r="M7" s="236">
        <f>IF('数据-取费表'!B42="",IF(D1="仅计算典型户型",'数据-取费表'!E5,'数据-取费表'!B5),'数据-取费表'!B42)</f>
        <v>45.57</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0.15</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51</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163652</v>
      </c>
      <c r="D13" s="1023" t="s">
        <v>1791</v>
      </c>
      <c r="E13" s="1023" t="s">
        <v>1792</v>
      </c>
      <c r="F13" s="1024">
        <f>'数据-取费表'!E20</f>
        <v>0.78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136710</v>
      </c>
      <c r="D14" s="1256" t="s">
        <v>1795</v>
      </c>
      <c r="E14" s="1257"/>
      <c r="F14" s="757"/>
      <c r="G14" s="910"/>
      <c r="H14" s="253" t="s">
        <v>1774</v>
      </c>
      <c r="I14" s="235" t="s">
        <v>1796</v>
      </c>
      <c r="J14" s="13">
        <f ca="1">C29</f>
        <v>209810</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4101</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3147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9114</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7.0000000000000007E-2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2051</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151976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3040</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3147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7363</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1E-3</v>
      </c>
      <c r="D24" s="1360" t="str">
        <f>IF(F23&lt;=1,"销售费用×利率×(建设周期÷2)","销售费用×((1+利率)^(建设周期÷2)-1)")</f>
        <v>销售费用×((1+利率)^(建设周期÷2)-1)</v>
      </c>
      <c r="E24" s="235" t="s">
        <v>1845</v>
      </c>
      <c r="F24" s="267">
        <f ca="1">'数据-取费表'!E27</f>
        <v>4.7500000000000001E-2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-3147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31003</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209810</v>
      </c>
      <c r="D29" s="1034"/>
      <c r="E29" s="1032"/>
      <c r="F29" s="1035"/>
      <c r="G29" s="652"/>
      <c r="H29" s="271" t="s">
        <v>24</v>
      </c>
      <c r="I29" s="272" t="s">
        <v>1869</v>
      </c>
      <c r="J29" s="273">
        <f ca="1">ROUND(J26/(1+F40)^F41,0)</f>
        <v>0</v>
      </c>
      <c r="K29" s="274" t="s">
        <v>1870</v>
      </c>
      <c r="L29" s="275"/>
      <c r="M29" s="276">
        <f>IF(D1="仅计算典型户型",'数据-取费表'!E5,'数据-取费表'!B5)</f>
        <v>45.57</v>
      </c>
    </row>
    <row r="30" spans="1:37" ht="18" customHeight="1" thickTop="1">
      <c r="A30" s="1021" t="s">
        <v>14</v>
      </c>
      <c r="B30" s="1022" t="s">
        <v>1871</v>
      </c>
      <c r="C30" s="243">
        <f ca="1">ROUND(C31+C36+C37+C38,0)</f>
        <v>6536</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2733</v>
      </c>
      <c r="D31" s="1256" t="s">
        <v>1873</v>
      </c>
      <c r="E31" s="1259" t="s">
        <v>1874</v>
      </c>
      <c r="F31" s="2744">
        <f>IF(项目基本情况!B7="企业","——",IF('数据-取费表'!B10="住宅",IF(F6*F7*F8/12/(1+'数据-取费表'!F30)&gt;100000,4%,2.5%),IF(F6*F7*F8/12/(1+'数据-取费表'!F30)&gt;100000,12%,7%)))</f>
        <v>7.0000000000000007E-2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9001</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5.5E-2</v>
      </c>
      <c r="K35" s="902"/>
      <c r="L35" s="901"/>
      <c r="M35" s="901"/>
    </row>
    <row r="36" spans="1:18" ht="18" customHeight="1">
      <c r="A36" s="1018" t="s">
        <v>1781</v>
      </c>
      <c r="B36" s="235" t="s">
        <v>1880</v>
      </c>
      <c r="C36" s="13">
        <f ca="1">ROUND(C29*F36,0)</f>
        <v>3147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245</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411</v>
      </c>
      <c r="D38" s="1034" t="s">
        <v>1846</v>
      </c>
      <c r="E38" s="1032" t="s">
        <v>1842</v>
      </c>
      <c r="F38" s="1027">
        <f>'数据-取费表'!B47</f>
        <v>0.01</v>
      </c>
      <c r="G38" s="652"/>
      <c r="H38" s="901"/>
      <c r="I38" s="280" t="s">
        <v>1884</v>
      </c>
      <c r="J38" s="136">
        <f ca="1">ROUND(J34/C39,3)</f>
        <v>0.26100000000000001</v>
      </c>
      <c r="K38" s="906"/>
      <c r="L38" s="901"/>
      <c r="M38" s="901"/>
    </row>
    <row r="39" spans="1:18" ht="18" customHeight="1" thickTop="1">
      <c r="A39" s="1021" t="s">
        <v>22</v>
      </c>
      <c r="B39" s="1036" t="s">
        <v>1885</v>
      </c>
      <c r="C39" s="243">
        <f ca="1">C5-C30</f>
        <v>34515</v>
      </c>
      <c r="D39" s="1037" t="s">
        <v>1886</v>
      </c>
      <c r="E39" s="1038"/>
      <c r="F39" s="1039"/>
      <c r="G39" s="652"/>
      <c r="H39" s="901"/>
      <c r="I39" s="280" t="s">
        <v>1887</v>
      </c>
      <c r="J39" s="136">
        <f ca="1">1-J38</f>
        <v>0.73899999999999999</v>
      </c>
      <c r="K39" s="906"/>
      <c r="L39" s="901"/>
      <c r="M39" s="901"/>
    </row>
    <row r="40" spans="1:18" s="652" customFormat="1" ht="18" customHeight="1">
      <c r="A40" s="232" t="s">
        <v>23</v>
      </c>
      <c r="B40" s="233" t="s">
        <v>1888</v>
      </c>
      <c r="C40" s="234">
        <f ca="1">ROUND(C39*(1-((1+F42)/(1+F40))^F41)/(F40-F42),0)</f>
        <v>593111</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3337">
        <f>IF('数据-取费表'!B29="租赁期内按合同租金",'数据-取费表'!B35,IF(E41="收益年期(n)",'数据-取费表'!B34,'数据-取费表'!B13))</f>
        <v>25</v>
      </c>
      <c r="H41" s="908"/>
      <c r="I41" s="135" t="s">
        <v>1762</v>
      </c>
      <c r="J41" s="136">
        <f ca="1">ROUND(C13/C40,3)</f>
        <v>0.27600000000000002</v>
      </c>
      <c r="K41" s="905"/>
      <c r="L41" s="908"/>
      <c r="M41" s="908"/>
      <c r="Q41" s="656"/>
    </row>
    <row r="42" spans="1:18" s="652" customFormat="1" ht="18" customHeight="1">
      <c r="A42" s="241"/>
      <c r="B42" s="242"/>
      <c r="C42" s="243"/>
      <c r="D42" s="264"/>
      <c r="E42" s="235" t="s">
        <v>1866</v>
      </c>
      <c r="F42" s="245">
        <f>'数据-取费表'!B32</f>
        <v>0.02</v>
      </c>
      <c r="H42" s="908"/>
      <c r="I42" s="135" t="s">
        <v>1763</v>
      </c>
      <c r="J42" s="137">
        <f ca="1">1-J41</f>
        <v>0.72399999999999998</v>
      </c>
      <c r="K42" s="905"/>
      <c r="L42" s="908"/>
      <c r="M42" s="908"/>
      <c r="Q42" s="656"/>
    </row>
    <row r="43" spans="1:18" s="652" customFormat="1" ht="18" customHeight="1" thickBot="1">
      <c r="A43" s="271" t="s">
        <v>24</v>
      </c>
      <c r="B43" s="272" t="s">
        <v>1891</v>
      </c>
      <c r="C43" s="273">
        <f ca="1">ROUND(C40/F43,0)</f>
        <v>13015</v>
      </c>
      <c r="D43" s="274" t="s">
        <v>1892</v>
      </c>
      <c r="E43" s="275" t="s">
        <v>1893</v>
      </c>
      <c r="F43" s="276">
        <f>IF(D1="仅计算典型户型",'数据-取费表'!E5,'数据-取费表'!B5)</f>
        <v>45.57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593111</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-640918</v>
      </c>
      <c r="D47" s="1456" t="str">
        <f>C2</f>
        <v>元</v>
      </c>
      <c r="E47" s="649"/>
      <c r="F47" s="649"/>
      <c r="I47" s="1457" t="s">
        <v>1904</v>
      </c>
      <c r="J47" s="981"/>
      <c r="K47" s="982"/>
      <c r="L47" s="995" t="str">
        <f>IF(M48="住宅",0,IF(L49&gt;J52,L61,J61))</f>
        <v>0</v>
      </c>
      <c r="O47" s="1009" t="s">
        <v>769</v>
      </c>
      <c r="P47" s="1006" t="s">
        <v>1905</v>
      </c>
      <c r="Q47" s="1007">
        <f ca="1">C29</f>
        <v>209810</v>
      </c>
      <c r="R47" s="1008" t="s">
        <v>1900</v>
      </c>
    </row>
    <row r="48" spans="1:18" s="652" customFormat="1" ht="15.75" thickBot="1">
      <c r="A48" s="228" t="s">
        <v>1906</v>
      </c>
      <c r="B48" s="229" t="s">
        <v>1907</v>
      </c>
      <c r="C48" s="229" t="s">
        <v>1908</v>
      </c>
      <c r="D48" s="229" t="s">
        <v>1909</v>
      </c>
      <c r="E48" s="944" t="s">
        <v>1910</v>
      </c>
      <c r="F48" s="945"/>
      <c r="I48" s="1458" t="s">
        <v>1911</v>
      </c>
      <c r="J48" s="1459" t="s">
        <v>3036</v>
      </c>
      <c r="K48" s="1460" t="s">
        <v>1912</v>
      </c>
      <c r="L48" s="983">
        <f>'数据-取费表'!B11</f>
        <v>40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3037</v>
      </c>
      <c r="K49" s="1463" t="s">
        <v>1916</v>
      </c>
      <c r="L49" s="821">
        <f>'数据-取费表'!B13</f>
        <v>25</v>
      </c>
      <c r="O49" s="1009" t="s">
        <v>771</v>
      </c>
      <c r="P49" s="1006" t="s">
        <v>1917</v>
      </c>
      <c r="Q49" s="1010">
        <f>J53</f>
        <v>5.5E-2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25</v>
      </c>
      <c r="R50" s="1008" t="s">
        <v>1923</v>
      </c>
    </row>
    <row r="51" spans="1:18" s="652" customFormat="1" ht="15.75" thickBot="1">
      <c r="A51" s="237"/>
      <c r="B51" s="238"/>
      <c r="C51" s="239"/>
      <c r="D51" s="240"/>
      <c r="E51" s="255" t="s">
        <v>1777</v>
      </c>
      <c r="F51" s="943">
        <f>F7</f>
        <v>45.57</v>
      </c>
      <c r="I51" s="1461" t="s">
        <v>1924</v>
      </c>
      <c r="J51" s="985">
        <f>SUMPRODUCT((I64:I66=J48)*(J63:L63=J49)*(J64:L66))</f>
        <v>60</v>
      </c>
      <c r="K51" s="1465" t="s">
        <v>1925</v>
      </c>
      <c r="L51" s="984"/>
      <c r="O51" s="1005" t="s">
        <v>773</v>
      </c>
      <c r="P51" s="1006" t="str">
        <f>IF(C2="元","收益价值(元)","收益价值(万元)")</f>
        <v>收益价值(元)</v>
      </c>
      <c r="Q51" s="1007">
        <f ca="1">ROUND(IF(C2="元",Q45+Q46,(Q45+Q46)/10000),0)</f>
        <v>593111</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10502894</v>
      </c>
      <c r="O52" s="999" t="s">
        <v>1928</v>
      </c>
      <c r="P52" s="1000"/>
      <c r="Q52" s="996"/>
      <c r="R52" s="1000"/>
    </row>
    <row r="53" spans="1:18" s="652" customFormat="1" ht="15.75" thickBot="1">
      <c r="A53" s="241"/>
      <c r="B53" s="242"/>
      <c r="C53" s="243"/>
      <c r="D53" s="244"/>
      <c r="E53" s="235" t="s">
        <v>1780</v>
      </c>
      <c r="F53" s="994"/>
      <c r="I53" s="1468" t="s">
        <v>1929</v>
      </c>
      <c r="J53" s="988">
        <f>'数据-取费表'!B17</f>
        <v>5.5E-2</v>
      </c>
      <c r="K53" s="1468" t="s">
        <v>1930</v>
      </c>
      <c r="L53" s="988">
        <v>5.5E-2</v>
      </c>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25</v>
      </c>
      <c r="K54" s="3573" t="s">
        <v>2460</v>
      </c>
      <c r="L54" s="3574"/>
      <c r="O54" s="1005" t="s">
        <v>767</v>
      </c>
      <c r="P54" s="1006" t="s">
        <v>1899</v>
      </c>
      <c r="Q54" s="1007">
        <f ca="1">C40+J29</f>
        <v>593111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163652</v>
      </c>
      <c r="D57" s="941"/>
      <c r="E57" s="942"/>
      <c r="F57" s="949"/>
      <c r="I57" s="1475" t="s">
        <v>1936</v>
      </c>
      <c r="J57" s="993" t="s">
        <v>3097</v>
      </c>
      <c r="K57" s="1461" t="s">
        <v>1937</v>
      </c>
      <c r="L57" s="821" t="str">
        <f>IF(L49&lt;J52,"——",L49-J52)</f>
        <v>——</v>
      </c>
      <c r="O57" s="1009" t="s">
        <v>770</v>
      </c>
      <c r="P57" s="1006" t="s">
        <v>1938</v>
      </c>
      <c r="Q57" s="1010">
        <f>L53</f>
        <v>5.5E-2</v>
      </c>
      <c r="R57" s="1008"/>
    </row>
    <row r="58" spans="1:18" s="652" customFormat="1" ht="29.25" thickBot="1">
      <c r="A58" s="948"/>
      <c r="B58" s="235" t="s">
        <v>1868</v>
      </c>
      <c r="C58" s="104">
        <f ca="1">C29</f>
        <v>209810</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f>L59</f>
        <v>0.83599999999999997</v>
      </c>
      <c r="R58" s="1008" t="s">
        <v>1942</v>
      </c>
    </row>
    <row r="59" spans="1:18" s="652" customFormat="1" ht="29.25" thickBot="1">
      <c r="A59" s="248" t="s">
        <v>14</v>
      </c>
      <c r="B59" s="249" t="s">
        <v>1871</v>
      </c>
      <c r="C59" s="250">
        <f ca="1">ROUND(C60+C65+C66+C67,0)</f>
        <v>3392</v>
      </c>
      <c r="D59" s="12" t="s">
        <v>1872</v>
      </c>
      <c r="E59" s="1261"/>
      <c r="F59" s="15"/>
      <c r="I59" s="1476" t="s">
        <v>1943</v>
      </c>
      <c r="J59" s="1247" t="e">
        <f>IF(J56&lt;0.4,0.4,J56)</f>
        <v>#VALUE!</v>
      </c>
      <c r="K59" s="1467" t="s">
        <v>1944</v>
      </c>
      <c r="L59" s="821">
        <f>ROUND(POWER(1+L53,L48-L49)*(POWER(1+L53,L49)-1)/(POWER(1+L53,L48)-1),4)</f>
        <v>0.83599999999999997</v>
      </c>
      <c r="O59" s="1009" t="s">
        <v>772</v>
      </c>
      <c r="P59" s="1006" t="str">
        <f>K60</f>
        <v>建筑物剩余耐用年限下的土地年期修正系数Kn</v>
      </c>
      <c r="Q59" s="1007">
        <f>L60</f>
        <v>1.0416000000000001</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7.0000000000000007E-2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f>ROUND(IF(E1="在建（套用方法）",M60,IF(E1="土地（套用方法）",N60,POWER(1+L53,L48-J52)*(POWER(1+L53,J52)-1)/(POWER(1+L53,L48)-1))),4)</f>
        <v>1.0416000000000001</v>
      </c>
      <c r="M60" s="1000">
        <f>ROUND(POWER(1+L53,L48-(J52+'数据-取费表'!B26))*(POWER(1+L53,(J52+'数据-取费表'!B26))-1)/(POWER(1+L53,L48)-1),4)</f>
        <v>1.0416000000000001</v>
      </c>
      <c r="N60" s="1000">
        <f>ROUND(POWER(1+L53,L48-(J52+'数据-取费表'!B22))*(POWER(1+L53,(J52+'数据-取费表'!B22))-1)/(POWER(1+L53,L48)-1),4)</f>
        <v>1.0508999999999999</v>
      </c>
      <c r="O60" s="1005" t="s">
        <v>773</v>
      </c>
      <c r="P60" s="1006" t="str">
        <f>IF(C2="元","收益价值(元)","收益价值(万元)")</f>
        <v>收益价值(元)</v>
      </c>
      <c r="Q60" s="1007">
        <f ca="1">ROUND(IF(C2="元",Q54+Q55,(Q54+Q55)/10000),0)</f>
        <v>593111</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593111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3147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10502894</v>
      </c>
      <c r="R65" s="1012" t="s">
        <v>1962</v>
      </c>
    </row>
    <row r="66" spans="1:18" s="652" customFormat="1" ht="20.25" thickBot="1">
      <c r="A66" s="253" t="s">
        <v>20</v>
      </c>
      <c r="B66" s="235" t="s">
        <v>1840</v>
      </c>
      <c r="C66" s="13">
        <f ca="1">ROUND(C57*F66,0)</f>
        <v>245</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25514</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34515</v>
      </c>
      <c r="R67" s="1008" t="s">
        <v>1900</v>
      </c>
    </row>
    <row r="68" spans="1:18" ht="15.75" thickBot="1">
      <c r="A68" s="248" t="s">
        <v>22</v>
      </c>
      <c r="B68" s="41" t="s">
        <v>1850</v>
      </c>
      <c r="C68" s="250">
        <f ca="1">C49-C59</f>
        <v>-3392</v>
      </c>
      <c r="D68" s="1256" t="s">
        <v>1851</v>
      </c>
      <c r="E68" s="1258"/>
      <c r="F68" s="268"/>
      <c r="H68" s="652"/>
      <c r="I68" s="652"/>
      <c r="J68" s="652"/>
      <c r="K68" s="652"/>
      <c r="L68" s="652"/>
      <c r="M68" s="652"/>
      <c r="O68" s="1009" t="s">
        <v>776</v>
      </c>
      <c r="P68" s="1013" t="s">
        <v>1966</v>
      </c>
      <c r="Q68" s="1007">
        <f ca="1">C13</f>
        <v>163652</v>
      </c>
      <c r="R68" s="1008" t="s">
        <v>1900</v>
      </c>
    </row>
    <row r="69" spans="1:18" ht="15.75" thickBot="1">
      <c r="A69" s="232" t="s">
        <v>23</v>
      </c>
      <c r="B69" s="233" t="s">
        <v>1888</v>
      </c>
      <c r="C69" s="234">
        <f ca="1">ROUND(C68*(1-((1+F71)/(1+F69))^F70)/(F69-F71),0)</f>
        <v>-47807</v>
      </c>
      <c r="D69" s="261" t="s">
        <v>1856</v>
      </c>
      <c r="E69" s="235" t="s">
        <v>1857</v>
      </c>
      <c r="F69" s="245">
        <f>F40</f>
        <v>0.05</v>
      </c>
      <c r="H69" s="652"/>
      <c r="I69" s="652"/>
      <c r="J69" s="652"/>
      <c r="K69" s="652"/>
      <c r="L69" s="652"/>
      <c r="M69" s="652"/>
      <c r="O69" s="1009" t="s">
        <v>777</v>
      </c>
      <c r="P69" s="1013" t="s">
        <v>1967</v>
      </c>
      <c r="Q69" s="1010">
        <f>J35</f>
        <v>5.5E-2</v>
      </c>
      <c r="R69" s="1008"/>
    </row>
    <row r="70" spans="1:18" ht="15.75" thickBot="1">
      <c r="A70" s="237"/>
      <c r="B70" s="238"/>
      <c r="C70" s="239"/>
      <c r="D70" s="269" t="s">
        <v>1890</v>
      </c>
      <c r="E70" s="235" t="s">
        <v>1862</v>
      </c>
      <c r="F70" s="270">
        <f>F41</f>
        <v>25</v>
      </c>
      <c r="H70" s="652"/>
      <c r="I70" s="652"/>
      <c r="J70" s="652"/>
      <c r="K70" s="652"/>
      <c r="L70" s="652"/>
      <c r="M70" s="652"/>
      <c r="O70" s="1009" t="s">
        <v>771</v>
      </c>
      <c r="P70" s="1006" t="s">
        <v>1938</v>
      </c>
      <c r="Q70" s="1010">
        <f>L53</f>
        <v>5.5E-2</v>
      </c>
      <c r="R70" s="1008"/>
    </row>
    <row r="71" spans="1:18" ht="20.25" thickBot="1">
      <c r="A71" s="241"/>
      <c r="B71" s="242"/>
      <c r="C71" s="243"/>
      <c r="D71" s="264"/>
      <c r="E71" s="235" t="s">
        <v>1866</v>
      </c>
      <c r="F71" s="994"/>
      <c r="H71" s="652"/>
      <c r="M71" s="652"/>
      <c r="O71" s="1009" t="s">
        <v>772</v>
      </c>
      <c r="P71" s="1006" t="s">
        <v>1941</v>
      </c>
      <c r="Q71" s="1007">
        <f>L59</f>
        <v>0.83599999999999997</v>
      </c>
      <c r="R71" s="1008" t="s">
        <v>1942</v>
      </c>
    </row>
    <row r="72" spans="1:18" ht="15.75" thickBot="1">
      <c r="A72" s="271" t="s">
        <v>24</v>
      </c>
      <c r="B72" s="272" t="s">
        <v>1891</v>
      </c>
      <c r="C72" s="273">
        <f ca="1">ROUND(C69/F72,0)</f>
        <v>-1049</v>
      </c>
      <c r="D72" s="274" t="s">
        <v>1892</v>
      </c>
      <c r="E72" s="275" t="s">
        <v>1893</v>
      </c>
      <c r="F72" s="276">
        <f>F43</f>
        <v>45.57</v>
      </c>
      <c r="O72" s="1009" t="s">
        <v>778</v>
      </c>
      <c r="P72" s="1006" t="str">
        <f>K60</f>
        <v>建筑物剩余耐用年限下的土地年期修正系数Kn</v>
      </c>
      <c r="Q72" s="1007">
        <f>L60</f>
        <v>1.0416000000000001</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593111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2792</v>
      </c>
      <c r="B1" s="3081"/>
      <c r="C1" s="3087"/>
      <c r="D1" s="3087"/>
      <c r="E1" s="3082"/>
      <c r="F1" s="3083"/>
      <c r="G1" s="3176"/>
      <c r="J1" s="3179" t="s">
        <v>2648</v>
      </c>
      <c r="K1" s="3180"/>
      <c r="L1" s="3180"/>
      <c r="M1" s="3180"/>
      <c r="N1" s="3180"/>
      <c r="O1" s="3180"/>
      <c r="P1" s="3180"/>
      <c r="Q1" s="3180"/>
      <c r="R1" s="3181"/>
      <c r="S1" s="3182"/>
      <c r="T1" s="3182"/>
      <c r="U1" s="3182"/>
    </row>
    <row r="2" spans="1:23" s="3090" customFormat="1" ht="13.15" customHeight="1">
      <c r="A2" s="3085" t="s">
        <v>2649</v>
      </c>
      <c r="B2" s="3086" t="e">
        <f>C40</f>
        <v>#DIV/0!</v>
      </c>
      <c r="C2" s="3087" t="s">
        <v>2650</v>
      </c>
      <c r="D2" s="3087"/>
      <c r="E2" s="3088"/>
      <c r="F2" s="3089"/>
      <c r="G2" s="3183"/>
      <c r="H2" s="3184"/>
      <c r="I2" s="3185"/>
      <c r="J2" s="3581" t="s">
        <v>2651</v>
      </c>
      <c r="K2" s="3582"/>
      <c r="L2" s="3186" t="s">
        <v>2652</v>
      </c>
      <c r="M2" s="3186" t="s">
        <v>2653</v>
      </c>
      <c r="N2" s="3186" t="s">
        <v>2654</v>
      </c>
      <c r="O2" s="3186" t="s">
        <v>2655</v>
      </c>
      <c r="P2" s="3186" t="s">
        <v>2656</v>
      </c>
      <c r="Q2" s="3187" t="s">
        <v>2657</v>
      </c>
      <c r="R2" s="3188" t="s">
        <v>2658</v>
      </c>
      <c r="S2" s="3182"/>
      <c r="T2" s="3182"/>
      <c r="U2" s="3182"/>
      <c r="V2" s="3185"/>
      <c r="W2" s="3184"/>
    </row>
    <row r="3" spans="1:23" s="3090" customFormat="1" ht="13.15" customHeight="1">
      <c r="A3" s="3092" t="s">
        <v>2659</v>
      </c>
      <c r="B3" s="3093" t="e">
        <f>ROUND(B2*10000/B4,0)</f>
        <v>#DIV/0!</v>
      </c>
      <c r="C3" s="3087" t="s">
        <v>2660</v>
      </c>
      <c r="D3" s="3087"/>
      <c r="E3" s="3088"/>
      <c r="F3" s="3089"/>
      <c r="G3" s="3183"/>
      <c r="H3" s="3184"/>
      <c r="I3" s="3185"/>
      <c r="J3" s="3583" t="s">
        <v>2661</v>
      </c>
      <c r="K3" s="3584"/>
      <c r="L3" s="3189"/>
      <c r="M3" s="3189"/>
      <c r="N3" s="3189"/>
      <c r="O3" s="3189"/>
      <c r="P3" s="3189"/>
      <c r="Q3" s="3190"/>
      <c r="R3" s="3191">
        <f>SUM(L3:Q3)</f>
        <v>0</v>
      </c>
      <c r="S3" s="3182"/>
      <c r="T3" s="3182"/>
      <c r="U3" s="3182"/>
      <c r="V3" s="3185"/>
      <c r="W3" s="3184"/>
    </row>
    <row r="4" spans="1:23" s="3090" customFormat="1" ht="13.15" customHeight="1">
      <c r="A4" s="3094" t="s">
        <v>2662</v>
      </c>
      <c r="B4" s="3151"/>
      <c r="C4" s="3087"/>
      <c r="D4" s="3087"/>
      <c r="E4" s="3088"/>
      <c r="F4" s="3089"/>
      <c r="G4" s="3183"/>
      <c r="H4" s="3184"/>
      <c r="I4" s="3185"/>
      <c r="J4" s="3583" t="s">
        <v>2663</v>
      </c>
      <c r="K4" s="3584"/>
      <c r="L4" s="3192"/>
      <c r="M4" s="3192"/>
      <c r="N4" s="3192"/>
      <c r="O4" s="3192"/>
      <c r="P4" s="3192"/>
      <c r="Q4" s="3193"/>
      <c r="R4" s="3194">
        <f>SUM(L4:Q4)</f>
        <v>0</v>
      </c>
      <c r="S4" s="3182"/>
      <c r="T4" s="3182"/>
      <c r="U4" s="3182"/>
      <c r="V4" s="3185"/>
      <c r="W4" s="3184"/>
    </row>
    <row r="5" spans="1:23" s="3090" customFormat="1" ht="13.15" customHeight="1" thickBot="1">
      <c r="A5" s="3095" t="s">
        <v>2664</v>
      </c>
      <c r="B5" s="3152"/>
      <c r="C5" s="3087"/>
      <c r="D5" s="3096"/>
      <c r="E5" s="3089"/>
      <c r="F5" s="3089"/>
      <c r="G5" s="3183"/>
      <c r="H5" s="3184"/>
      <c r="I5" s="3185"/>
      <c r="J5" s="3195" t="s">
        <v>2665</v>
      </c>
      <c r="K5" s="3196"/>
      <c r="L5" s="3196"/>
      <c r="M5" s="3197"/>
      <c r="N5" s="3197"/>
      <c r="O5" s="3197"/>
      <c r="P5" s="3197"/>
      <c r="Q5" s="3197"/>
      <c r="R5" s="3188">
        <f>SUM(R14,R19,R24,R25,R27,R28)</f>
        <v>0</v>
      </c>
      <c r="S5" s="3182"/>
      <c r="T5" s="3182" t="s">
        <v>2666</v>
      </c>
      <c r="U5" s="3182" t="e">
        <f>ROUND(R5*10000/365/R3,1)</f>
        <v>#DIV/0!</v>
      </c>
      <c r="V5" s="3185"/>
      <c r="W5" s="3184"/>
    </row>
    <row r="6" spans="1:23" s="3090" customFormat="1" ht="13.15" customHeight="1" thickBot="1">
      <c r="A6" s="3589" t="s">
        <v>2667</v>
      </c>
      <c r="B6" s="3590"/>
      <c r="C6" s="3591"/>
      <c r="D6" s="3153"/>
      <c r="E6" s="3097"/>
      <c r="F6" s="3098"/>
      <c r="G6" s="3198"/>
      <c r="H6" s="3184"/>
      <c r="I6" s="3185"/>
      <c r="J6" s="3575">
        <v>1</v>
      </c>
      <c r="K6" s="3576" t="s">
        <v>2668</v>
      </c>
      <c r="L6" s="3199" t="s">
        <v>2669</v>
      </c>
      <c r="M6" s="3200" t="s">
        <v>2670</v>
      </c>
      <c r="N6" s="3200" t="s">
        <v>2671</v>
      </c>
      <c r="O6" s="3200" t="s">
        <v>2672</v>
      </c>
      <c r="P6" s="3200" t="s">
        <v>2673</v>
      </c>
      <c r="Q6" s="3200" t="s">
        <v>2674</v>
      </c>
      <c r="R6" s="3191" t="s">
        <v>2675</v>
      </c>
      <c r="S6" s="3182"/>
      <c r="T6" s="3182" t="s">
        <v>2676</v>
      </c>
      <c r="U6" s="3182"/>
      <c r="V6" s="3185"/>
      <c r="W6" s="3184"/>
    </row>
    <row r="7" spans="1:23" s="3090" customFormat="1" ht="13.15" customHeight="1">
      <c r="A7" s="3100" t="s">
        <v>2677</v>
      </c>
      <c r="B7" s="3101"/>
      <c r="C7" s="3102"/>
      <c r="D7" s="3103">
        <f>SUM(D9,D10,D11,D17,0)</f>
        <v>0</v>
      </c>
      <c r="E7" s="3104" t="e">
        <f>E9+E10+E11+E17</f>
        <v>#DIV/0!</v>
      </c>
      <c r="F7" s="3105"/>
      <c r="G7" s="3201"/>
      <c r="H7" s="3184"/>
      <c r="I7" s="3185"/>
      <c r="J7" s="3575"/>
      <c r="K7" s="3577"/>
      <c r="L7" s="3202" t="s">
        <v>2777</v>
      </c>
      <c r="M7" s="3203"/>
      <c r="N7" s="3203"/>
      <c r="O7" s="3204"/>
      <c r="P7" s="3204"/>
      <c r="Q7" s="3205">
        <v>365</v>
      </c>
      <c r="R7" s="3206">
        <f>ROUND(M7*N7*O7*P7*Q7/10000,0)</f>
        <v>0</v>
      </c>
      <c r="S7" s="3182"/>
      <c r="T7" s="3182" t="s">
        <v>2678</v>
      </c>
      <c r="U7" s="3182"/>
      <c r="V7" s="3185"/>
      <c r="W7" s="3184"/>
    </row>
    <row r="8" spans="1:23" s="3090" customFormat="1" ht="13.15" customHeight="1">
      <c r="A8" s="3106" t="s">
        <v>2679</v>
      </c>
      <c r="B8" s="3592" t="s">
        <v>2680</v>
      </c>
      <c r="C8" s="3593"/>
      <c r="D8" s="3107" t="s">
        <v>2681</v>
      </c>
      <c r="E8" s="3108" t="s">
        <v>2682</v>
      </c>
      <c r="F8" s="3091" t="s">
        <v>2683</v>
      </c>
      <c r="G8" s="3261" t="s">
        <v>2791</v>
      </c>
      <c r="H8" s="3184"/>
      <c r="I8" s="3185"/>
      <c r="J8" s="3575"/>
      <c r="K8" s="3577"/>
      <c r="L8" s="3202" t="s">
        <v>2778</v>
      </c>
      <c r="M8" s="3203"/>
      <c r="N8" s="3203"/>
      <c r="O8" s="3204"/>
      <c r="P8" s="3204"/>
      <c r="Q8" s="3205">
        <v>365</v>
      </c>
      <c r="R8" s="3206">
        <f t="shared" ref="R8:R13" si="0">ROUND(M8*N8*O8*P8*Q8/10000,0)</f>
        <v>0</v>
      </c>
      <c r="S8" s="3182"/>
      <c r="T8" s="3182" t="s">
        <v>2684</v>
      </c>
      <c r="U8" s="3182"/>
      <c r="V8" s="3185"/>
      <c r="W8" s="3184"/>
    </row>
    <row r="9" spans="1:23" s="3090" customFormat="1" ht="13.15" customHeight="1">
      <c r="A9" s="3106">
        <v>1</v>
      </c>
      <c r="B9" s="3592" t="s">
        <v>2685</v>
      </c>
      <c r="C9" s="3593"/>
      <c r="D9" s="3107">
        <f>ROUND(D6*E9,0)</f>
        <v>0</v>
      </c>
      <c r="E9" s="3154"/>
      <c r="F9" s="3109" t="s">
        <v>2686</v>
      </c>
      <c r="G9" s="3207" t="s">
        <v>2789</v>
      </c>
      <c r="H9" s="3184"/>
      <c r="I9" s="3185"/>
      <c r="J9" s="3575"/>
      <c r="K9" s="3577"/>
      <c r="L9" s="3202" t="s">
        <v>2779</v>
      </c>
      <c r="M9" s="3203"/>
      <c r="N9" s="3203"/>
      <c r="O9" s="3204"/>
      <c r="P9" s="3204"/>
      <c r="Q9" s="3205">
        <v>365</v>
      </c>
      <c r="R9" s="3206">
        <f t="shared" si="0"/>
        <v>0</v>
      </c>
      <c r="S9" s="3182"/>
      <c r="T9" s="3182"/>
      <c r="U9" s="3182"/>
      <c r="V9" s="3185"/>
      <c r="W9" s="3184"/>
    </row>
    <row r="10" spans="1:23" s="3090" customFormat="1" ht="13.15" customHeight="1">
      <c r="A10" s="3106">
        <v>2</v>
      </c>
      <c r="B10" s="3592" t="s">
        <v>2687</v>
      </c>
      <c r="C10" s="3593"/>
      <c r="D10" s="3107">
        <f>ROUND(D6*E10,0)</f>
        <v>0</v>
      </c>
      <c r="E10" s="3154"/>
      <c r="F10" s="3109" t="s">
        <v>2688</v>
      </c>
      <c r="G10" s="3207" t="s">
        <v>2790</v>
      </c>
      <c r="H10" s="3184"/>
      <c r="I10" s="3185"/>
      <c r="J10" s="3575"/>
      <c r="K10" s="3577"/>
      <c r="L10" s="3202" t="s">
        <v>2780</v>
      </c>
      <c r="M10" s="3203"/>
      <c r="N10" s="3203"/>
      <c r="O10" s="3204"/>
      <c r="P10" s="3204"/>
      <c r="Q10" s="3205">
        <v>365</v>
      </c>
      <c r="R10" s="3206">
        <f t="shared" si="0"/>
        <v>0</v>
      </c>
      <c r="S10" s="3182"/>
      <c r="T10" s="3182"/>
      <c r="U10" s="3182"/>
      <c r="V10" s="3185"/>
      <c r="W10" s="3184"/>
    </row>
    <row r="11" spans="1:23" s="3090" customFormat="1" ht="13.15" customHeight="1">
      <c r="A11" s="3106">
        <v>3</v>
      </c>
      <c r="B11" s="3592" t="s">
        <v>2689</v>
      </c>
      <c r="C11" s="3593"/>
      <c r="D11" s="3107">
        <f>D12+D14+D15+D16</f>
        <v>0</v>
      </c>
      <c r="E11" s="3110" t="e">
        <f>D11/D6</f>
        <v>#DIV/0!</v>
      </c>
      <c r="F11" s="3091"/>
      <c r="G11" s="3207"/>
      <c r="H11" s="3184"/>
      <c r="I11" s="3185"/>
      <c r="J11" s="3575"/>
      <c r="K11" s="3577"/>
      <c r="L11" s="3202" t="s">
        <v>2781</v>
      </c>
      <c r="M11" s="3203"/>
      <c r="N11" s="3203"/>
      <c r="O11" s="3204"/>
      <c r="P11" s="3204"/>
      <c r="Q11" s="3205">
        <v>365</v>
      </c>
      <c r="R11" s="3206">
        <f t="shared" si="0"/>
        <v>0</v>
      </c>
      <c r="S11" s="3182"/>
      <c r="T11" s="3182"/>
      <c r="U11" s="3182"/>
      <c r="V11" s="3185"/>
      <c r="W11" s="3184"/>
    </row>
    <row r="12" spans="1:23" s="3090" customFormat="1" ht="13.15" customHeight="1">
      <c r="A12" s="3111" t="s">
        <v>2690</v>
      </c>
      <c r="B12" s="3585" t="s">
        <v>2691</v>
      </c>
      <c r="C12" s="3586"/>
      <c r="D12" s="3112">
        <f>ROUND(D13*1.2%*(1-30%),0)</f>
        <v>0</v>
      </c>
      <c r="E12" s="3113">
        <v>1.2E-2</v>
      </c>
      <c r="F12" s="3091" t="s">
        <v>2692</v>
      </c>
      <c r="G12" s="3207"/>
      <c r="H12" s="3184"/>
      <c r="I12" s="3185"/>
      <c r="J12" s="3575"/>
      <c r="K12" s="3577"/>
      <c r="L12" s="3202" t="s">
        <v>2782</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2693</v>
      </c>
      <c r="D13" s="3155"/>
      <c r="E13" s="3116"/>
      <c r="F13" s="3091"/>
      <c r="G13" s="3207"/>
      <c r="H13" s="3184"/>
      <c r="I13" s="3185"/>
      <c r="J13" s="3575"/>
      <c r="K13" s="3577"/>
      <c r="L13" s="3202" t="s">
        <v>2783</v>
      </c>
      <c r="M13" s="3203"/>
      <c r="N13" s="3203"/>
      <c r="O13" s="3204"/>
      <c r="P13" s="3204"/>
      <c r="Q13" s="3205">
        <v>365</v>
      </c>
      <c r="R13" s="3206">
        <f t="shared" si="0"/>
        <v>0</v>
      </c>
      <c r="S13" s="3182"/>
      <c r="T13" s="3182"/>
      <c r="U13" s="3182"/>
      <c r="V13" s="3185"/>
      <c r="W13" s="3184"/>
    </row>
    <row r="14" spans="1:23" s="3090" customFormat="1" ht="13.15" customHeight="1">
      <c r="A14" s="3111" t="s">
        <v>2694</v>
      </c>
      <c r="B14" s="3585" t="s">
        <v>2695</v>
      </c>
      <c r="C14" s="3586"/>
      <c r="D14" s="3112">
        <f>ROUND(E14*B5/10000,0)</f>
        <v>0</v>
      </c>
      <c r="E14" s="3156"/>
      <c r="F14" s="3091" t="s">
        <v>2696</v>
      </c>
      <c r="G14" s="3207"/>
      <c r="H14" s="3184"/>
      <c r="I14" s="3185"/>
      <c r="J14" s="3575"/>
      <c r="K14" s="3578"/>
      <c r="L14" s="3208" t="s">
        <v>2697</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2698</v>
      </c>
      <c r="B15" s="3585" t="s">
        <v>2699</v>
      </c>
      <c r="C15" s="3586"/>
      <c r="D15" s="3112">
        <f>ROUND(D6*E15,0)</f>
        <v>0</v>
      </c>
      <c r="E15" s="3113">
        <v>5.5E-2</v>
      </c>
      <c r="F15" s="3091" t="s">
        <v>2700</v>
      </c>
      <c r="G15" s="3207"/>
      <c r="H15" s="3184"/>
      <c r="I15" s="3185"/>
      <c r="J15" s="3575">
        <v>2</v>
      </c>
      <c r="K15" s="3576" t="s">
        <v>2701</v>
      </c>
      <c r="L15" s="3212" t="s">
        <v>2702</v>
      </c>
      <c r="M15" s="3213" t="s">
        <v>2703</v>
      </c>
      <c r="N15" s="3213" t="s">
        <v>2704</v>
      </c>
      <c r="O15" s="3214" t="s">
        <v>2705</v>
      </c>
      <c r="P15" s="3214" t="s">
        <v>2706</v>
      </c>
      <c r="Q15" s="3151" t="s">
        <v>2707</v>
      </c>
      <c r="R15" s="3215" t="s">
        <v>2708</v>
      </c>
      <c r="S15" s="3182"/>
      <c r="T15" s="3182"/>
      <c r="U15" s="3182"/>
      <c r="V15" s="3185"/>
      <c r="W15" s="3184"/>
    </row>
    <row r="16" spans="1:23" s="3090" customFormat="1" ht="13.15" customHeight="1">
      <c r="A16" s="3111" t="s">
        <v>2709</v>
      </c>
      <c r="B16" s="3585" t="s">
        <v>2710</v>
      </c>
      <c r="C16" s="3586"/>
      <c r="D16" s="3157">
        <f>D6*E16</f>
        <v>0</v>
      </c>
      <c r="E16" s="3158"/>
      <c r="F16" s="3109" t="s">
        <v>2711</v>
      </c>
      <c r="G16" s="3207"/>
      <c r="H16" s="3184"/>
      <c r="I16" s="3185"/>
      <c r="J16" s="3575"/>
      <c r="K16" s="3577"/>
      <c r="L16" s="3202" t="s">
        <v>2784</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587" t="s">
        <v>2712</v>
      </c>
      <c r="C17" s="3588"/>
      <c r="D17" s="3118">
        <f>ROUND(D6*E17,0)</f>
        <v>0</v>
      </c>
      <c r="E17" s="3159"/>
      <c r="F17" s="3119" t="s">
        <v>2713</v>
      </c>
      <c r="G17" s="3260">
        <v>0.1</v>
      </c>
      <c r="H17" s="3184"/>
      <c r="I17" s="3185"/>
      <c r="J17" s="3575"/>
      <c r="K17" s="3577"/>
      <c r="L17" s="3202" t="s">
        <v>2785</v>
      </c>
      <c r="M17" s="3203"/>
      <c r="N17" s="3203"/>
      <c r="O17" s="3204"/>
      <c r="P17" s="3205">
        <v>365</v>
      </c>
      <c r="Q17" s="3203"/>
      <c r="R17" s="3216">
        <f>ROUND(M17*N17*O17*P17/10000,0)</f>
        <v>0</v>
      </c>
      <c r="S17" s="3182"/>
      <c r="T17" s="3182"/>
      <c r="U17" s="3182"/>
      <c r="V17" s="3185"/>
      <c r="W17" s="3184"/>
    </row>
    <row r="18" spans="1:23" s="3090" customFormat="1" ht="13.15" customHeight="1" thickBot="1">
      <c r="A18" s="3100" t="s">
        <v>2714</v>
      </c>
      <c r="B18" s="3101"/>
      <c r="C18" s="3101"/>
      <c r="D18" s="3120">
        <f>ROUND(D6*E18,0)</f>
        <v>0</v>
      </c>
      <c r="E18" s="3160"/>
      <c r="F18" s="3121" t="s">
        <v>2715</v>
      </c>
      <c r="G18" s="3260">
        <v>0.05</v>
      </c>
      <c r="H18" s="3184"/>
      <c r="I18" s="3185"/>
      <c r="J18" s="3575"/>
      <c r="K18" s="3577"/>
      <c r="L18" s="3202" t="s">
        <v>2786</v>
      </c>
      <c r="M18" s="3203"/>
      <c r="N18" s="3203"/>
      <c r="O18" s="3204"/>
      <c r="P18" s="3205">
        <v>365</v>
      </c>
      <c r="Q18" s="3203"/>
      <c r="R18" s="3216">
        <f>ROUND(M18*N18*O18*P18/10000,0)</f>
        <v>0</v>
      </c>
      <c r="S18" s="3182"/>
      <c r="T18" s="3182"/>
      <c r="U18" s="3182"/>
      <c r="V18" s="3185"/>
      <c r="W18" s="3184"/>
    </row>
    <row r="19" spans="1:23" s="3090" customFormat="1" ht="13.15" customHeight="1" thickBot="1">
      <c r="A19" s="3122" t="s">
        <v>2716</v>
      </c>
      <c r="B19" s="3097"/>
      <c r="C19" s="3097"/>
      <c r="D19" s="3097"/>
      <c r="E19" s="3097"/>
      <c r="F19" s="3098"/>
      <c r="G19" s="3207"/>
      <c r="H19" s="3184"/>
      <c r="I19" s="3185"/>
      <c r="J19" s="3575"/>
      <c r="K19" s="3578"/>
      <c r="L19" s="3208" t="s">
        <v>2697</v>
      </c>
      <c r="M19" s="3209"/>
      <c r="N19" s="3209">
        <f>SUM(N16:N18)</f>
        <v>0</v>
      </c>
      <c r="O19" s="3210"/>
      <c r="P19" s="3217" t="s">
        <v>2787</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575">
        <v>3</v>
      </c>
      <c r="K20" s="3576" t="s">
        <v>2717</v>
      </c>
      <c r="L20" s="3212" t="s">
        <v>2718</v>
      </c>
      <c r="M20" s="3213" t="s">
        <v>2719</v>
      </c>
      <c r="N20" s="3219" t="s">
        <v>2720</v>
      </c>
      <c r="O20" s="3214" t="s">
        <v>2721</v>
      </c>
      <c r="P20" s="3156" t="s">
        <v>2706</v>
      </c>
      <c r="Q20" s="3151" t="s">
        <v>2707</v>
      </c>
      <c r="R20" s="3215" t="s">
        <v>2708</v>
      </c>
      <c r="S20" s="3220"/>
      <c r="T20" s="3220"/>
      <c r="U20" s="3220"/>
      <c r="V20" s="3185"/>
      <c r="W20" s="3184"/>
    </row>
    <row r="21" spans="1:23" s="3090" customFormat="1" ht="13.15" customHeight="1">
      <c r="A21" s="3100"/>
      <c r="B21" s="3101"/>
      <c r="C21" s="3124" t="s">
        <v>2722</v>
      </c>
      <c r="D21" s="3125" t="s">
        <v>2723</v>
      </c>
      <c r="E21" s="3126" t="s">
        <v>2724</v>
      </c>
      <c r="F21" s="3123"/>
      <c r="G21" s="3207"/>
      <c r="H21" s="3184"/>
      <c r="I21" s="3185"/>
      <c r="J21" s="3575"/>
      <c r="K21" s="3577"/>
      <c r="L21" s="3212" t="s">
        <v>2725</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2726</v>
      </c>
      <c r="D22" s="3162" t="s">
        <v>2727</v>
      </c>
      <c r="E22" s="3163" t="s">
        <v>2728</v>
      </c>
      <c r="F22" s="3123"/>
      <c r="G22" s="3222"/>
      <c r="H22" s="3184"/>
      <c r="I22" s="3185"/>
      <c r="J22" s="3575"/>
      <c r="K22" s="3577"/>
      <c r="L22" s="3212" t="s">
        <v>2729</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2730</v>
      </c>
      <c r="C23" s="3128">
        <f>D6</f>
        <v>0</v>
      </c>
      <c r="D23" s="3129">
        <f>C23*(1+D24)</f>
        <v>0</v>
      </c>
      <c r="E23" s="3130">
        <f>D23*(1+E24)</f>
        <v>0</v>
      </c>
      <c r="F23" s="3131"/>
      <c r="G23" s="3223"/>
      <c r="H23" s="3184"/>
      <c r="I23" s="3185"/>
      <c r="J23" s="3575"/>
      <c r="K23" s="3577"/>
      <c r="L23" s="3212" t="s">
        <v>2731</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2732</v>
      </c>
      <c r="C24" s="3134"/>
      <c r="D24" s="3164"/>
      <c r="E24" s="3165"/>
      <c r="F24" s="3135"/>
      <c r="G24" s="3223"/>
      <c r="H24" s="3184"/>
      <c r="I24" s="3185"/>
      <c r="J24" s="3575"/>
      <c r="K24" s="3578"/>
      <c r="L24" s="3208" t="s">
        <v>2697</v>
      </c>
      <c r="M24" s="3209">
        <f>SUM(M21:M23)</f>
        <v>0</v>
      </c>
      <c r="N24" s="3209"/>
      <c r="O24" s="3210"/>
      <c r="P24" s="3217" t="s">
        <v>2787</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2733</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2734</v>
      </c>
      <c r="C26" s="3128">
        <f>D7</f>
        <v>0</v>
      </c>
      <c r="D26" s="3129">
        <f>D23*D27</f>
        <v>0</v>
      </c>
      <c r="E26" s="3130">
        <f>E23*E27</f>
        <v>0</v>
      </c>
      <c r="F26" s="3131"/>
      <c r="G26" s="3223"/>
      <c r="H26" s="3184"/>
      <c r="I26" s="3185"/>
      <c r="J26" s="3579">
        <v>5</v>
      </c>
      <c r="K26" s="3231" t="s">
        <v>2735</v>
      </c>
      <c r="L26" s="3232"/>
      <c r="M26" s="3233"/>
      <c r="N26" s="3234" t="s">
        <v>2736</v>
      </c>
      <c r="O26" s="3234" t="s">
        <v>2737</v>
      </c>
      <c r="P26" s="3235" t="s">
        <v>2738</v>
      </c>
      <c r="Q26" s="3235" t="s">
        <v>2739</v>
      </c>
      <c r="R26" s="3191" t="s">
        <v>2708</v>
      </c>
      <c r="S26" s="3236"/>
      <c r="T26" s="3236"/>
      <c r="U26" s="3236"/>
      <c r="V26" s="3229"/>
      <c r="W26" s="3230"/>
    </row>
    <row r="27" spans="1:23" s="3090" customFormat="1" ht="13.15" customHeight="1">
      <c r="A27" s="3132"/>
      <c r="B27" s="3133" t="s">
        <v>2740</v>
      </c>
      <c r="C27" s="3137" t="e">
        <f>E7</f>
        <v>#DIV/0!</v>
      </c>
      <c r="D27" s="3164"/>
      <c r="E27" s="3165"/>
      <c r="F27" s="3135"/>
      <c r="G27" s="3223"/>
      <c r="H27" s="3230"/>
      <c r="I27" s="3229"/>
      <c r="J27" s="3580"/>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2741</v>
      </c>
      <c r="F28" s="3135"/>
      <c r="G28" s="3222"/>
      <c r="H28" s="3230"/>
      <c r="I28" s="3229"/>
      <c r="J28" s="3242">
        <v>6</v>
      </c>
      <c r="K28" s="3243" t="s">
        <v>2742</v>
      </c>
      <c r="L28" s="3244" t="s">
        <v>2743</v>
      </c>
      <c r="M28" s="3245"/>
      <c r="N28" s="3244" t="s">
        <v>2744</v>
      </c>
      <c r="O28" s="3246"/>
      <c r="P28" s="3244" t="s">
        <v>2745</v>
      </c>
      <c r="Q28" s="3247">
        <v>1.4999999999999999E-2</v>
      </c>
      <c r="R28" s="3248"/>
      <c r="S28" s="3220"/>
      <c r="T28" s="3220"/>
      <c r="U28" s="3220"/>
      <c r="V28" s="3229"/>
      <c r="W28" s="3230"/>
    </row>
    <row r="29" spans="1:23" s="3136" customFormat="1" ht="13.15" customHeight="1">
      <c r="A29" s="3127">
        <v>3</v>
      </c>
      <c r="B29" s="3099" t="s">
        <v>2746</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2740</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2747</v>
      </c>
      <c r="K31" s="3180"/>
      <c r="L31" s="3180"/>
      <c r="M31" s="3180"/>
      <c r="N31" s="3180"/>
      <c r="O31" s="3180"/>
      <c r="P31" s="3180"/>
      <c r="Q31" s="3180"/>
      <c r="R31" s="3181"/>
      <c r="S31" s="3220"/>
      <c r="T31" s="3182"/>
      <c r="U31" s="3182"/>
      <c r="V31" s="3229"/>
      <c r="W31" s="3230"/>
    </row>
    <row r="32" spans="1:23" s="3136" customFormat="1" ht="13.15" customHeight="1">
      <c r="A32" s="3127">
        <v>4</v>
      </c>
      <c r="B32" s="3099" t="s">
        <v>2748</v>
      </c>
      <c r="C32" s="3128">
        <f>C23-C26-C29</f>
        <v>0</v>
      </c>
      <c r="D32" s="3129">
        <f>D23-D26-D29</f>
        <v>0</v>
      </c>
      <c r="E32" s="3130">
        <f>E23-E26-E29</f>
        <v>0</v>
      </c>
      <c r="F32" s="3131"/>
      <c r="G32" s="3222"/>
      <c r="H32" s="3184"/>
      <c r="I32" s="3185"/>
      <c r="J32" s="3581" t="s">
        <v>2749</v>
      </c>
      <c r="K32" s="3582"/>
      <c r="L32" s="3186" t="s">
        <v>2750</v>
      </c>
      <c r="M32" s="3186" t="s">
        <v>2653</v>
      </c>
      <c r="N32" s="3186" t="s">
        <v>2654</v>
      </c>
      <c r="O32" s="3186" t="s">
        <v>2655</v>
      </c>
      <c r="P32" s="3186" t="s">
        <v>2656</v>
      </c>
      <c r="Q32" s="3187" t="s">
        <v>2751</v>
      </c>
      <c r="R32" s="3249" t="s">
        <v>2752</v>
      </c>
      <c r="S32" s="3220"/>
      <c r="T32" s="3182"/>
      <c r="U32" s="3182"/>
      <c r="V32" s="3229"/>
      <c r="W32" s="3230"/>
    </row>
    <row r="33" spans="1:23" s="3090" customFormat="1" ht="13.15" customHeight="1">
      <c r="A33" s="3127"/>
      <c r="B33" s="3099"/>
      <c r="C33" s="3128"/>
      <c r="D33" s="3139"/>
      <c r="E33" s="3140"/>
      <c r="F33" s="3131"/>
      <c r="G33" s="3222"/>
      <c r="H33" s="3230"/>
      <c r="I33" s="3229"/>
      <c r="J33" s="3583" t="s">
        <v>2753</v>
      </c>
      <c r="K33" s="3584"/>
      <c r="L33" s="3189"/>
      <c r="M33" s="3189"/>
      <c r="N33" s="3189"/>
      <c r="O33" s="3189"/>
      <c r="P33" s="3189"/>
      <c r="Q33" s="3190"/>
      <c r="R33" s="3250">
        <f>SUM(L33:Q33)</f>
        <v>0</v>
      </c>
      <c r="S33" s="3220"/>
      <c r="T33" s="3182"/>
      <c r="U33" s="3182"/>
      <c r="V33" s="3185"/>
      <c r="W33" s="3184"/>
    </row>
    <row r="34" spans="1:23" s="3090" customFormat="1" ht="13.15" customHeight="1">
      <c r="A34" s="3127">
        <v>5</v>
      </c>
      <c r="B34" s="3099" t="s">
        <v>2754</v>
      </c>
      <c r="C34" s="3167"/>
      <c r="D34" s="3168"/>
      <c r="E34" s="3169"/>
      <c r="F34" s="3131"/>
      <c r="G34" s="3222"/>
      <c r="H34" s="3230"/>
      <c r="I34" s="3229"/>
      <c r="J34" s="3583" t="s">
        <v>2755</v>
      </c>
      <c r="K34" s="3584"/>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2756</v>
      </c>
      <c r="C35" s="3170"/>
      <c r="D35" s="3171"/>
      <c r="E35" s="3172"/>
      <c r="F35" s="3131"/>
      <c r="G35" s="3252"/>
      <c r="H35" s="3184"/>
      <c r="I35" s="3229"/>
      <c r="J35" s="3195" t="s">
        <v>2757</v>
      </c>
      <c r="K35" s="3196"/>
      <c r="L35" s="3196"/>
      <c r="M35" s="3197"/>
      <c r="N35" s="3197"/>
      <c r="O35" s="3197"/>
      <c r="P35" s="3197"/>
      <c r="Q35" s="3197"/>
      <c r="R35" s="3253">
        <f>R40+R41+R43</f>
        <v>0</v>
      </c>
      <c r="S35" s="3220"/>
      <c r="T35" s="3182" t="s">
        <v>2758</v>
      </c>
      <c r="U35" s="3182"/>
      <c r="V35" s="3185"/>
      <c r="W35" s="3184"/>
    </row>
    <row r="36" spans="1:23" s="3090" customFormat="1" ht="13.15" customHeight="1" thickBot="1">
      <c r="A36" s="3127">
        <v>7</v>
      </c>
      <c r="B36" s="3141" t="s">
        <v>2759</v>
      </c>
      <c r="C36" s="3173"/>
      <c r="D36" s="3174"/>
      <c r="E36" s="3175"/>
      <c r="F36" s="3142">
        <f>C36+D36+E36</f>
        <v>0</v>
      </c>
      <c r="G36" s="3222"/>
      <c r="H36" s="3184"/>
      <c r="I36" s="3185"/>
      <c r="J36" s="3575">
        <v>1</v>
      </c>
      <c r="K36" s="3576" t="s">
        <v>2760</v>
      </c>
      <c r="L36" s="3199"/>
      <c r="M36" s="3200"/>
      <c r="N36" s="3200"/>
      <c r="O36" s="3200"/>
      <c r="P36" s="3200"/>
      <c r="Q36" s="3200"/>
      <c r="R36" s="3191" t="s">
        <v>2708</v>
      </c>
      <c r="S36" s="3220"/>
      <c r="T36" s="3182" t="s">
        <v>2761</v>
      </c>
      <c r="U36" s="3182"/>
      <c r="V36" s="3185"/>
      <c r="W36" s="3184"/>
    </row>
    <row r="37" spans="1:23" s="3090" customFormat="1" ht="13.15" customHeight="1">
      <c r="A37" s="3127"/>
      <c r="B37" s="3099"/>
      <c r="C37" s="3099"/>
      <c r="D37" s="3099"/>
      <c r="E37" s="3099"/>
      <c r="F37" s="3131"/>
      <c r="G37" s="3222"/>
      <c r="H37" s="3184"/>
      <c r="I37" s="3185"/>
      <c r="J37" s="3575"/>
      <c r="K37" s="3577"/>
      <c r="L37" s="3212"/>
      <c r="M37" s="3213"/>
      <c r="N37" s="3151"/>
      <c r="O37" s="3214"/>
      <c r="P37" s="3214"/>
      <c r="Q37" s="3156"/>
      <c r="R37" s="3254"/>
      <c r="S37" s="3220"/>
      <c r="T37" s="3182" t="s">
        <v>2762</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575"/>
      <c r="K38" s="3577"/>
      <c r="L38" s="3212"/>
      <c r="M38" s="3213"/>
      <c r="N38" s="3151"/>
      <c r="O38" s="3214"/>
      <c r="P38" s="3214"/>
      <c r="Q38" s="3156"/>
      <c r="R38" s="3254"/>
      <c r="S38" s="3220"/>
      <c r="T38" s="3182" t="s">
        <v>2684</v>
      </c>
      <c r="U38" s="3182"/>
      <c r="V38" s="3185"/>
      <c r="W38" s="3184"/>
    </row>
    <row r="39" spans="1:23" s="3090" customFormat="1" ht="13.15" customHeight="1">
      <c r="A39" s="3127">
        <v>9</v>
      </c>
      <c r="B39" s="3099" t="s">
        <v>2763</v>
      </c>
      <c r="C39" s="3112" t="e">
        <f>C38</f>
        <v>#DIV/0!</v>
      </c>
      <c r="D39" s="3099">
        <f>D38/(1+D34)^C36</f>
        <v>0</v>
      </c>
      <c r="E39" s="3099">
        <f>E38/(1+E34)^(C36+D36)</f>
        <v>0</v>
      </c>
      <c r="F39" s="3131"/>
      <c r="G39" s="3255"/>
      <c r="H39" s="3184"/>
      <c r="I39" s="3185"/>
      <c r="J39" s="3575"/>
      <c r="K39" s="3577"/>
      <c r="L39" s="3212"/>
      <c r="M39" s="3213"/>
      <c r="N39" s="3151"/>
      <c r="O39" s="3214"/>
      <c r="P39" s="3214"/>
      <c r="Q39" s="3156"/>
      <c r="R39" s="3254"/>
      <c r="S39" s="3220"/>
      <c r="T39" s="3182"/>
      <c r="U39" s="3182"/>
      <c r="V39" s="3185"/>
      <c r="W39" s="3184"/>
    </row>
    <row r="40" spans="1:23" s="3090" customFormat="1" ht="13.15" customHeight="1">
      <c r="A40" s="3143">
        <v>10</v>
      </c>
      <c r="B40" s="3099" t="s">
        <v>2764</v>
      </c>
      <c r="C40" s="3144" t="e">
        <f>C39+D39+E39</f>
        <v>#DIV/0!</v>
      </c>
      <c r="D40" s="3145"/>
      <c r="E40" s="3145"/>
      <c r="F40" s="3146"/>
      <c r="G40" s="3222"/>
      <c r="H40" s="3184"/>
      <c r="I40" s="3185"/>
      <c r="J40" s="3575"/>
      <c r="K40" s="3578"/>
      <c r="L40" s="3208" t="s">
        <v>2765</v>
      </c>
      <c r="M40" s="3209"/>
      <c r="N40" s="3209"/>
      <c r="O40" s="3210"/>
      <c r="P40" s="3210"/>
      <c r="Q40" s="3211"/>
      <c r="R40" s="3188">
        <f>SUM(R37:R39)</f>
        <v>0</v>
      </c>
      <c r="S40" s="3220"/>
      <c r="T40" s="3182"/>
      <c r="U40" s="3182"/>
      <c r="V40" s="3185"/>
      <c r="W40" s="3184"/>
    </row>
    <row r="41" spans="1:23" s="3090" customFormat="1" ht="13.15" customHeight="1" thickBot="1">
      <c r="A41" s="3147">
        <v>11</v>
      </c>
      <c r="B41" s="3148" t="s">
        <v>2766</v>
      </c>
      <c r="C41" s="3148" t="e">
        <f>ROUND(C40*10000/B4,0)</f>
        <v>#DIV/0!</v>
      </c>
      <c r="D41" s="3149"/>
      <c r="E41" s="3149"/>
      <c r="F41" s="3150"/>
      <c r="G41" s="3256"/>
      <c r="H41" s="3184"/>
      <c r="I41" s="3185"/>
      <c r="J41" s="3224">
        <v>2</v>
      </c>
      <c r="K41" s="3225" t="s">
        <v>2767</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579">
        <v>3</v>
      </c>
      <c r="K42" s="3231" t="s">
        <v>2768</v>
      </c>
      <c r="L42" s="3232"/>
      <c r="M42" s="3233"/>
      <c r="N42" s="3234" t="s">
        <v>2769</v>
      </c>
      <c r="O42" s="3234" t="s">
        <v>2770</v>
      </c>
      <c r="P42" s="3235" t="s">
        <v>2771</v>
      </c>
      <c r="Q42" s="3235" t="s">
        <v>2772</v>
      </c>
      <c r="R42" s="3191" t="s">
        <v>2675</v>
      </c>
      <c r="S42" s="3236"/>
      <c r="T42" s="3236"/>
      <c r="U42" s="3182"/>
      <c r="V42" s="3185"/>
      <c r="W42" s="3184"/>
    </row>
    <row r="43" spans="1:23" ht="13.15" customHeight="1">
      <c r="A43" s="3090"/>
      <c r="B43" s="3090"/>
      <c r="C43" s="3090"/>
      <c r="D43" s="3090"/>
      <c r="E43" s="3090"/>
      <c r="F43" s="3090"/>
      <c r="I43" s="3177"/>
      <c r="J43" s="3580"/>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2773</v>
      </c>
      <c r="L44" s="3259" t="s">
        <v>2774</v>
      </c>
      <c r="M44" s="3245"/>
      <c r="N44" s="3259" t="s">
        <v>2775</v>
      </c>
      <c r="O44" s="3245"/>
      <c r="P44" s="3259" t="s">
        <v>2776</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97" t="s">
        <v>1973</v>
      </c>
      <c r="D4" s="3598"/>
      <c r="E4" s="3598"/>
      <c r="F4" s="3598"/>
      <c r="G4" s="3598"/>
      <c r="H4" s="3598"/>
      <c r="I4" s="3598"/>
      <c r="J4" s="3598"/>
      <c r="K4" s="3598"/>
      <c r="L4" s="3598"/>
      <c r="M4" s="3598"/>
      <c r="N4" s="3598"/>
      <c r="O4" s="3598"/>
      <c r="P4" s="3598"/>
      <c r="Q4" s="3598"/>
      <c r="R4" s="3598"/>
      <c r="S4" s="359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94" t="s">
        <v>45</v>
      </c>
      <c r="D25" s="3595"/>
      <c r="E25" s="3595"/>
      <c r="F25" s="3595"/>
      <c r="G25" s="3595"/>
      <c r="H25" s="3595"/>
      <c r="I25" s="3595"/>
      <c r="J25" s="3595"/>
      <c r="K25" s="3595"/>
      <c r="L25" s="3595"/>
      <c r="M25" s="3595"/>
      <c r="N25" s="3595"/>
      <c r="O25" s="3595"/>
      <c r="P25" s="3595"/>
      <c r="Q25" s="3596"/>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45.57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03" t="s">
        <v>2007</v>
      </c>
      <c r="D4" s="3604"/>
      <c r="E4" s="3605" t="s">
        <v>2008</v>
      </c>
      <c r="F4" s="3606"/>
      <c r="G4" s="3603" t="s">
        <v>2009</v>
      </c>
      <c r="H4" s="3604"/>
      <c r="I4" s="3603" t="s">
        <v>2010</v>
      </c>
      <c r="J4" s="3604"/>
      <c r="K4" s="1593" t="s">
        <v>2011</v>
      </c>
      <c r="L4" s="2915"/>
      <c r="M4" s="2916"/>
      <c r="N4" s="2916"/>
      <c r="O4" s="2916"/>
      <c r="P4" s="3607" t="s">
        <v>2012</v>
      </c>
      <c r="Q4" s="3608"/>
      <c r="R4" s="3613" t="s">
        <v>2008</v>
      </c>
      <c r="S4" s="3614"/>
      <c r="T4" s="3613" t="s">
        <v>2009</v>
      </c>
      <c r="U4" s="3614"/>
      <c r="V4" s="3619" t="s">
        <v>2010</v>
      </c>
      <c r="W4" s="3619"/>
      <c r="X4" s="1594"/>
      <c r="Y4" s="3613" t="s">
        <v>2012</v>
      </c>
      <c r="Z4" s="3614"/>
      <c r="AA4" s="3600" t="s">
        <v>2008</v>
      </c>
      <c r="AB4" s="3600" t="s">
        <v>2009</v>
      </c>
      <c r="AC4" s="3600" t="s">
        <v>2010</v>
      </c>
    </row>
    <row r="5" spans="1:29" ht="15">
      <c r="A5" s="1596"/>
      <c r="B5" s="1597"/>
      <c r="C5" s="3622" t="s">
        <v>2013</v>
      </c>
      <c r="D5" s="3623"/>
      <c r="E5" s="3620" t="s">
        <v>2014</v>
      </c>
      <c r="F5" s="3621"/>
      <c r="G5" s="3622" t="s">
        <v>2015</v>
      </c>
      <c r="H5" s="3623"/>
      <c r="I5" s="3622" t="s">
        <v>2016</v>
      </c>
      <c r="J5" s="3623"/>
      <c r="K5" s="1598"/>
      <c r="L5" s="2915"/>
      <c r="M5" s="2916"/>
      <c r="N5" s="2916"/>
      <c r="O5" s="2916"/>
      <c r="P5" s="3609"/>
      <c r="Q5" s="3610"/>
      <c r="R5" s="3615"/>
      <c r="S5" s="3616"/>
      <c r="T5" s="3615"/>
      <c r="U5" s="3616"/>
      <c r="V5" s="3619"/>
      <c r="W5" s="3619"/>
      <c r="X5" s="1594"/>
      <c r="Y5" s="3615"/>
      <c r="Z5" s="3616"/>
      <c r="AA5" s="3601"/>
      <c r="AB5" s="3601"/>
      <c r="AC5" s="3601"/>
    </row>
    <row r="6" spans="1:29" ht="15.75" thickBot="1">
      <c r="A6" s="1599"/>
      <c r="B6" s="1600"/>
      <c r="C6" s="3624" t="s">
        <v>2017</v>
      </c>
      <c r="D6" s="3625"/>
      <c r="E6" s="3626" t="s">
        <v>2017</v>
      </c>
      <c r="F6" s="3627"/>
      <c r="G6" s="3624" t="s">
        <v>2017</v>
      </c>
      <c r="H6" s="3625"/>
      <c r="I6" s="3624" t="s">
        <v>2017</v>
      </c>
      <c r="J6" s="3625"/>
      <c r="K6" s="1598" t="s">
        <v>2018</v>
      </c>
      <c r="L6" s="2915"/>
      <c r="M6" s="2916"/>
      <c r="N6" s="2916"/>
      <c r="O6" s="2916"/>
      <c r="P6" s="3611"/>
      <c r="Q6" s="3612"/>
      <c r="R6" s="3615"/>
      <c r="S6" s="3616"/>
      <c r="T6" s="3617"/>
      <c r="U6" s="3618"/>
      <c r="V6" s="3619"/>
      <c r="W6" s="3619"/>
      <c r="X6" s="1594"/>
      <c r="Y6" s="3617"/>
      <c r="Z6" s="3618"/>
      <c r="AA6" s="3602"/>
      <c r="AB6" s="3602"/>
      <c r="AC6" s="3602"/>
    </row>
    <row r="7" spans="1:29" s="1613" customFormat="1" ht="15.75" thickBot="1">
      <c r="A7" s="1601" t="s">
        <v>2019</v>
      </c>
      <c r="B7" s="1602"/>
      <c r="C7" s="1603">
        <f>'数据-取费表'!B2</f>
        <v>44810</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35" t="s">
        <v>2020</v>
      </c>
      <c r="Q7" s="3637"/>
      <c r="R7" s="1609" t="s">
        <v>34</v>
      </c>
      <c r="S7" s="1610">
        <f t="shared" ref="S7:S15" si="0">F7</f>
        <v>0</v>
      </c>
      <c r="T7" s="1609" t="s">
        <v>34</v>
      </c>
      <c r="U7" s="1610">
        <f t="shared" ref="U7:U15" si="1">H7</f>
        <v>0</v>
      </c>
      <c r="V7" s="1609" t="s">
        <v>34</v>
      </c>
      <c r="W7" s="1610">
        <f t="shared" ref="W7:W15" si="2">J7</f>
        <v>0</v>
      </c>
      <c r="X7" s="1611"/>
      <c r="Y7" s="3635" t="s">
        <v>2020</v>
      </c>
      <c r="Z7" s="3636"/>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35" t="s">
        <v>2023</v>
      </c>
      <c r="Q8" s="3636"/>
      <c r="R8" s="1609" t="s">
        <v>34</v>
      </c>
      <c r="S8" s="1610">
        <f t="shared" si="0"/>
        <v>0</v>
      </c>
      <c r="T8" s="1609" t="s">
        <v>34</v>
      </c>
      <c r="U8" s="1610">
        <f t="shared" si="1"/>
        <v>0</v>
      </c>
      <c r="V8" s="1609" t="s">
        <v>34</v>
      </c>
      <c r="W8" s="1610">
        <f t="shared" si="2"/>
        <v>0</v>
      </c>
      <c r="X8" s="1611"/>
      <c r="Y8" s="3635" t="s">
        <v>2023</v>
      </c>
      <c r="Z8" s="3636"/>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8" t="s">
        <v>2026</v>
      </c>
      <c r="Q9" s="1563" t="str">
        <f t="shared" ref="Q9:Q15" si="6">B9</f>
        <v>用途</v>
      </c>
      <c r="R9" s="1609" t="s">
        <v>25</v>
      </c>
      <c r="S9" s="1610">
        <f t="shared" si="0"/>
        <v>100</v>
      </c>
      <c r="T9" s="1609" t="s">
        <v>25</v>
      </c>
      <c r="U9" s="1610">
        <f t="shared" si="1"/>
        <v>100</v>
      </c>
      <c r="V9" s="1609" t="s">
        <v>25</v>
      </c>
      <c r="W9" s="1610">
        <f t="shared" si="2"/>
        <v>100</v>
      </c>
      <c r="X9" s="1611"/>
      <c r="Y9" s="350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8"/>
      <c r="Q10" s="1563" t="str">
        <f t="shared" si="6"/>
        <v>土地使用年限（年）</v>
      </c>
      <c r="R10" s="1609" t="s">
        <v>25</v>
      </c>
      <c r="S10" s="1610">
        <f t="shared" si="0"/>
        <v>100</v>
      </c>
      <c r="T10" s="1609" t="s">
        <v>25</v>
      </c>
      <c r="U10" s="1610">
        <f t="shared" si="1"/>
        <v>100</v>
      </c>
      <c r="V10" s="1609" t="s">
        <v>25</v>
      </c>
      <c r="W10" s="1610">
        <f t="shared" si="2"/>
        <v>100</v>
      </c>
      <c r="X10" s="1611"/>
      <c r="Y10" s="350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8"/>
      <c r="Q11" s="1563" t="str">
        <f t="shared" si="6"/>
        <v>容积率</v>
      </c>
      <c r="R11" s="1609" t="s">
        <v>28</v>
      </c>
      <c r="S11" s="1610" t="e">
        <f t="shared" si="0"/>
        <v>#N/A</v>
      </c>
      <c r="T11" s="1609" t="s">
        <v>28</v>
      </c>
      <c r="U11" s="1610" t="e">
        <f t="shared" si="1"/>
        <v>#N/A</v>
      </c>
      <c r="V11" s="1609" t="s">
        <v>28</v>
      </c>
      <c r="W11" s="1610" t="e">
        <f t="shared" si="2"/>
        <v>#N/A</v>
      </c>
      <c r="X11" s="1611"/>
      <c r="Y11" s="350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8"/>
      <c r="Q12" s="1563">
        <f t="shared" si="6"/>
        <v>111</v>
      </c>
      <c r="R12" s="1609" t="s">
        <v>28</v>
      </c>
      <c r="S12" s="1610">
        <f t="shared" si="0"/>
        <v>100</v>
      </c>
      <c r="T12" s="1609" t="s">
        <v>28</v>
      </c>
      <c r="U12" s="1610">
        <f t="shared" si="1"/>
        <v>100</v>
      </c>
      <c r="V12" s="1609" t="s">
        <v>28</v>
      </c>
      <c r="W12" s="1610">
        <f t="shared" si="2"/>
        <v>100</v>
      </c>
      <c r="X12" s="1611"/>
      <c r="Y12" s="350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8"/>
      <c r="Q13" s="1563">
        <f t="shared" si="6"/>
        <v>111</v>
      </c>
      <c r="R13" s="1609" t="s">
        <v>28</v>
      </c>
      <c r="S13" s="1610">
        <f t="shared" si="0"/>
        <v>100</v>
      </c>
      <c r="T13" s="1609" t="s">
        <v>28</v>
      </c>
      <c r="U13" s="1610">
        <f t="shared" si="1"/>
        <v>100</v>
      </c>
      <c r="V13" s="1609" t="s">
        <v>28</v>
      </c>
      <c r="W13" s="1610">
        <f t="shared" si="2"/>
        <v>100</v>
      </c>
      <c r="X13" s="1611"/>
      <c r="Y13" s="3503"/>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8"/>
      <c r="Q14" s="1563">
        <f t="shared" si="6"/>
        <v>111</v>
      </c>
      <c r="R14" s="1609" t="s">
        <v>28</v>
      </c>
      <c r="S14" s="1610">
        <f t="shared" si="0"/>
        <v>100</v>
      </c>
      <c r="T14" s="1609" t="s">
        <v>28</v>
      </c>
      <c r="U14" s="1610">
        <f t="shared" si="1"/>
        <v>100</v>
      </c>
      <c r="V14" s="1609" t="s">
        <v>28</v>
      </c>
      <c r="W14" s="1610">
        <f t="shared" si="2"/>
        <v>100</v>
      </c>
      <c r="X14" s="1611"/>
      <c r="Y14" s="3503"/>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41" t="s">
        <v>2031</v>
      </c>
      <c r="Q15" s="1544" t="str">
        <f t="shared" si="6"/>
        <v>居住社区成熟度</v>
      </c>
      <c r="R15" s="1654" t="s">
        <v>28</v>
      </c>
      <c r="S15" s="1655">
        <f t="shared" si="0"/>
        <v>100</v>
      </c>
      <c r="T15" s="1654" t="s">
        <v>28</v>
      </c>
      <c r="U15" s="1655">
        <f t="shared" si="1"/>
        <v>100</v>
      </c>
      <c r="V15" s="1654" t="s">
        <v>28</v>
      </c>
      <c r="W15" s="1655">
        <f t="shared" si="2"/>
        <v>100</v>
      </c>
      <c r="X15" s="1594"/>
      <c r="Y15" s="3628"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42"/>
      <c r="Q16" s="1544"/>
      <c r="R16" s="1654"/>
      <c r="S16" s="1655"/>
      <c r="T16" s="1654"/>
      <c r="U16" s="1655"/>
      <c r="V16" s="1654"/>
      <c r="W16" s="1655"/>
      <c r="X16" s="1594"/>
      <c r="Y16" s="3629"/>
      <c r="Z16" s="1656"/>
      <c r="AA16" s="1657">
        <v>1</v>
      </c>
      <c r="AB16" s="1657">
        <v>1</v>
      </c>
      <c r="AC16" s="1657">
        <v>1</v>
      </c>
    </row>
    <row r="17" spans="1:29" ht="156.75">
      <c r="A17" s="1631"/>
      <c r="B17" s="1666" t="s">
        <v>1466</v>
      </c>
      <c r="C17" s="1667" t="str">
        <f>估价对象房地状况!C6</f>
        <v>估价对象距离地铁2号线朝阳门站约900米、距离地铁6号线东大桥站约900米，周边有75路、101路、109路、110路、139路、615路等公交通过并设站，综合评价交通便捷度较好。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42"/>
      <c r="Q17" s="1544" t="str">
        <f>B17</f>
        <v>交通便捷度</v>
      </c>
      <c r="R17" s="1654" t="s">
        <v>28</v>
      </c>
      <c r="S17" s="1655">
        <f>F17</f>
        <v>100</v>
      </c>
      <c r="T17" s="1654" t="s">
        <v>28</v>
      </c>
      <c r="U17" s="1655">
        <f>H17</f>
        <v>100</v>
      </c>
      <c r="V17" s="1654" t="s">
        <v>28</v>
      </c>
      <c r="W17" s="1655">
        <f>J17</f>
        <v>100</v>
      </c>
      <c r="X17" s="1594"/>
      <c r="Y17" s="3629"/>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42"/>
      <c r="Q18" s="1544"/>
      <c r="R18" s="1654"/>
      <c r="S18" s="1655"/>
      <c r="T18" s="1654"/>
      <c r="U18" s="1655"/>
      <c r="V18" s="1654"/>
      <c r="W18" s="1655"/>
      <c r="X18" s="1594"/>
      <c r="Y18" s="3629"/>
      <c r="Z18" s="1656"/>
      <c r="AA18" s="1657">
        <v>1</v>
      </c>
      <c r="AB18" s="1657">
        <v>1</v>
      </c>
      <c r="AC18" s="1657">
        <v>1</v>
      </c>
    </row>
    <row r="19" spans="1:29" ht="285">
      <c r="A19" s="1631"/>
      <c r="B19" s="1666" t="s">
        <v>1465</v>
      </c>
      <c r="C19" s="1667" t="str">
        <f>估价对象房地状况!C7</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42"/>
      <c r="Q19" s="1544" t="str">
        <f>B19</f>
        <v>公共配套设施</v>
      </c>
      <c r="R19" s="1654" t="s">
        <v>28</v>
      </c>
      <c r="S19" s="1655">
        <f>F19</f>
        <v>100</v>
      </c>
      <c r="T19" s="1654" t="s">
        <v>28</v>
      </c>
      <c r="U19" s="1655">
        <f>H19</f>
        <v>100</v>
      </c>
      <c r="V19" s="1654" t="s">
        <v>28</v>
      </c>
      <c r="W19" s="1655">
        <f>J19</f>
        <v>100</v>
      </c>
      <c r="X19" s="1594"/>
      <c r="Y19" s="3629"/>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42"/>
      <c r="Q20" s="1544"/>
      <c r="R20" s="1654"/>
      <c r="S20" s="1655"/>
      <c r="T20" s="1654"/>
      <c r="U20" s="1655"/>
      <c r="V20" s="1654"/>
      <c r="W20" s="1655"/>
      <c r="X20" s="1594"/>
      <c r="Y20" s="3629"/>
      <c r="Z20" s="1656"/>
      <c r="AA20" s="1657">
        <v>1</v>
      </c>
      <c r="AB20" s="1657">
        <v>1</v>
      </c>
      <c r="AC20" s="1657">
        <v>1</v>
      </c>
    </row>
    <row r="21" spans="1:29" ht="42.75">
      <c r="A21" s="1631"/>
      <c r="B21" s="1679" t="s">
        <v>1467</v>
      </c>
      <c r="C21" s="1667" t="str">
        <f>估价对象房地状况!C8</f>
        <v>估价对象所在区域基础设施水平-七通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42"/>
      <c r="Q21" s="1544" t="str">
        <f>B21</f>
        <v>基础设施水平</v>
      </c>
      <c r="R21" s="1654" t="s">
        <v>28</v>
      </c>
      <c r="S21" s="1655">
        <f>F21</f>
        <v>100</v>
      </c>
      <c r="T21" s="1654" t="s">
        <v>28</v>
      </c>
      <c r="U21" s="1655">
        <f>H21</f>
        <v>100</v>
      </c>
      <c r="V21" s="1654" t="s">
        <v>28</v>
      </c>
      <c r="W21" s="1655">
        <f>J21</f>
        <v>100</v>
      </c>
      <c r="X21" s="1594"/>
      <c r="Y21" s="3629"/>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42"/>
      <c r="Q22" s="1544"/>
      <c r="R22" s="1654"/>
      <c r="S22" s="1655"/>
      <c r="T22" s="1654"/>
      <c r="U22" s="1655"/>
      <c r="V22" s="1654"/>
      <c r="W22" s="1655"/>
      <c r="X22" s="1594"/>
      <c r="Y22" s="3629"/>
      <c r="Z22" s="1656"/>
      <c r="AA22" s="1657">
        <v>1</v>
      </c>
      <c r="AB22" s="1657">
        <v>1</v>
      </c>
      <c r="AC22" s="1657">
        <v>1</v>
      </c>
    </row>
    <row r="23" spans="1:29" ht="99.75">
      <c r="A23" s="1631"/>
      <c r="B23" s="1666" t="s">
        <v>1468</v>
      </c>
      <c r="C23" s="1667" t="str">
        <f>估价对象房地状况!C9</f>
        <v>周边有日坛公园、北京工人体育场、北京工体富国海底世界等自然人文环境，综合评价环境状况较好</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42"/>
      <c r="Q23" s="1544" t="str">
        <f>B23</f>
        <v>自然及人文环境</v>
      </c>
      <c r="R23" s="1654" t="s">
        <v>28</v>
      </c>
      <c r="S23" s="1655">
        <f>F23</f>
        <v>100</v>
      </c>
      <c r="T23" s="1654" t="s">
        <v>28</v>
      </c>
      <c r="U23" s="1655">
        <f>H23</f>
        <v>100</v>
      </c>
      <c r="V23" s="1654" t="s">
        <v>28</v>
      </c>
      <c r="W23" s="1655">
        <f>J23</f>
        <v>100</v>
      </c>
      <c r="X23" s="1594"/>
      <c r="Y23" s="3629"/>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42"/>
      <c r="Q24" s="1544"/>
      <c r="R24" s="1654"/>
      <c r="S24" s="1655"/>
      <c r="T24" s="1654"/>
      <c r="U24" s="1655"/>
      <c r="V24" s="1654"/>
      <c r="W24" s="1655"/>
      <c r="X24" s="1594"/>
      <c r="Y24" s="3629"/>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42"/>
      <c r="Q25" s="1544" t="str">
        <f t="shared" ref="Q25:Q46" si="11">B25</f>
        <v>楼层-1</v>
      </c>
      <c r="R25" s="1654" t="s">
        <v>28</v>
      </c>
      <c r="S25" s="1655">
        <f>F25</f>
        <v>100</v>
      </c>
      <c r="T25" s="1654" t="s">
        <v>28</v>
      </c>
      <c r="U25" s="1655">
        <f>H25</f>
        <v>100</v>
      </c>
      <c r="V25" s="1654" t="s">
        <v>28</v>
      </c>
      <c r="W25" s="1655">
        <f>J25</f>
        <v>100</v>
      </c>
      <c r="X25" s="1594"/>
      <c r="Y25" s="3629"/>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42"/>
      <c r="Q26" s="1544" t="str">
        <f t="shared" si="11"/>
        <v>朝向</v>
      </c>
      <c r="R26" s="1654" t="s">
        <v>28</v>
      </c>
      <c r="S26" s="1655">
        <f>F26</f>
        <v>100</v>
      </c>
      <c r="T26" s="1654" t="s">
        <v>28</v>
      </c>
      <c r="U26" s="1655">
        <f>H26</f>
        <v>100</v>
      </c>
      <c r="V26" s="1654" t="s">
        <v>28</v>
      </c>
      <c r="W26" s="1655">
        <f>J26</f>
        <v>100</v>
      </c>
      <c r="X26" s="1594"/>
      <c r="Y26" s="3629"/>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42"/>
      <c r="Q27" s="1563" t="str">
        <f t="shared" si="11"/>
        <v>道路级别</v>
      </c>
      <c r="R27" s="1609" t="s">
        <v>28</v>
      </c>
      <c r="S27" s="1610">
        <f>F27</f>
        <v>100</v>
      </c>
      <c r="T27" s="1609" t="s">
        <v>28</v>
      </c>
      <c r="U27" s="1610">
        <f>H27</f>
        <v>100</v>
      </c>
      <c r="V27" s="1609" t="s">
        <v>28</v>
      </c>
      <c r="W27" s="1610">
        <f>J27</f>
        <v>100</v>
      </c>
      <c r="X27" s="1611"/>
      <c r="Y27" s="3629"/>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42"/>
      <c r="Q28" s="1544">
        <f t="shared" si="11"/>
        <v>111</v>
      </c>
      <c r="R28" s="1654" t="s">
        <v>28</v>
      </c>
      <c r="S28" s="1655">
        <f t="shared" ref="S28:S46" si="12">F28</f>
        <v>100</v>
      </c>
      <c r="T28" s="1654" t="s">
        <v>28</v>
      </c>
      <c r="U28" s="1655">
        <f t="shared" ref="U28:U46" si="13">H28</f>
        <v>100</v>
      </c>
      <c r="V28" s="1654" t="s">
        <v>28</v>
      </c>
      <c r="W28" s="1655">
        <f t="shared" ref="W28:W46" si="14">J28</f>
        <v>100</v>
      </c>
      <c r="X28" s="1594"/>
      <c r="Y28" s="3629"/>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42"/>
      <c r="Q29" s="1544">
        <f t="shared" si="11"/>
        <v>111</v>
      </c>
      <c r="R29" s="1654" t="s">
        <v>28</v>
      </c>
      <c r="S29" s="1655">
        <f t="shared" si="12"/>
        <v>100</v>
      </c>
      <c r="T29" s="1654" t="s">
        <v>28</v>
      </c>
      <c r="U29" s="1655">
        <f t="shared" si="13"/>
        <v>100</v>
      </c>
      <c r="V29" s="1654" t="s">
        <v>28</v>
      </c>
      <c r="W29" s="1655">
        <f t="shared" si="14"/>
        <v>100</v>
      </c>
      <c r="X29" s="1594"/>
      <c r="Y29" s="3629"/>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42"/>
      <c r="Q30" s="1544">
        <f t="shared" si="11"/>
        <v>111</v>
      </c>
      <c r="R30" s="1654" t="s">
        <v>28</v>
      </c>
      <c r="S30" s="1655">
        <f t="shared" si="12"/>
        <v>100</v>
      </c>
      <c r="T30" s="1654" t="s">
        <v>28</v>
      </c>
      <c r="U30" s="1655">
        <f t="shared" si="13"/>
        <v>100</v>
      </c>
      <c r="V30" s="1654" t="s">
        <v>28</v>
      </c>
      <c r="W30" s="1655">
        <f t="shared" si="14"/>
        <v>100</v>
      </c>
      <c r="X30" s="1594"/>
      <c r="Y30" s="3629"/>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42"/>
      <c r="Q31" s="1544">
        <f t="shared" si="11"/>
        <v>111</v>
      </c>
      <c r="R31" s="1654" t="s">
        <v>28</v>
      </c>
      <c r="S31" s="1655">
        <f t="shared" si="12"/>
        <v>100</v>
      </c>
      <c r="T31" s="1654" t="s">
        <v>28</v>
      </c>
      <c r="U31" s="1655">
        <f t="shared" si="13"/>
        <v>100</v>
      </c>
      <c r="V31" s="1654" t="s">
        <v>28</v>
      </c>
      <c r="W31" s="1655">
        <f t="shared" si="14"/>
        <v>100</v>
      </c>
      <c r="X31" s="1594"/>
      <c r="Y31" s="3629"/>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0" t="s">
        <v>2037</v>
      </c>
      <c r="Q32" s="1544" t="str">
        <f t="shared" si="11"/>
        <v>建筑类型</v>
      </c>
      <c r="R32" s="1654" t="s">
        <v>28</v>
      </c>
      <c r="S32" s="1655">
        <f t="shared" si="12"/>
        <v>100</v>
      </c>
      <c r="T32" s="1654" t="s">
        <v>28</v>
      </c>
      <c r="U32" s="1655">
        <f t="shared" si="13"/>
        <v>100</v>
      </c>
      <c r="V32" s="1654" t="s">
        <v>28</v>
      </c>
      <c r="W32" s="1655">
        <f t="shared" si="14"/>
        <v>100</v>
      </c>
      <c r="X32" s="1594"/>
      <c r="Y32" s="3633"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1"/>
      <c r="Q33" s="1695" t="str">
        <f t="shared" si="11"/>
        <v>项目建筑规模</v>
      </c>
      <c r="R33" s="1696" t="s">
        <v>28</v>
      </c>
      <c r="S33" s="1697" t="e">
        <f t="shared" si="12"/>
        <v>#N/A</v>
      </c>
      <c r="T33" s="1696" t="s">
        <v>28</v>
      </c>
      <c r="U33" s="1697" t="e">
        <f t="shared" si="13"/>
        <v>#N/A</v>
      </c>
      <c r="V33" s="1696" t="s">
        <v>28</v>
      </c>
      <c r="W33" s="1697" t="e">
        <f t="shared" si="14"/>
        <v>#N/A</v>
      </c>
      <c r="X33" s="1698"/>
      <c r="Y33" s="3633"/>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1"/>
      <c r="Q34" s="1544" t="str">
        <f t="shared" si="11"/>
        <v>建筑结构</v>
      </c>
      <c r="R34" s="1654" t="s">
        <v>28</v>
      </c>
      <c r="S34" s="1655">
        <f t="shared" si="12"/>
        <v>100</v>
      </c>
      <c r="T34" s="1654" t="s">
        <v>28</v>
      </c>
      <c r="U34" s="1655">
        <f t="shared" si="13"/>
        <v>100</v>
      </c>
      <c r="V34" s="1654" t="s">
        <v>28</v>
      </c>
      <c r="W34" s="1655">
        <f t="shared" si="14"/>
        <v>100</v>
      </c>
      <c r="X34" s="1594"/>
      <c r="Y34" s="3633"/>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1"/>
      <c r="Q35" s="1544" t="str">
        <f t="shared" si="11"/>
        <v>建筑品质</v>
      </c>
      <c r="R35" s="1654" t="s">
        <v>28</v>
      </c>
      <c r="S35" s="1655">
        <f t="shared" si="12"/>
        <v>100</v>
      </c>
      <c r="T35" s="1654" t="s">
        <v>28</v>
      </c>
      <c r="U35" s="1655">
        <f t="shared" si="13"/>
        <v>100</v>
      </c>
      <c r="V35" s="1654" t="s">
        <v>28</v>
      </c>
      <c r="W35" s="1655">
        <f t="shared" si="14"/>
        <v>100</v>
      </c>
      <c r="X35" s="1594"/>
      <c r="Y35" s="3633"/>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1"/>
      <c r="Q36" s="1544" t="str">
        <f t="shared" si="11"/>
        <v>公共部分装修</v>
      </c>
      <c r="R36" s="1654" t="s">
        <v>28</v>
      </c>
      <c r="S36" s="1655">
        <f t="shared" si="12"/>
        <v>100</v>
      </c>
      <c r="T36" s="1654" t="s">
        <v>28</v>
      </c>
      <c r="U36" s="1655">
        <f t="shared" si="13"/>
        <v>100</v>
      </c>
      <c r="V36" s="1654" t="s">
        <v>28</v>
      </c>
      <c r="W36" s="1655">
        <f t="shared" si="14"/>
        <v>100</v>
      </c>
      <c r="X36" s="1594"/>
      <c r="Y36" s="3633"/>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1"/>
      <c r="Q37" s="1563" t="str">
        <f t="shared" si="11"/>
        <v>成新度</v>
      </c>
      <c r="R37" s="1609" t="s">
        <v>28</v>
      </c>
      <c r="S37" s="1610" t="e">
        <f t="shared" si="12"/>
        <v>#N/A</v>
      </c>
      <c r="T37" s="1609" t="s">
        <v>28</v>
      </c>
      <c r="U37" s="1610" t="e">
        <f t="shared" si="13"/>
        <v>#N/A</v>
      </c>
      <c r="V37" s="1609" t="s">
        <v>28</v>
      </c>
      <c r="W37" s="1610" t="e">
        <f t="shared" si="14"/>
        <v>#N/A</v>
      </c>
      <c r="X37" s="1611"/>
      <c r="Y37" s="3633"/>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1" t="s">
        <v>2037</v>
      </c>
      <c r="Q38" s="1544" t="str">
        <f t="shared" si="11"/>
        <v>物业管理</v>
      </c>
      <c r="R38" s="1654" t="s">
        <v>28</v>
      </c>
      <c r="S38" s="1655">
        <f t="shared" si="12"/>
        <v>100</v>
      </c>
      <c r="T38" s="1654" t="s">
        <v>28</v>
      </c>
      <c r="U38" s="1655">
        <f t="shared" si="13"/>
        <v>100</v>
      </c>
      <c r="V38" s="1654" t="s">
        <v>28</v>
      </c>
      <c r="W38" s="1655">
        <f t="shared" si="14"/>
        <v>100</v>
      </c>
      <c r="X38" s="1594"/>
      <c r="Y38" s="3633"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1"/>
      <c r="Q39" s="1544" t="str">
        <f t="shared" si="11"/>
        <v>市政基础设施</v>
      </c>
      <c r="R39" s="1654" t="s">
        <v>28</v>
      </c>
      <c r="S39" s="1655">
        <f t="shared" si="12"/>
        <v>100</v>
      </c>
      <c r="T39" s="1654" t="s">
        <v>28</v>
      </c>
      <c r="U39" s="1655">
        <f t="shared" si="13"/>
        <v>100</v>
      </c>
      <c r="V39" s="1654" t="s">
        <v>28</v>
      </c>
      <c r="W39" s="1655">
        <f t="shared" si="14"/>
        <v>100</v>
      </c>
      <c r="X39" s="1594"/>
      <c r="Y39" s="3633"/>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1"/>
      <c r="Q40" s="1544" t="str">
        <f t="shared" si="11"/>
        <v>房型</v>
      </c>
      <c r="R40" s="1654" t="s">
        <v>28</v>
      </c>
      <c r="S40" s="1655">
        <f t="shared" si="12"/>
        <v>100</v>
      </c>
      <c r="T40" s="1654" t="s">
        <v>28</v>
      </c>
      <c r="U40" s="1655">
        <f t="shared" si="13"/>
        <v>100</v>
      </c>
      <c r="V40" s="1654" t="s">
        <v>28</v>
      </c>
      <c r="W40" s="1655">
        <f t="shared" si="14"/>
        <v>100</v>
      </c>
      <c r="X40" s="1594"/>
      <c r="Y40" s="3633"/>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1"/>
      <c r="Q41" s="1695" t="str">
        <f t="shared" si="11"/>
        <v>单套/主力户型建筑面积</v>
      </c>
      <c r="R41" s="1696" t="s">
        <v>28</v>
      </c>
      <c r="S41" s="1697">
        <f t="shared" si="12"/>
        <v>100</v>
      </c>
      <c r="T41" s="1696" t="s">
        <v>28</v>
      </c>
      <c r="U41" s="1697">
        <f t="shared" si="13"/>
        <v>100</v>
      </c>
      <c r="V41" s="1696" t="s">
        <v>28</v>
      </c>
      <c r="W41" s="1697">
        <f t="shared" si="14"/>
        <v>100</v>
      </c>
      <c r="X41" s="1698"/>
      <c r="Y41" s="3633"/>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1"/>
      <c r="Q42" s="1544" t="str">
        <f t="shared" si="11"/>
        <v>内部装修</v>
      </c>
      <c r="R42" s="1654" t="s">
        <v>28</v>
      </c>
      <c r="S42" s="1655">
        <f t="shared" si="12"/>
        <v>100</v>
      </c>
      <c r="T42" s="1654" t="s">
        <v>28</v>
      </c>
      <c r="U42" s="1655">
        <f t="shared" si="13"/>
        <v>100</v>
      </c>
      <c r="V42" s="1654" t="s">
        <v>28</v>
      </c>
      <c r="W42" s="1655">
        <f t="shared" si="14"/>
        <v>100</v>
      </c>
      <c r="X42" s="1594"/>
      <c r="Y42" s="3633"/>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1"/>
      <c r="Q43" s="1544" t="str">
        <f t="shared" si="11"/>
        <v>内部装修维护情况</v>
      </c>
      <c r="R43" s="1654" t="s">
        <v>28</v>
      </c>
      <c r="S43" s="1655">
        <f t="shared" si="12"/>
        <v>100</v>
      </c>
      <c r="T43" s="1654" t="s">
        <v>28</v>
      </c>
      <c r="U43" s="1655">
        <f t="shared" si="13"/>
        <v>100</v>
      </c>
      <c r="V43" s="1654" t="s">
        <v>28</v>
      </c>
      <c r="W43" s="1655">
        <f t="shared" si="14"/>
        <v>100</v>
      </c>
      <c r="X43" s="1594"/>
      <c r="Y43" s="3633"/>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1"/>
      <c r="Q44" s="1563">
        <f t="shared" si="11"/>
        <v>111</v>
      </c>
      <c r="R44" s="1609" t="s">
        <v>28</v>
      </c>
      <c r="S44" s="1610">
        <f t="shared" si="12"/>
        <v>100</v>
      </c>
      <c r="T44" s="1609" t="s">
        <v>28</v>
      </c>
      <c r="U44" s="1610">
        <f t="shared" si="13"/>
        <v>100</v>
      </c>
      <c r="V44" s="1609" t="s">
        <v>28</v>
      </c>
      <c r="W44" s="1610">
        <f t="shared" si="14"/>
        <v>100</v>
      </c>
      <c r="X44" s="1611"/>
      <c r="Y44" s="363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1"/>
      <c r="Q45" s="1544">
        <f t="shared" si="11"/>
        <v>111</v>
      </c>
      <c r="R45" s="1654" t="s">
        <v>28</v>
      </c>
      <c r="S45" s="1655">
        <f t="shared" si="12"/>
        <v>100</v>
      </c>
      <c r="T45" s="1654" t="s">
        <v>28</v>
      </c>
      <c r="U45" s="1655">
        <f t="shared" si="13"/>
        <v>100</v>
      </c>
      <c r="V45" s="1654" t="s">
        <v>28</v>
      </c>
      <c r="W45" s="1655">
        <f t="shared" si="14"/>
        <v>100</v>
      </c>
      <c r="X45" s="1594"/>
      <c r="Y45" s="3633"/>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2"/>
      <c r="Q46" s="1544">
        <f t="shared" si="11"/>
        <v>111</v>
      </c>
      <c r="R46" s="1654" t="s">
        <v>27</v>
      </c>
      <c r="S46" s="1655">
        <f t="shared" si="12"/>
        <v>100</v>
      </c>
      <c r="T46" s="1654" t="s">
        <v>27</v>
      </c>
      <c r="U46" s="1655">
        <f t="shared" si="13"/>
        <v>100</v>
      </c>
      <c r="V46" s="1654" t="s">
        <v>27</v>
      </c>
      <c r="W46" s="1655">
        <f t="shared" si="14"/>
        <v>100</v>
      </c>
      <c r="X46" s="1594"/>
      <c r="Y46" s="3634"/>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639" t="str">
        <f>A47</f>
        <v>成交单价（元/平方米）</v>
      </c>
      <c r="Q47" s="3639"/>
      <c r="R47" s="3640">
        <f>E47</f>
        <v>0</v>
      </c>
      <c r="S47" s="3640"/>
      <c r="T47" s="3640">
        <f>G47</f>
        <v>0</v>
      </c>
      <c r="U47" s="3640"/>
      <c r="V47" s="3640">
        <f>I47</f>
        <v>0</v>
      </c>
      <c r="W47" s="3640"/>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639" t="str">
        <f>A48</f>
        <v>比较价值（元/平方米）</v>
      </c>
      <c r="Q48" s="3639"/>
      <c r="R48" s="3640" t="e">
        <f>IF(E1="售价",ROUND(PRODUCT(R47,AA7:AA46),0),ROUND(PRODUCT(R47,AA7:AA46),1))</f>
        <v>#DIV/0!</v>
      </c>
      <c r="S48" s="3640"/>
      <c r="T48" s="3643" t="e">
        <f>IF(E1="售价",ROUND(PRODUCT(T47,AB7:AB46),0),ROUND(PRODUCT(T47,AB7:AB46),1))</f>
        <v>#DIV/0!</v>
      </c>
      <c r="U48" s="3644"/>
      <c r="V48" s="3640" t="e">
        <f>IF(E1="售价",ROUND(PRODUCT(V47,AC7:AC46),0),ROUND(PRODUCT(V47,AC7:AC46),1))</f>
        <v>#DIV/0!</v>
      </c>
      <c r="W48" s="3640"/>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45" t="str">
        <f>A49</f>
        <v>估价对象XX用房的比较价值（楼面单价，元/平方米）</v>
      </c>
      <c r="Q49" s="3646"/>
      <c r="R49" s="3647" t="e">
        <f>IF(E1="售价",ROUND(IF(D48="简单平均",AVERAGE(R48:V48),R48*F48+T48*H48+V48*J48),0),ROUND(IF(D48="简单平均",AVERAGE(R48:V48),R48*F48+T48*H48+V48*J48),1))</f>
        <v>#DIV/0!</v>
      </c>
      <c r="S49" s="3647"/>
      <c r="T49" s="3647"/>
      <c r="U49" s="3647"/>
      <c r="V49" s="3647"/>
      <c r="W49" s="3647"/>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topLeftCell="E27" zoomScale="90" zoomScaleNormal="70" zoomScaleSheetLayoutView="90" workbookViewId="0">
      <selection activeCell="M30" sqref="M3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#REF!</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#REF!</v>
      </c>
      <c r="C3" s="1588" t="s">
        <v>2005</v>
      </c>
      <c r="D3" s="1588">
        <f>IF(C1="仅计算典型户型",'数据-取费表'!E5,'数据-取费表'!B5)</f>
        <v>45.57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03" t="s">
        <v>2007</v>
      </c>
      <c r="D4" s="3604"/>
      <c r="E4" s="3605" t="s">
        <v>2008</v>
      </c>
      <c r="F4" s="3606"/>
      <c r="G4" s="3603" t="s">
        <v>2009</v>
      </c>
      <c r="H4" s="3604"/>
      <c r="I4" s="3603" t="s">
        <v>2010</v>
      </c>
      <c r="J4" s="3604"/>
      <c r="K4" s="1894" t="s">
        <v>2011</v>
      </c>
      <c r="L4" s="2915"/>
      <c r="M4" s="2916"/>
      <c r="N4" s="2916"/>
      <c r="O4" s="2916"/>
      <c r="P4" s="3607" t="s">
        <v>2012</v>
      </c>
      <c r="Q4" s="3608"/>
      <c r="R4" s="3613" t="s">
        <v>2008</v>
      </c>
      <c r="S4" s="3614"/>
      <c r="T4" s="3613" t="s">
        <v>2009</v>
      </c>
      <c r="U4" s="3614"/>
      <c r="V4" s="3619" t="s">
        <v>2010</v>
      </c>
      <c r="W4" s="3619"/>
      <c r="X4" s="2003"/>
      <c r="Y4" s="3613" t="s">
        <v>2012</v>
      </c>
      <c r="Z4" s="3614"/>
      <c r="AA4" s="3600" t="s">
        <v>2008</v>
      </c>
      <c r="AB4" s="3619" t="s">
        <v>2009</v>
      </c>
      <c r="AC4" s="3600" t="s">
        <v>2010</v>
      </c>
    </row>
    <row r="5" spans="1:29" ht="15">
      <c r="A5" s="1596"/>
      <c r="B5" s="1597"/>
      <c r="C5" s="3622" t="s">
        <v>2013</v>
      </c>
      <c r="D5" s="3623"/>
      <c r="E5" s="3648" t="s">
        <v>3067</v>
      </c>
      <c r="F5" s="3621"/>
      <c r="G5" s="3648" t="s">
        <v>3067</v>
      </c>
      <c r="H5" s="3621"/>
      <c r="I5" s="3648" t="s">
        <v>3067</v>
      </c>
      <c r="J5" s="3621"/>
      <c r="K5" s="1894"/>
      <c r="L5" s="2915"/>
      <c r="M5" s="2916"/>
      <c r="N5" s="2916"/>
      <c r="O5" s="2916"/>
      <c r="P5" s="3609"/>
      <c r="Q5" s="3610"/>
      <c r="R5" s="3615"/>
      <c r="S5" s="3616"/>
      <c r="T5" s="3615"/>
      <c r="U5" s="3616"/>
      <c r="V5" s="3619"/>
      <c r="W5" s="3619"/>
      <c r="X5" s="2003"/>
      <c r="Y5" s="3615"/>
      <c r="Z5" s="3616"/>
      <c r="AA5" s="3601"/>
      <c r="AB5" s="3619"/>
      <c r="AC5" s="3601"/>
    </row>
    <row r="6" spans="1:29" ht="15.75" thickBot="1">
      <c r="A6" s="1599"/>
      <c r="B6" s="1600"/>
      <c r="C6" s="3624" t="s">
        <v>2017</v>
      </c>
      <c r="D6" s="3625"/>
      <c r="E6" s="3626" t="s">
        <v>2017</v>
      </c>
      <c r="F6" s="3627"/>
      <c r="G6" s="3624" t="s">
        <v>2017</v>
      </c>
      <c r="H6" s="3625"/>
      <c r="I6" s="3624" t="s">
        <v>2017</v>
      </c>
      <c r="J6" s="3625"/>
      <c r="K6" s="1894" t="s">
        <v>2018</v>
      </c>
      <c r="L6" s="2915"/>
      <c r="M6" s="2916"/>
      <c r="N6" s="2916"/>
      <c r="O6" s="2916"/>
      <c r="P6" s="3611"/>
      <c r="Q6" s="3612"/>
      <c r="R6" s="3615"/>
      <c r="S6" s="3616"/>
      <c r="T6" s="3617"/>
      <c r="U6" s="3618"/>
      <c r="V6" s="3619"/>
      <c r="W6" s="3619"/>
      <c r="X6" s="2003"/>
      <c r="Y6" s="3617"/>
      <c r="Z6" s="3618"/>
      <c r="AA6" s="3602"/>
      <c r="AB6" s="3619"/>
      <c r="AC6" s="3602"/>
    </row>
    <row r="7" spans="1:29" s="1613" customFormat="1" ht="15.75" thickBot="1">
      <c r="A7" s="1601" t="s">
        <v>2019</v>
      </c>
      <c r="B7" s="1602"/>
      <c r="C7" s="1603">
        <f>'数据-取费表'!B2</f>
        <v>44810</v>
      </c>
      <c r="D7" s="1604">
        <v>100</v>
      </c>
      <c r="E7" s="1605">
        <v>44774</v>
      </c>
      <c r="F7" s="1606">
        <f>SUMIF(58:58,YEAR(E7)&amp;"-"&amp;MONTH(E7),59:59)</f>
        <v>100</v>
      </c>
      <c r="G7" s="1605">
        <v>44805</v>
      </c>
      <c r="H7" s="1604">
        <f>SUMIF(58:58,YEAR(G7)&amp;"-"&amp;MONTH(G7),59:59)</f>
        <v>100</v>
      </c>
      <c r="I7" s="1605">
        <v>44774</v>
      </c>
      <c r="J7" s="1604">
        <f>SUMIF(58:58,YEAR(I7)&amp;"-"&amp;MONTH(I7),59:59)</f>
        <v>100</v>
      </c>
      <c r="K7" s="1896"/>
      <c r="L7" s="2915"/>
      <c r="M7" s="2888"/>
      <c r="N7" s="2888"/>
      <c r="O7" s="2888"/>
      <c r="P7" s="3635" t="s">
        <v>2020</v>
      </c>
      <c r="Q7" s="3637"/>
      <c r="R7" s="1609" t="s">
        <v>25</v>
      </c>
      <c r="S7" s="1610">
        <f t="shared" ref="S7:S15" si="0">F7</f>
        <v>100</v>
      </c>
      <c r="T7" s="1609" t="s">
        <v>25</v>
      </c>
      <c r="U7" s="1610">
        <f t="shared" ref="U7:U15" si="1">H7</f>
        <v>100</v>
      </c>
      <c r="V7" s="1609" t="s">
        <v>25</v>
      </c>
      <c r="W7" s="1610">
        <f t="shared" ref="W7:W15" si="2">J7</f>
        <v>100</v>
      </c>
      <c r="X7" s="1611"/>
      <c r="Y7" s="3635" t="s">
        <v>2020</v>
      </c>
      <c r="Z7" s="3636"/>
      <c r="AA7" s="1612">
        <f>D7/F7</f>
        <v>1</v>
      </c>
      <c r="AB7" s="1612">
        <f>D7/H7</f>
        <v>1</v>
      </c>
      <c r="AC7" s="1612">
        <f>D7/J7</f>
        <v>1</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896"/>
      <c r="L8" s="2915"/>
      <c r="M8" s="2888"/>
      <c r="N8" s="2888"/>
      <c r="O8" s="2888"/>
      <c r="P8" s="3635" t="s">
        <v>2023</v>
      </c>
      <c r="Q8" s="3636"/>
      <c r="R8" s="1609" t="s">
        <v>25</v>
      </c>
      <c r="S8" s="1610">
        <f t="shared" si="0"/>
        <v>100</v>
      </c>
      <c r="T8" s="1609" t="s">
        <v>25</v>
      </c>
      <c r="U8" s="1610">
        <f t="shared" si="1"/>
        <v>100</v>
      </c>
      <c r="V8" s="1609" t="s">
        <v>25</v>
      </c>
      <c r="W8" s="1610">
        <f t="shared" si="2"/>
        <v>100</v>
      </c>
      <c r="X8" s="1611"/>
      <c r="Y8" s="3635" t="s">
        <v>2023</v>
      </c>
      <c r="Z8" s="3636"/>
      <c r="AA8" s="1612">
        <f t="shared" ref="AA8:AA46" si="3">D8/F8</f>
        <v>1</v>
      </c>
      <c r="AB8" s="1612">
        <f t="shared" ref="AB8:AB46" si="4">D8/H8</f>
        <v>1</v>
      </c>
      <c r="AC8" s="1612">
        <f t="shared" ref="AC8:AC46" si="5">D8/J8</f>
        <v>1</v>
      </c>
    </row>
    <row r="9" spans="1:29" s="1613" customFormat="1">
      <c r="A9" s="1995" t="s">
        <v>2024</v>
      </c>
      <c r="B9" s="1616" t="s">
        <v>2025</v>
      </c>
      <c r="C9" s="3324" t="s">
        <v>3044</v>
      </c>
      <c r="D9" s="1618">
        <v>100</v>
      </c>
      <c r="E9" s="1619" t="s">
        <v>3031</v>
      </c>
      <c r="F9" s="1620">
        <f>SUMIF(63:63,E9,64:64)-SUMIF(63:63,C9,64:64)+100</f>
        <v>100</v>
      </c>
      <c r="G9" s="1619" t="s">
        <v>3031</v>
      </c>
      <c r="H9" s="1618">
        <f>SUMIF(63:63,G9,64:64)-SUMIF(63:63,C9,64:64)+100</f>
        <v>100</v>
      </c>
      <c r="I9" s="1619" t="s">
        <v>3031</v>
      </c>
      <c r="J9" s="1618">
        <f>SUMIF(63:63,I9,64:64)-SUMIF(63:63,C9,64:64)+100</f>
        <v>100</v>
      </c>
      <c r="K9" s="1896"/>
      <c r="L9" s="2915"/>
      <c r="M9" s="2888"/>
      <c r="N9" s="2888"/>
      <c r="O9" s="2888"/>
      <c r="P9" s="3638" t="s">
        <v>2026</v>
      </c>
      <c r="Q9" s="1994" t="str">
        <f t="shared" ref="Q9:Q15" si="6">B9</f>
        <v>用途</v>
      </c>
      <c r="R9" s="1609" t="s">
        <v>25</v>
      </c>
      <c r="S9" s="1610">
        <f t="shared" si="0"/>
        <v>100</v>
      </c>
      <c r="T9" s="1609" t="s">
        <v>25</v>
      </c>
      <c r="U9" s="1610">
        <f t="shared" si="1"/>
        <v>100</v>
      </c>
      <c r="V9" s="1609" t="s">
        <v>25</v>
      </c>
      <c r="W9" s="1610">
        <f t="shared" si="2"/>
        <v>100</v>
      </c>
      <c r="X9" s="1611"/>
      <c r="Y9" s="350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8"/>
      <c r="Q10" s="1994" t="str">
        <f t="shared" si="6"/>
        <v>土地使用年限（年）</v>
      </c>
      <c r="R10" s="1609" t="s">
        <v>25</v>
      </c>
      <c r="S10" s="1610">
        <f t="shared" si="0"/>
        <v>100</v>
      </c>
      <c r="T10" s="1609" t="s">
        <v>25</v>
      </c>
      <c r="U10" s="1610">
        <f t="shared" si="1"/>
        <v>100</v>
      </c>
      <c r="V10" s="1609" t="s">
        <v>25</v>
      </c>
      <c r="W10" s="1610">
        <f t="shared" si="2"/>
        <v>100</v>
      </c>
      <c r="X10" s="1611"/>
      <c r="Y10" s="3503"/>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921"/>
      <c r="L11" s="2919"/>
      <c r="M11" s="2916"/>
      <c r="N11" s="2916"/>
      <c r="O11" s="2916"/>
      <c r="P11" s="3638"/>
      <c r="Q11" s="1994" t="str">
        <f t="shared" si="6"/>
        <v>容积率</v>
      </c>
      <c r="R11" s="1609" t="s">
        <v>25</v>
      </c>
      <c r="S11" s="1610">
        <f t="shared" si="0"/>
        <v>100</v>
      </c>
      <c r="T11" s="1609" t="s">
        <v>25</v>
      </c>
      <c r="U11" s="1610">
        <f t="shared" si="1"/>
        <v>100</v>
      </c>
      <c r="V11" s="1609" t="s">
        <v>25</v>
      </c>
      <c r="W11" s="1610">
        <f t="shared" si="2"/>
        <v>100</v>
      </c>
      <c r="X11" s="1611"/>
      <c r="Y11" s="3503"/>
      <c r="Z11" s="1622" t="str">
        <f t="shared" si="7"/>
        <v>容积率</v>
      </c>
      <c r="AA11" s="1612">
        <f t="shared" si="3"/>
        <v>1</v>
      </c>
      <c r="AB11" s="1612">
        <f t="shared" si="4"/>
        <v>1</v>
      </c>
      <c r="AC11" s="1612">
        <f t="shared" si="5"/>
        <v>1</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8"/>
      <c r="Q12" s="1994">
        <f t="shared" si="6"/>
        <v>111</v>
      </c>
      <c r="R12" s="1609" t="s">
        <v>25</v>
      </c>
      <c r="S12" s="1610">
        <f t="shared" si="0"/>
        <v>100</v>
      </c>
      <c r="T12" s="1609" t="s">
        <v>25</v>
      </c>
      <c r="U12" s="1610">
        <f t="shared" si="1"/>
        <v>100</v>
      </c>
      <c r="V12" s="1609" t="s">
        <v>25</v>
      </c>
      <c r="W12" s="1610">
        <f t="shared" si="2"/>
        <v>100</v>
      </c>
      <c r="X12" s="1611"/>
      <c r="Y12" s="3503"/>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8"/>
      <c r="Q13" s="1994">
        <f t="shared" si="6"/>
        <v>111</v>
      </c>
      <c r="R13" s="1609" t="s">
        <v>25</v>
      </c>
      <c r="S13" s="1610">
        <f t="shared" si="0"/>
        <v>100</v>
      </c>
      <c r="T13" s="1609" t="s">
        <v>25</v>
      </c>
      <c r="U13" s="1610">
        <f t="shared" si="1"/>
        <v>100</v>
      </c>
      <c r="V13" s="1609" t="s">
        <v>25</v>
      </c>
      <c r="W13" s="1610">
        <f t="shared" si="2"/>
        <v>100</v>
      </c>
      <c r="X13" s="1611"/>
      <c r="Y13" s="3503"/>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8"/>
      <c r="Q14" s="1994">
        <f t="shared" si="6"/>
        <v>111</v>
      </c>
      <c r="R14" s="1609" t="s">
        <v>25</v>
      </c>
      <c r="S14" s="1610">
        <f t="shared" si="0"/>
        <v>100</v>
      </c>
      <c r="T14" s="1609" t="s">
        <v>25</v>
      </c>
      <c r="U14" s="1610">
        <f t="shared" si="1"/>
        <v>100</v>
      </c>
      <c r="V14" s="1609" t="s">
        <v>25</v>
      </c>
      <c r="W14" s="1610">
        <f t="shared" si="2"/>
        <v>100</v>
      </c>
      <c r="X14" s="1611"/>
      <c r="Y14" s="3503"/>
      <c r="Z14" s="1622">
        <f t="shared" si="7"/>
        <v>111</v>
      </c>
      <c r="AA14" s="1612">
        <f t="shared" si="3"/>
        <v>1</v>
      </c>
      <c r="AB14" s="1612">
        <f t="shared" si="4"/>
        <v>1</v>
      </c>
      <c r="AC14" s="1612">
        <f t="shared" si="5"/>
        <v>1</v>
      </c>
    </row>
    <row r="15" spans="1:29" ht="99.75">
      <c r="A15" s="1646" t="s">
        <v>2030</v>
      </c>
      <c r="B15" s="1647" t="s">
        <v>2116</v>
      </c>
      <c r="C15" s="1648" t="str">
        <f>估价对象房地状况!C4</f>
        <v>估价对象位于朝阳区朝外商圈，周边有悠唐购物中心、丰联广场、侨福芳草地等商业为主，商业繁华度较好。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41" t="s">
        <v>2031</v>
      </c>
      <c r="Q15" s="2000" t="str">
        <f t="shared" si="6"/>
        <v>商业繁华度</v>
      </c>
      <c r="R15" s="1654" t="s">
        <v>25</v>
      </c>
      <c r="S15" s="1655">
        <f t="shared" si="0"/>
        <v>100</v>
      </c>
      <c r="T15" s="1654" t="s">
        <v>25</v>
      </c>
      <c r="U15" s="1655">
        <f t="shared" si="1"/>
        <v>100</v>
      </c>
      <c r="V15" s="1654" t="s">
        <v>25</v>
      </c>
      <c r="W15" s="1655">
        <f t="shared" si="2"/>
        <v>100</v>
      </c>
      <c r="X15" s="2003"/>
      <c r="Y15" s="3628" t="s">
        <v>2031</v>
      </c>
      <c r="Z15" s="2007" t="str">
        <f t="shared" si="7"/>
        <v>商业繁华度</v>
      </c>
      <c r="AA15" s="1998">
        <f t="shared" si="3"/>
        <v>1</v>
      </c>
      <c r="AB15" s="1998">
        <f t="shared" si="4"/>
        <v>1</v>
      </c>
      <c r="AC15" s="1998">
        <f t="shared" si="5"/>
        <v>1</v>
      </c>
    </row>
    <row r="16" spans="1:29" ht="15">
      <c r="A16" s="1631"/>
      <c r="B16" s="1658"/>
      <c r="C16" s="3335" t="s">
        <v>30</v>
      </c>
      <c r="D16" s="1660"/>
      <c r="E16" s="1659" t="s">
        <v>30</v>
      </c>
      <c r="F16" s="1662"/>
      <c r="G16" s="1659" t="s">
        <v>30</v>
      </c>
      <c r="H16" s="1664"/>
      <c r="I16" s="1659" t="s">
        <v>30</v>
      </c>
      <c r="J16" s="1660"/>
      <c r="K16" s="2392"/>
      <c r="L16" s="2920"/>
      <c r="M16" s="2916"/>
      <c r="N16" s="2916"/>
      <c r="O16" s="2916"/>
      <c r="P16" s="3642"/>
      <c r="Q16" s="2000"/>
      <c r="R16" s="1654"/>
      <c r="S16" s="1655"/>
      <c r="T16" s="1654"/>
      <c r="U16" s="1655"/>
      <c r="V16" s="1654"/>
      <c r="W16" s="1655"/>
      <c r="X16" s="2003"/>
      <c r="Y16" s="3629"/>
      <c r="Z16" s="2007"/>
      <c r="AA16" s="1998">
        <v>1</v>
      </c>
      <c r="AB16" s="1998">
        <v>1</v>
      </c>
      <c r="AC16" s="1998">
        <v>1</v>
      </c>
    </row>
    <row r="17" spans="1:29" ht="171">
      <c r="A17" s="1631"/>
      <c r="B17" s="1666" t="s">
        <v>1466</v>
      </c>
      <c r="C17" s="1667" t="str">
        <f>估价对象房地状况!C6</f>
        <v>估价对象距离地铁2号线朝阳门站约900米、距离地铁6号线东大桥站约900米，周边有75路、101路、109路、110路、139路、615路等公交通过并设站，综合评价交通便捷度较好。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42"/>
      <c r="Q17" s="2000" t="str">
        <f>B17</f>
        <v>交通便捷度</v>
      </c>
      <c r="R17" s="1654" t="s">
        <v>25</v>
      </c>
      <c r="S17" s="1655">
        <f>F17</f>
        <v>100</v>
      </c>
      <c r="T17" s="1654" t="s">
        <v>25</v>
      </c>
      <c r="U17" s="1655">
        <f>H17</f>
        <v>100</v>
      </c>
      <c r="V17" s="1654" t="s">
        <v>25</v>
      </c>
      <c r="W17" s="1655">
        <f>J17</f>
        <v>100</v>
      </c>
      <c r="X17" s="2003"/>
      <c r="Y17" s="3629"/>
      <c r="Z17" s="2007" t="str">
        <f>Q17</f>
        <v>交通便捷度</v>
      </c>
      <c r="AA17" s="1998">
        <f t="shared" si="3"/>
        <v>1</v>
      </c>
      <c r="AB17" s="1998">
        <f t="shared" si="4"/>
        <v>1</v>
      </c>
      <c r="AC17" s="1998">
        <f t="shared" si="5"/>
        <v>1</v>
      </c>
    </row>
    <row r="18" spans="1:29" ht="15">
      <c r="A18" s="1631"/>
      <c r="B18" s="1672"/>
      <c r="C18" s="1673" t="s">
        <v>30</v>
      </c>
      <c r="D18" s="1664"/>
      <c r="E18" s="1673" t="s">
        <v>30</v>
      </c>
      <c r="F18" s="1669"/>
      <c r="G18" s="1673" t="s">
        <v>30</v>
      </c>
      <c r="H18" s="1660"/>
      <c r="I18" s="1673" t="s">
        <v>30</v>
      </c>
      <c r="J18" s="1660"/>
      <c r="K18" s="2392"/>
      <c r="L18" s="2920"/>
      <c r="M18" s="2916"/>
      <c r="N18" s="2916"/>
      <c r="O18" s="2916"/>
      <c r="P18" s="3642"/>
      <c r="Q18" s="2000"/>
      <c r="R18" s="1654"/>
      <c r="S18" s="1655"/>
      <c r="T18" s="1654"/>
      <c r="U18" s="1655"/>
      <c r="V18" s="1654"/>
      <c r="W18" s="1655"/>
      <c r="X18" s="2003"/>
      <c r="Y18" s="3629"/>
      <c r="Z18" s="2007"/>
      <c r="AA18" s="1998">
        <v>1</v>
      </c>
      <c r="AB18" s="1998">
        <v>1</v>
      </c>
      <c r="AC18" s="1998">
        <v>1</v>
      </c>
    </row>
    <row r="19" spans="1:29" ht="285">
      <c r="A19" s="1631"/>
      <c r="B19" s="1666" t="s">
        <v>2117</v>
      </c>
      <c r="C19" s="1667" t="str">
        <f>估价对象房地状况!C7</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42"/>
      <c r="Q19" s="2000" t="str">
        <f>B19</f>
        <v>公共配套设施</v>
      </c>
      <c r="R19" s="1654" t="s">
        <v>25</v>
      </c>
      <c r="S19" s="1655">
        <f>F19</f>
        <v>100</v>
      </c>
      <c r="T19" s="1654" t="s">
        <v>25</v>
      </c>
      <c r="U19" s="1655">
        <f>H19</f>
        <v>100</v>
      </c>
      <c r="V19" s="1654" t="s">
        <v>25</v>
      </c>
      <c r="W19" s="1655">
        <f>J19</f>
        <v>100</v>
      </c>
      <c r="X19" s="2003"/>
      <c r="Y19" s="3629"/>
      <c r="Z19" s="2007" t="str">
        <f>Q19</f>
        <v>公共配套设施</v>
      </c>
      <c r="AA19" s="1998">
        <f t="shared" si="3"/>
        <v>1</v>
      </c>
      <c r="AB19" s="1998">
        <f t="shared" si="4"/>
        <v>1</v>
      </c>
      <c r="AC19" s="1998">
        <f t="shared" si="5"/>
        <v>1</v>
      </c>
    </row>
    <row r="20" spans="1:29" ht="15">
      <c r="A20" s="1631"/>
      <c r="B20" s="1672"/>
      <c r="C20" s="1659" t="s">
        <v>30</v>
      </c>
      <c r="D20" s="1660"/>
      <c r="E20" s="1659" t="s">
        <v>30</v>
      </c>
      <c r="F20" s="1662"/>
      <c r="G20" s="1659" t="s">
        <v>30</v>
      </c>
      <c r="H20" s="1660"/>
      <c r="I20" s="1659" t="s">
        <v>30</v>
      </c>
      <c r="J20" s="1660"/>
      <c r="K20" s="2392"/>
      <c r="L20" s="2920"/>
      <c r="M20" s="2916"/>
      <c r="N20" s="2916"/>
      <c r="O20" s="2916"/>
      <c r="P20" s="3642"/>
      <c r="Q20" s="2000"/>
      <c r="R20" s="1654"/>
      <c r="S20" s="1655"/>
      <c r="T20" s="1654"/>
      <c r="U20" s="1655"/>
      <c r="V20" s="1654"/>
      <c r="W20" s="1655"/>
      <c r="X20" s="2003"/>
      <c r="Y20" s="3629"/>
      <c r="Z20" s="2007"/>
      <c r="AA20" s="1998">
        <v>1</v>
      </c>
      <c r="AB20" s="1998">
        <v>1</v>
      </c>
      <c r="AC20" s="1998">
        <v>1</v>
      </c>
    </row>
    <row r="21" spans="1:29" ht="42.75">
      <c r="A21" s="1631"/>
      <c r="B21" s="1679" t="s">
        <v>2118</v>
      </c>
      <c r="C21" s="1667" t="str">
        <f>估价对象房地状况!C8</f>
        <v>估价对象所在区域基础设施水平-七通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42"/>
      <c r="Q21" s="2000" t="str">
        <f>B21</f>
        <v>基础设施水平</v>
      </c>
      <c r="R21" s="1654" t="s">
        <v>25</v>
      </c>
      <c r="S21" s="1655">
        <f>F21</f>
        <v>100</v>
      </c>
      <c r="T21" s="1654" t="s">
        <v>25</v>
      </c>
      <c r="U21" s="1655">
        <f>H21</f>
        <v>100</v>
      </c>
      <c r="V21" s="1654" t="s">
        <v>25</v>
      </c>
      <c r="W21" s="1655">
        <f>J21</f>
        <v>100</v>
      </c>
      <c r="X21" s="2003"/>
      <c r="Y21" s="3629"/>
      <c r="Z21" s="2007" t="str">
        <f>Q21</f>
        <v>基础设施水平</v>
      </c>
      <c r="AA21" s="1998">
        <f t="shared" ref="AA21" si="8">D21/F21</f>
        <v>1</v>
      </c>
      <c r="AB21" s="1998">
        <f t="shared" ref="AB21" si="9">D21/H21</f>
        <v>1</v>
      </c>
      <c r="AC21" s="1998">
        <f t="shared" ref="AC21" si="10">D21/J21</f>
        <v>1</v>
      </c>
    </row>
    <row r="22" spans="1:29" ht="15">
      <c r="A22" s="1631"/>
      <c r="B22" s="1679"/>
      <c r="C22" s="1673" t="s">
        <v>3051</v>
      </c>
      <c r="D22" s="1660"/>
      <c r="E22" s="1673" t="s">
        <v>3051</v>
      </c>
      <c r="F22" s="1662"/>
      <c r="G22" s="1673" t="s">
        <v>3051</v>
      </c>
      <c r="H22" s="1660"/>
      <c r="I22" s="1673" t="s">
        <v>3051</v>
      </c>
      <c r="J22" s="1660"/>
      <c r="K22" s="2393"/>
      <c r="L22" s="2920"/>
      <c r="M22" s="2916"/>
      <c r="N22" s="2916"/>
      <c r="O22" s="2916"/>
      <c r="P22" s="3642"/>
      <c r="Q22" s="2000"/>
      <c r="R22" s="1654"/>
      <c r="S22" s="1655"/>
      <c r="T22" s="1654"/>
      <c r="U22" s="1655"/>
      <c r="V22" s="1654"/>
      <c r="W22" s="1655"/>
      <c r="X22" s="2003"/>
      <c r="Y22" s="3629"/>
      <c r="Z22" s="2007"/>
      <c r="AA22" s="1998">
        <v>1</v>
      </c>
      <c r="AB22" s="1998">
        <v>1</v>
      </c>
      <c r="AC22" s="1998">
        <v>1</v>
      </c>
    </row>
    <row r="23" spans="1:29" ht="99.75">
      <c r="A23" s="1631"/>
      <c r="B23" s="1666" t="s">
        <v>1468</v>
      </c>
      <c r="C23" s="2394" t="str">
        <f>估价对象房地状况!C9</f>
        <v>周边有日坛公园、北京工人体育场、北京工体富国海底世界等自然人文环境，综合评价环境状况较好</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42"/>
      <c r="Q23" s="2000" t="str">
        <f>B23</f>
        <v>自然及人文环境</v>
      </c>
      <c r="R23" s="1654" t="s">
        <v>25</v>
      </c>
      <c r="S23" s="1655">
        <f>F23</f>
        <v>100</v>
      </c>
      <c r="T23" s="1654" t="s">
        <v>25</v>
      </c>
      <c r="U23" s="1655">
        <f>H23</f>
        <v>100</v>
      </c>
      <c r="V23" s="1654" t="s">
        <v>25</v>
      </c>
      <c r="W23" s="1655">
        <f>J23</f>
        <v>100</v>
      </c>
      <c r="X23" s="2003"/>
      <c r="Y23" s="3629"/>
      <c r="Z23" s="2007" t="str">
        <f>Q23</f>
        <v>自然及人文环境</v>
      </c>
      <c r="AA23" s="1998">
        <f t="shared" si="3"/>
        <v>1</v>
      </c>
      <c r="AB23" s="1998">
        <f t="shared" si="4"/>
        <v>1</v>
      </c>
      <c r="AC23" s="1998">
        <f t="shared" si="5"/>
        <v>1</v>
      </c>
    </row>
    <row r="24" spans="1:29" ht="15">
      <c r="A24" s="1631"/>
      <c r="B24" s="1672"/>
      <c r="C24" s="1659" t="s">
        <v>30</v>
      </c>
      <c r="D24" s="1660"/>
      <c r="E24" s="1659" t="s">
        <v>30</v>
      </c>
      <c r="F24" s="1662"/>
      <c r="G24" s="1659" t="s">
        <v>30</v>
      </c>
      <c r="H24" s="1660"/>
      <c r="I24" s="1659" t="s">
        <v>30</v>
      </c>
      <c r="J24" s="1660"/>
      <c r="K24" s="2392"/>
      <c r="L24" s="2920"/>
      <c r="M24" s="2916"/>
      <c r="N24" s="2916"/>
      <c r="O24" s="2916"/>
      <c r="P24" s="3642"/>
      <c r="Q24" s="2000"/>
      <c r="R24" s="1654"/>
      <c r="S24" s="1655"/>
      <c r="T24" s="1654"/>
      <c r="U24" s="1655"/>
      <c r="V24" s="1654"/>
      <c r="W24" s="1655"/>
      <c r="X24" s="2003"/>
      <c r="Y24" s="3629"/>
      <c r="Z24" s="2007"/>
      <c r="AA24" s="1998">
        <v>1</v>
      </c>
      <c r="AB24" s="1998">
        <v>1</v>
      </c>
      <c r="AC24" s="1998">
        <v>1</v>
      </c>
    </row>
    <row r="25" spans="1:29" ht="15">
      <c r="A25" s="1631"/>
      <c r="B25" s="1624" t="s">
        <v>2119</v>
      </c>
      <c r="C25" s="3336" t="s">
        <v>3052</v>
      </c>
      <c r="D25" s="1640">
        <v>100</v>
      </c>
      <c r="E25" s="1920" t="s">
        <v>3052</v>
      </c>
      <c r="F25" s="1683">
        <f>SUMIF(86:86,E25,87:87)-SUMIF(86:86,C25,87:87)+100</f>
        <v>100</v>
      </c>
      <c r="G25" s="1920" t="s">
        <v>3052</v>
      </c>
      <c r="H25" s="1640">
        <f>SUMIF(86:86,G25,87:87)-SUMIF(86:86,C25,87:87)+100</f>
        <v>100</v>
      </c>
      <c r="I25" s="1920" t="s">
        <v>3052</v>
      </c>
      <c r="J25" s="1640">
        <f>SUMIF(86:86,I25,87:87)-SUMIF(86:86,C25,87:87)+100</f>
        <v>100</v>
      </c>
      <c r="K25" s="1921">
        <v>2</v>
      </c>
      <c r="L25" s="2920"/>
      <c r="M25" s="2916"/>
      <c r="N25" s="2916"/>
      <c r="O25" s="2916"/>
      <c r="P25" s="3642"/>
      <c r="Q25" s="2000" t="str">
        <f t="shared" ref="Q25:Q46" si="11">B25</f>
        <v>临街状况</v>
      </c>
      <c r="R25" s="1654" t="s">
        <v>25</v>
      </c>
      <c r="S25" s="1655">
        <f>F25</f>
        <v>100</v>
      </c>
      <c r="T25" s="1654" t="s">
        <v>25</v>
      </c>
      <c r="U25" s="1655">
        <f>H25</f>
        <v>100</v>
      </c>
      <c r="V25" s="1654" t="s">
        <v>25</v>
      </c>
      <c r="W25" s="1655">
        <f>J25</f>
        <v>100</v>
      </c>
      <c r="X25" s="2003"/>
      <c r="Y25" s="3629"/>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42"/>
      <c r="Q26" s="2000" t="str">
        <f t="shared" si="11"/>
        <v>平面位置/可视性</v>
      </c>
      <c r="R26" s="1654" t="s">
        <v>25</v>
      </c>
      <c r="S26" s="1655">
        <f>F26</f>
        <v>100</v>
      </c>
      <c r="T26" s="1654" t="s">
        <v>25</v>
      </c>
      <c r="U26" s="1655">
        <f>H26</f>
        <v>100</v>
      </c>
      <c r="V26" s="1654" t="s">
        <v>25</v>
      </c>
      <c r="W26" s="1655">
        <f>J26</f>
        <v>100</v>
      </c>
      <c r="X26" s="2003"/>
      <c r="Y26" s="3629"/>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42"/>
      <c r="Q27" s="1994" t="str">
        <f t="shared" si="11"/>
        <v>人流量</v>
      </c>
      <c r="R27" s="1609" t="s">
        <v>25</v>
      </c>
      <c r="S27" s="1610">
        <f>F27</f>
        <v>100</v>
      </c>
      <c r="T27" s="1609" t="s">
        <v>25</v>
      </c>
      <c r="U27" s="1610">
        <f>H27</f>
        <v>100</v>
      </c>
      <c r="V27" s="1609" t="s">
        <v>25</v>
      </c>
      <c r="W27" s="1610">
        <f>J27</f>
        <v>100</v>
      </c>
      <c r="X27" s="1611"/>
      <c r="Y27" s="3629"/>
      <c r="Z27" s="1622" t="str">
        <f>Q27</f>
        <v>人流量</v>
      </c>
      <c r="AA27" s="1998">
        <f>D27/F27</f>
        <v>1</v>
      </c>
      <c r="AB27" s="1998">
        <f>D27/H27</f>
        <v>1</v>
      </c>
      <c r="AC27" s="1998">
        <f>D27/J27</f>
        <v>1</v>
      </c>
    </row>
    <row r="28" spans="1:29" ht="15">
      <c r="A28" s="1631"/>
      <c r="B28" s="1624" t="s">
        <v>2122</v>
      </c>
      <c r="C28" s="1920" t="s">
        <v>3069</v>
      </c>
      <c r="D28" s="1640">
        <v>100</v>
      </c>
      <c r="E28" s="1920" t="s">
        <v>3072</v>
      </c>
      <c r="F28" s="1683">
        <f>SUMIF(92:92,E28,93:93)-SUMIF(92:92,C28,93:93)+100</f>
        <v>110</v>
      </c>
      <c r="G28" s="1920" t="s">
        <v>3075</v>
      </c>
      <c r="H28" s="1640">
        <f>SUMIF(92:92,G28,93:93)-SUMIF(92:92,C28,93:93)+100</f>
        <v>98</v>
      </c>
      <c r="I28" s="1920" t="s">
        <v>3069</v>
      </c>
      <c r="J28" s="1640">
        <f>SUMIF(92:92,I28,93:93)-SUMIF(92:92,C28,93:93)+100</f>
        <v>100</v>
      </c>
      <c r="K28" s="1918"/>
      <c r="L28" s="2920"/>
      <c r="M28" s="2916"/>
      <c r="N28" s="2916"/>
      <c r="O28" s="2916"/>
      <c r="P28" s="3642"/>
      <c r="Q28" s="2000" t="str">
        <f t="shared" si="11"/>
        <v>楼层</v>
      </c>
      <c r="R28" s="1654" t="s">
        <v>25</v>
      </c>
      <c r="S28" s="1655">
        <f t="shared" ref="S28:S46" si="12">F28</f>
        <v>110</v>
      </c>
      <c r="T28" s="1654" t="s">
        <v>25</v>
      </c>
      <c r="U28" s="1655">
        <f t="shared" ref="U28:U46" si="13">H28</f>
        <v>98</v>
      </c>
      <c r="V28" s="1654" t="s">
        <v>25</v>
      </c>
      <c r="W28" s="1655">
        <f t="shared" ref="W28:W46" si="14">J28</f>
        <v>100</v>
      </c>
      <c r="X28" s="2003"/>
      <c r="Y28" s="3629"/>
      <c r="Z28" s="2007" t="str">
        <f t="shared" ref="Z28:Z46" si="15">Q28</f>
        <v>楼层</v>
      </c>
      <c r="AA28" s="1998">
        <f t="shared" si="3"/>
        <v>0.90909090909090906</v>
      </c>
      <c r="AB28" s="1998">
        <f t="shared" si="4"/>
        <v>1.0204081632653061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42"/>
      <c r="Q29" s="2000">
        <f t="shared" si="11"/>
        <v>111</v>
      </c>
      <c r="R29" s="1654" t="s">
        <v>25</v>
      </c>
      <c r="S29" s="1655">
        <f t="shared" si="12"/>
        <v>100</v>
      </c>
      <c r="T29" s="1654" t="s">
        <v>25</v>
      </c>
      <c r="U29" s="1655">
        <f t="shared" si="13"/>
        <v>100</v>
      </c>
      <c r="V29" s="1654" t="s">
        <v>25</v>
      </c>
      <c r="W29" s="1655">
        <f t="shared" si="14"/>
        <v>100</v>
      </c>
      <c r="X29" s="2003"/>
      <c r="Y29" s="3629"/>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42"/>
      <c r="Q30" s="2000">
        <f t="shared" si="11"/>
        <v>111</v>
      </c>
      <c r="R30" s="1654" t="s">
        <v>25</v>
      </c>
      <c r="S30" s="1655">
        <f t="shared" si="12"/>
        <v>100</v>
      </c>
      <c r="T30" s="1654" t="s">
        <v>25</v>
      </c>
      <c r="U30" s="1655">
        <f t="shared" si="13"/>
        <v>100</v>
      </c>
      <c r="V30" s="1654" t="s">
        <v>25</v>
      </c>
      <c r="W30" s="1655">
        <f t="shared" si="14"/>
        <v>100</v>
      </c>
      <c r="X30" s="2003"/>
      <c r="Y30" s="3629"/>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42"/>
      <c r="Q31" s="2000">
        <f t="shared" si="11"/>
        <v>111</v>
      </c>
      <c r="R31" s="1654" t="s">
        <v>25</v>
      </c>
      <c r="S31" s="1655">
        <f t="shared" si="12"/>
        <v>100</v>
      </c>
      <c r="T31" s="1654" t="s">
        <v>25</v>
      </c>
      <c r="U31" s="1655">
        <f t="shared" si="13"/>
        <v>100</v>
      </c>
      <c r="V31" s="1654" t="s">
        <v>25</v>
      </c>
      <c r="W31" s="1655">
        <f t="shared" si="14"/>
        <v>100</v>
      </c>
      <c r="X31" s="2003"/>
      <c r="Y31" s="3629"/>
      <c r="Z31" s="2007">
        <f t="shared" si="15"/>
        <v>111</v>
      </c>
      <c r="AA31" s="1998">
        <f t="shared" si="3"/>
        <v>1</v>
      </c>
      <c r="AB31" s="1998">
        <f t="shared" si="4"/>
        <v>1</v>
      </c>
      <c r="AC31" s="1998">
        <f t="shared" si="5"/>
        <v>1</v>
      </c>
    </row>
    <row r="32" spans="1:29" ht="15">
      <c r="A32" s="1646" t="s">
        <v>2035</v>
      </c>
      <c r="B32" s="1616" t="s">
        <v>2123</v>
      </c>
      <c r="C32" s="1690" t="s">
        <v>3091</v>
      </c>
      <c r="D32" s="1691">
        <v>100</v>
      </c>
      <c r="E32" s="1690" t="s">
        <v>3091</v>
      </c>
      <c r="F32" s="1683">
        <f>SUMIF(100:100,E32,101:101)-SUMIF(100:100,C32,101:101)+100</f>
        <v>100</v>
      </c>
      <c r="G32" s="1690" t="s">
        <v>3091</v>
      </c>
      <c r="H32" s="1640">
        <f>SUMIF(100:100,G32,101:101)-SUMIF(100:100,C32,101:101)+100</f>
        <v>100</v>
      </c>
      <c r="I32" s="1690" t="s">
        <v>3091</v>
      </c>
      <c r="J32" s="1691">
        <f>SUMIF(100:100,I32,101:101)-SUMIF(100:100,C32,101:101)+100</f>
        <v>100</v>
      </c>
      <c r="K32" s="1921">
        <v>1</v>
      </c>
      <c r="L32" s="2920"/>
      <c r="M32" s="2916"/>
      <c r="N32" s="2916"/>
      <c r="O32" s="2916"/>
      <c r="P32" s="3630" t="s">
        <v>2037</v>
      </c>
      <c r="Q32" s="2000" t="str">
        <f t="shared" si="11"/>
        <v>商业类型</v>
      </c>
      <c r="R32" s="1654" t="s">
        <v>25</v>
      </c>
      <c r="S32" s="1655">
        <f t="shared" si="12"/>
        <v>100</v>
      </c>
      <c r="T32" s="1654" t="s">
        <v>25</v>
      </c>
      <c r="U32" s="1655">
        <f t="shared" si="13"/>
        <v>100</v>
      </c>
      <c r="V32" s="1654" t="s">
        <v>25</v>
      </c>
      <c r="W32" s="1655">
        <f t="shared" si="14"/>
        <v>100</v>
      </c>
      <c r="X32" s="2003"/>
      <c r="Y32" s="3633" t="s">
        <v>2037</v>
      </c>
      <c r="Z32" s="2007" t="str">
        <f t="shared" si="15"/>
        <v>商业类型</v>
      </c>
      <c r="AA32" s="1998">
        <f t="shared" si="3"/>
        <v>1</v>
      </c>
      <c r="AB32" s="1998">
        <f t="shared" si="4"/>
        <v>1</v>
      </c>
      <c r="AC32" s="1998">
        <f t="shared" si="5"/>
        <v>1</v>
      </c>
    </row>
    <row r="33" spans="1:29" s="1700" customFormat="1" ht="15">
      <c r="A33" s="1693"/>
      <c r="B33" s="1624" t="s">
        <v>2038</v>
      </c>
      <c r="C33" s="1694">
        <f>'数据-取费表'!B5</f>
        <v>45.57</v>
      </c>
      <c r="D33" s="1626">
        <v>100</v>
      </c>
      <c r="E33" s="1633">
        <v>100</v>
      </c>
      <c r="F33" s="1628">
        <f>LOOKUP(E33,103:103,104:104)-LOOKUP(C33,103:103,104:104)+100</f>
        <v>98</v>
      </c>
      <c r="G33" s="1632">
        <v>25</v>
      </c>
      <c r="H33" s="1626">
        <f>LOOKUP(G33,103:103,104:104)-LOOKUP(C33,103:103,104:104)+100</f>
        <v>102</v>
      </c>
      <c r="I33" s="1632">
        <v>30</v>
      </c>
      <c r="J33" s="1626">
        <f>LOOKUP(I33,103:103,104:104)-LOOKUP(C33,103:103,104:104)+100</f>
        <v>102</v>
      </c>
      <c r="K33" s="1918"/>
      <c r="L33" s="2919"/>
      <c r="M33" s="1988"/>
      <c r="N33" s="1988"/>
      <c r="O33" s="1988"/>
      <c r="P33" s="3631"/>
      <c r="Q33" s="1695" t="str">
        <f t="shared" si="11"/>
        <v>项目建筑规模</v>
      </c>
      <c r="R33" s="1696" t="s">
        <v>25</v>
      </c>
      <c r="S33" s="1697">
        <f t="shared" si="12"/>
        <v>98</v>
      </c>
      <c r="T33" s="1696" t="s">
        <v>25</v>
      </c>
      <c r="U33" s="1697">
        <f t="shared" si="13"/>
        <v>102</v>
      </c>
      <c r="V33" s="1696" t="s">
        <v>25</v>
      </c>
      <c r="W33" s="1697">
        <f t="shared" si="14"/>
        <v>102</v>
      </c>
      <c r="X33" s="1698"/>
      <c r="Y33" s="3633"/>
      <c r="Z33" s="1699" t="str">
        <f t="shared" si="15"/>
        <v>项目建筑规模</v>
      </c>
      <c r="AA33" s="1998">
        <f t="shared" si="3"/>
        <v>1.0204081632653061</v>
      </c>
      <c r="AB33" s="1998">
        <f t="shared" si="4"/>
        <v>0.98039215686274506</v>
      </c>
      <c r="AC33" s="1998">
        <f t="shared" si="5"/>
        <v>0.98039215686274506</v>
      </c>
    </row>
    <row r="34" spans="1:29" ht="15">
      <c r="A34" s="1701"/>
      <c r="B34" s="1624" t="s">
        <v>2039</v>
      </c>
      <c r="C34" s="1702" t="s">
        <v>3036</v>
      </c>
      <c r="D34" s="1640">
        <v>100</v>
      </c>
      <c r="E34" s="1702" t="s">
        <v>3036</v>
      </c>
      <c r="F34" s="1683">
        <f>SUMIF(105:105,E34,106:106)-SUMIF(105:105,C34,106:106)+100</f>
        <v>100</v>
      </c>
      <c r="G34" s="1702" t="s">
        <v>3036</v>
      </c>
      <c r="H34" s="1640">
        <f>SUMIF(105:105,G34,106:106)-SUMIF(105:105,C34,106:106)+100</f>
        <v>100</v>
      </c>
      <c r="I34" s="1702" t="s">
        <v>3036</v>
      </c>
      <c r="J34" s="1640">
        <f>SUMIF(105:105,I34,106:106)-SUMIF(105:105,C34,106:106)+100</f>
        <v>100</v>
      </c>
      <c r="K34" s="1921"/>
      <c r="L34" s="2920"/>
      <c r="M34" s="2916"/>
      <c r="N34" s="2916"/>
      <c r="O34" s="2916"/>
      <c r="P34" s="3631"/>
      <c r="Q34" s="2000" t="str">
        <f t="shared" si="11"/>
        <v>建筑结构</v>
      </c>
      <c r="R34" s="1654" t="s">
        <v>25</v>
      </c>
      <c r="S34" s="1655">
        <f t="shared" si="12"/>
        <v>100</v>
      </c>
      <c r="T34" s="1654" t="s">
        <v>25</v>
      </c>
      <c r="U34" s="1655">
        <f t="shared" si="13"/>
        <v>100</v>
      </c>
      <c r="V34" s="1654" t="s">
        <v>25</v>
      </c>
      <c r="W34" s="1655">
        <f t="shared" si="14"/>
        <v>100</v>
      </c>
      <c r="X34" s="2003"/>
      <c r="Y34" s="3633"/>
      <c r="Z34" s="2007" t="str">
        <f t="shared" si="15"/>
        <v>建筑结构</v>
      </c>
      <c r="AA34" s="1998">
        <f t="shared" si="3"/>
        <v>1</v>
      </c>
      <c r="AB34" s="1998">
        <f t="shared" si="4"/>
        <v>1</v>
      </c>
      <c r="AC34" s="1998">
        <f t="shared" si="5"/>
        <v>1</v>
      </c>
    </row>
    <row r="35" spans="1:29" ht="15">
      <c r="A35" s="1701"/>
      <c r="B35" s="1624" t="s">
        <v>2124</v>
      </c>
      <c r="C35" s="1684" t="s">
        <v>3093</v>
      </c>
      <c r="D35" s="1640">
        <v>100</v>
      </c>
      <c r="E35" s="1684" t="s">
        <v>3093</v>
      </c>
      <c r="F35" s="1683">
        <f>SUMIF(107:107,E35,108:108)-SUMIF(107:107,C35,108:108)+100</f>
        <v>100</v>
      </c>
      <c r="G35" s="1684" t="s">
        <v>3093</v>
      </c>
      <c r="H35" s="1640">
        <f>SUMIF(107:107,G35,108:108)-SUMIF(107:107,C35,108:108)+100</f>
        <v>100</v>
      </c>
      <c r="I35" s="1684" t="s">
        <v>3093</v>
      </c>
      <c r="J35" s="1640">
        <f>SUMIF(107:107,I35,108:108)-SUMIF(107:107,C35,108:108)+100</f>
        <v>100</v>
      </c>
      <c r="K35" s="1921"/>
      <c r="L35" s="2920"/>
      <c r="M35" s="2916"/>
      <c r="N35" s="2916"/>
      <c r="O35" s="2916"/>
      <c r="P35" s="3631"/>
      <c r="Q35" s="2000" t="str">
        <f t="shared" si="11"/>
        <v>公共部分装修</v>
      </c>
      <c r="R35" s="1654" t="s">
        <v>25</v>
      </c>
      <c r="S35" s="1655">
        <f t="shared" si="12"/>
        <v>100</v>
      </c>
      <c r="T35" s="1654" t="s">
        <v>25</v>
      </c>
      <c r="U35" s="1655">
        <f t="shared" si="13"/>
        <v>100</v>
      </c>
      <c r="V35" s="1654" t="s">
        <v>25</v>
      </c>
      <c r="W35" s="1655">
        <f t="shared" si="14"/>
        <v>100</v>
      </c>
      <c r="X35" s="2003"/>
      <c r="Y35" s="3633"/>
      <c r="Z35" s="2007" t="str">
        <f t="shared" si="15"/>
        <v>公共部分装修</v>
      </c>
      <c r="AA35" s="1998">
        <f t="shared" si="3"/>
        <v>1</v>
      </c>
      <c r="AB35" s="1998">
        <f t="shared" si="4"/>
        <v>1</v>
      </c>
      <c r="AC35" s="1998">
        <f t="shared" si="5"/>
        <v>1</v>
      </c>
    </row>
    <row r="36" spans="1:29" ht="15">
      <c r="A36" s="1701"/>
      <c r="B36" s="1624" t="s">
        <v>2125</v>
      </c>
      <c r="C36" s="1705">
        <v>0.78</v>
      </c>
      <c r="D36" s="1640">
        <v>100</v>
      </c>
      <c r="E36" s="1705">
        <v>0.78</v>
      </c>
      <c r="F36" s="1683">
        <f>LOOKUP(E36,110:110,111:111)-LOOKUP(C36,110:110,111:111)+100</f>
        <v>100</v>
      </c>
      <c r="G36" s="1705">
        <v>0.78</v>
      </c>
      <c r="H36" s="1683">
        <f>LOOKUP(G36,110:110,111:111)-LOOKUP(C36,110:110,111:111)+100</f>
        <v>100</v>
      </c>
      <c r="I36" s="1705">
        <v>0.78</v>
      </c>
      <c r="J36" s="1640">
        <f>LOOKUP(I36,110:110,111:111)-LOOKUP(C36,110:110,111:111)+100</f>
        <v>100</v>
      </c>
      <c r="K36" s="1921"/>
      <c r="L36" s="2920"/>
      <c r="M36" s="2916"/>
      <c r="N36" s="2916"/>
      <c r="O36" s="2916"/>
      <c r="P36" s="3631"/>
      <c r="Q36" s="2000" t="str">
        <f t="shared" si="11"/>
        <v>成新度</v>
      </c>
      <c r="R36" s="1654" t="s">
        <v>25</v>
      </c>
      <c r="S36" s="1655">
        <f t="shared" si="12"/>
        <v>100</v>
      </c>
      <c r="T36" s="1654" t="s">
        <v>25</v>
      </c>
      <c r="U36" s="1655">
        <f t="shared" si="13"/>
        <v>100</v>
      </c>
      <c r="V36" s="1654" t="s">
        <v>25</v>
      </c>
      <c r="W36" s="1655">
        <f t="shared" si="14"/>
        <v>100</v>
      </c>
      <c r="X36" s="2003"/>
      <c r="Y36" s="3633"/>
      <c r="Z36" s="2007" t="str">
        <f t="shared" si="15"/>
        <v>成新度</v>
      </c>
      <c r="AA36" s="1998">
        <f t="shared" si="3"/>
        <v>1</v>
      </c>
      <c r="AB36" s="1998">
        <f t="shared" si="4"/>
        <v>1</v>
      </c>
      <c r="AC36" s="1998">
        <f t="shared" si="5"/>
        <v>1</v>
      </c>
    </row>
    <row r="37" spans="1:29" s="1613" customFormat="1" ht="15">
      <c r="A37" s="1704"/>
      <c r="B37" s="1624" t="s">
        <v>2126</v>
      </c>
      <c r="C37" s="1684" t="s">
        <v>3057</v>
      </c>
      <c r="D37" s="1626">
        <v>100</v>
      </c>
      <c r="E37" s="1684" t="s">
        <v>3057</v>
      </c>
      <c r="F37" s="1683">
        <f>SUMIF(112:112,E37,113:113)-SUMIF(112:112,C37,113:113)+100</f>
        <v>100</v>
      </c>
      <c r="G37" s="1684" t="s">
        <v>3057</v>
      </c>
      <c r="H37" s="1640">
        <f>SUMIF(112:112,G37,113:113)-SUMIF(112:112,C37,113:113)+100</f>
        <v>100</v>
      </c>
      <c r="I37" s="1684" t="s">
        <v>3057</v>
      </c>
      <c r="J37" s="1640">
        <f>SUMIF(112:112,I37,113:113)-SUMIF(112:112,C37,113:113)+100</f>
        <v>100</v>
      </c>
      <c r="K37" s="1921"/>
      <c r="L37" s="2915"/>
      <c r="M37" s="2888"/>
      <c r="N37" s="2888"/>
      <c r="O37" s="2888"/>
      <c r="P37" s="3631"/>
      <c r="Q37" s="1994" t="str">
        <f t="shared" si="11"/>
        <v>市政基础设施</v>
      </c>
      <c r="R37" s="1609" t="s">
        <v>25</v>
      </c>
      <c r="S37" s="1610">
        <f t="shared" si="12"/>
        <v>100</v>
      </c>
      <c r="T37" s="1609" t="s">
        <v>25</v>
      </c>
      <c r="U37" s="1610">
        <f t="shared" si="13"/>
        <v>100</v>
      </c>
      <c r="V37" s="1609" t="s">
        <v>25</v>
      </c>
      <c r="W37" s="1610">
        <f t="shared" si="14"/>
        <v>100</v>
      </c>
      <c r="X37" s="1611"/>
      <c r="Y37" s="3633"/>
      <c r="Z37" s="1622" t="str">
        <f t="shared" si="15"/>
        <v>市政基础设施</v>
      </c>
      <c r="AA37" s="1612">
        <f t="shared" si="3"/>
        <v>1</v>
      </c>
      <c r="AB37" s="1612">
        <f t="shared" si="4"/>
        <v>1</v>
      </c>
      <c r="AC37" s="1612">
        <f t="shared" si="5"/>
        <v>1</v>
      </c>
    </row>
    <row r="38" spans="1:29" ht="15" hidden="1">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1" t="s">
        <v>2037</v>
      </c>
      <c r="Q38" s="2000" t="str">
        <f t="shared" si="11"/>
        <v>业态</v>
      </c>
      <c r="R38" s="1654" t="s">
        <v>25</v>
      </c>
      <c r="S38" s="1655">
        <f t="shared" si="12"/>
        <v>100</v>
      </c>
      <c r="T38" s="1654" t="s">
        <v>25</v>
      </c>
      <c r="U38" s="1655">
        <f t="shared" si="13"/>
        <v>100</v>
      </c>
      <c r="V38" s="1654" t="s">
        <v>25</v>
      </c>
      <c r="W38" s="1655">
        <f t="shared" si="14"/>
        <v>100</v>
      </c>
      <c r="X38" s="2003"/>
      <c r="Y38" s="3633" t="s">
        <v>2037</v>
      </c>
      <c r="Z38" s="2007" t="str">
        <f t="shared" si="15"/>
        <v>业态</v>
      </c>
      <c r="AA38" s="1998">
        <f t="shared" si="3"/>
        <v>1</v>
      </c>
      <c r="AB38" s="1998">
        <f t="shared" si="4"/>
        <v>1</v>
      </c>
      <c r="AC38" s="1998">
        <f t="shared" si="5"/>
        <v>1</v>
      </c>
    </row>
    <row r="39" spans="1:29" ht="15" hidden="1">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1"/>
      <c r="Q39" s="2000" t="str">
        <f t="shared" si="11"/>
        <v>层高</v>
      </c>
      <c r="R39" s="1654" t="s">
        <v>25</v>
      </c>
      <c r="S39" s="1655">
        <f t="shared" si="12"/>
        <v>100</v>
      </c>
      <c r="T39" s="1654" t="s">
        <v>25</v>
      </c>
      <c r="U39" s="1655">
        <f t="shared" si="13"/>
        <v>100</v>
      </c>
      <c r="V39" s="1654" t="s">
        <v>25</v>
      </c>
      <c r="W39" s="1655">
        <f t="shared" si="14"/>
        <v>100</v>
      </c>
      <c r="X39" s="2003"/>
      <c r="Y39" s="3633"/>
      <c r="Z39" s="2007" t="str">
        <f t="shared" si="15"/>
        <v>层高</v>
      </c>
      <c r="AA39" s="1998">
        <f t="shared" si="3"/>
        <v>1</v>
      </c>
      <c r="AB39" s="1998">
        <f t="shared" si="4"/>
        <v>1</v>
      </c>
      <c r="AC39" s="1998">
        <f t="shared" si="5"/>
        <v>1</v>
      </c>
    </row>
    <row r="40" spans="1:29" ht="15" hidden="1">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1"/>
      <c r="Q40" s="2000" t="str">
        <f t="shared" si="11"/>
        <v>单套建筑面积</v>
      </c>
      <c r="R40" s="1654" t="s">
        <v>25</v>
      </c>
      <c r="S40" s="1655">
        <f t="shared" si="12"/>
        <v>100</v>
      </c>
      <c r="T40" s="1654" t="s">
        <v>25</v>
      </c>
      <c r="U40" s="1655">
        <f t="shared" si="13"/>
        <v>100</v>
      </c>
      <c r="V40" s="1654" t="s">
        <v>25</v>
      </c>
      <c r="W40" s="1655">
        <f t="shared" si="14"/>
        <v>100</v>
      </c>
      <c r="X40" s="2003"/>
      <c r="Y40" s="3633"/>
      <c r="Z40" s="2007" t="str">
        <f t="shared" si="15"/>
        <v>单套建筑面积</v>
      </c>
      <c r="AA40" s="1998">
        <f t="shared" si="3"/>
        <v>1</v>
      </c>
      <c r="AB40" s="1998">
        <f t="shared" si="4"/>
        <v>1</v>
      </c>
      <c r="AC40" s="1998">
        <f t="shared" si="5"/>
        <v>1</v>
      </c>
    </row>
    <row r="41" spans="1:29" s="1700" customFormat="1" ht="15" hidden="1">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1"/>
      <c r="Q41" s="1695" t="str">
        <f t="shared" si="11"/>
        <v>进深比</v>
      </c>
      <c r="R41" s="1696" t="s">
        <v>25</v>
      </c>
      <c r="S41" s="1697">
        <f t="shared" si="12"/>
        <v>100</v>
      </c>
      <c r="T41" s="1696" t="s">
        <v>25</v>
      </c>
      <c r="U41" s="1697">
        <f t="shared" si="13"/>
        <v>100</v>
      </c>
      <c r="V41" s="1696" t="s">
        <v>25</v>
      </c>
      <c r="W41" s="1697">
        <f t="shared" si="14"/>
        <v>100</v>
      </c>
      <c r="X41" s="1698"/>
      <c r="Y41" s="3633"/>
      <c r="Z41" s="1699" t="str">
        <f t="shared" si="15"/>
        <v>进深比</v>
      </c>
      <c r="AA41" s="1998">
        <f t="shared" si="3"/>
        <v>1</v>
      </c>
      <c r="AB41" s="1998">
        <f t="shared" si="4"/>
        <v>1</v>
      </c>
      <c r="AC41" s="1998">
        <f t="shared" si="5"/>
        <v>1</v>
      </c>
    </row>
    <row r="42" spans="1:29" ht="15">
      <c r="A42" s="1701"/>
      <c r="B42" s="1624" t="s">
        <v>2131</v>
      </c>
      <c r="C42" s="1684" t="s">
        <v>3060</v>
      </c>
      <c r="D42" s="1640">
        <v>100</v>
      </c>
      <c r="E42" s="1684" t="s">
        <v>3060</v>
      </c>
      <c r="F42" s="1683">
        <f>SUMIF(122:122,E42,123:123)-SUMIF(122:122,C42,123:123)+100</f>
        <v>100</v>
      </c>
      <c r="G42" s="1684" t="s">
        <v>3093</v>
      </c>
      <c r="H42" s="1640">
        <f>SUMIF(122:122,G42,123:123)-SUMIF(122:122,C42,123:123)+100</f>
        <v>102</v>
      </c>
      <c r="I42" s="1684" t="s">
        <v>3093</v>
      </c>
      <c r="J42" s="1640">
        <f>SUMIF(122:122,I42,123:123)-SUMIF(122:122,C42,123:123)+100</f>
        <v>102</v>
      </c>
      <c r="K42" s="1921">
        <v>2</v>
      </c>
      <c r="L42" s="2920"/>
      <c r="M42" s="2916"/>
      <c r="N42" s="2916"/>
      <c r="O42" s="2916"/>
      <c r="P42" s="3631"/>
      <c r="Q42" s="2000" t="str">
        <f t="shared" si="11"/>
        <v>内部装修</v>
      </c>
      <c r="R42" s="1654" t="s">
        <v>25</v>
      </c>
      <c r="S42" s="1655">
        <f t="shared" si="12"/>
        <v>100</v>
      </c>
      <c r="T42" s="1654" t="s">
        <v>25</v>
      </c>
      <c r="U42" s="1655">
        <f t="shared" si="13"/>
        <v>102</v>
      </c>
      <c r="V42" s="1654" t="s">
        <v>25</v>
      </c>
      <c r="W42" s="1655">
        <f t="shared" si="14"/>
        <v>102</v>
      </c>
      <c r="X42" s="2003"/>
      <c r="Y42" s="3633"/>
      <c r="Z42" s="2007" t="str">
        <f t="shared" si="15"/>
        <v>内部装修</v>
      </c>
      <c r="AA42" s="1998">
        <f t="shared" si="3"/>
        <v>1</v>
      </c>
      <c r="AB42" s="1998">
        <f t="shared" si="4"/>
        <v>0.98039215686274506</v>
      </c>
      <c r="AC42" s="1998">
        <f t="shared" si="5"/>
        <v>0.98039215686274506</v>
      </c>
    </row>
    <row r="43" spans="1:29" ht="15">
      <c r="A43" s="1701"/>
      <c r="B43" s="1624" t="s">
        <v>2048</v>
      </c>
      <c r="C43" s="1684" t="s">
        <v>30</v>
      </c>
      <c r="D43" s="1640">
        <v>100</v>
      </c>
      <c r="E43" s="1684" t="s">
        <v>30</v>
      </c>
      <c r="F43" s="1683">
        <f>SUMIF(124:124,E43,125:125)-SUMIF(124:124,C43,125:125)+100</f>
        <v>100</v>
      </c>
      <c r="G43" s="1684" t="s">
        <v>30</v>
      </c>
      <c r="H43" s="1640">
        <f>SUMIF(124:124,G43,125:125)-SUMIF(124:124,C43,125:125)+100</f>
        <v>100</v>
      </c>
      <c r="I43" s="1684" t="s">
        <v>30</v>
      </c>
      <c r="J43" s="1640">
        <f>SUMIF(124:124,I43,125:125)-SUMIF(124:124,C43,125:125)+100</f>
        <v>100</v>
      </c>
      <c r="K43" s="1921"/>
      <c r="L43" s="2920"/>
      <c r="M43" s="2916"/>
      <c r="N43" s="2916"/>
      <c r="O43" s="2916"/>
      <c r="P43" s="3631"/>
      <c r="Q43" s="2000" t="str">
        <f t="shared" si="11"/>
        <v>内部装修维护情况</v>
      </c>
      <c r="R43" s="1654" t="s">
        <v>25</v>
      </c>
      <c r="S43" s="1655">
        <f t="shared" si="12"/>
        <v>100</v>
      </c>
      <c r="T43" s="1654" t="s">
        <v>25</v>
      </c>
      <c r="U43" s="1655">
        <f t="shared" si="13"/>
        <v>100</v>
      </c>
      <c r="V43" s="1654" t="s">
        <v>25</v>
      </c>
      <c r="W43" s="1655">
        <f t="shared" si="14"/>
        <v>100</v>
      </c>
      <c r="X43" s="2003"/>
      <c r="Y43" s="3633"/>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1"/>
      <c r="Q44" s="1994">
        <f t="shared" si="11"/>
        <v>111</v>
      </c>
      <c r="R44" s="1609" t="s">
        <v>25</v>
      </c>
      <c r="S44" s="1610">
        <f t="shared" si="12"/>
        <v>100</v>
      </c>
      <c r="T44" s="1609" t="s">
        <v>25</v>
      </c>
      <c r="U44" s="1610">
        <f t="shared" si="13"/>
        <v>100</v>
      </c>
      <c r="V44" s="1609" t="s">
        <v>25</v>
      </c>
      <c r="W44" s="1610">
        <f t="shared" si="14"/>
        <v>100</v>
      </c>
      <c r="X44" s="1611"/>
      <c r="Y44" s="3633"/>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1"/>
      <c r="Q45" s="2000">
        <f t="shared" si="11"/>
        <v>111</v>
      </c>
      <c r="R45" s="1654" t="s">
        <v>25</v>
      </c>
      <c r="S45" s="1655">
        <f t="shared" si="12"/>
        <v>100</v>
      </c>
      <c r="T45" s="1654" t="s">
        <v>25</v>
      </c>
      <c r="U45" s="1655">
        <f t="shared" si="13"/>
        <v>100</v>
      </c>
      <c r="V45" s="1654" t="s">
        <v>25</v>
      </c>
      <c r="W45" s="1655">
        <f t="shared" si="14"/>
        <v>100</v>
      </c>
      <c r="X45" s="2003"/>
      <c r="Y45" s="3633"/>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2"/>
      <c r="Q46" s="2000">
        <f t="shared" si="11"/>
        <v>111</v>
      </c>
      <c r="R46" s="1654" t="s">
        <v>25</v>
      </c>
      <c r="S46" s="1655">
        <f t="shared" si="12"/>
        <v>100</v>
      </c>
      <c r="T46" s="1654" t="s">
        <v>25</v>
      </c>
      <c r="U46" s="1655">
        <f t="shared" si="13"/>
        <v>100</v>
      </c>
      <c r="V46" s="1654" t="s">
        <v>25</v>
      </c>
      <c r="W46" s="1655">
        <f t="shared" si="14"/>
        <v>100</v>
      </c>
      <c r="X46" s="2003"/>
      <c r="Y46" s="3634"/>
      <c r="Z46" s="2007">
        <f t="shared" si="15"/>
        <v>111</v>
      </c>
      <c r="AA46" s="1998">
        <f t="shared" si="3"/>
        <v>1</v>
      </c>
      <c r="AB46" s="1998">
        <f t="shared" si="4"/>
        <v>1</v>
      </c>
      <c r="AC46" s="1998">
        <f t="shared" si="5"/>
        <v>1</v>
      </c>
    </row>
    <row r="47" spans="1:29" ht="15">
      <c r="A47" s="1710" t="s">
        <v>2049</v>
      </c>
      <c r="B47" s="1711"/>
      <c r="C47" s="1712" t="s">
        <v>1</v>
      </c>
      <c r="D47" s="1713"/>
      <c r="E47" s="1714">
        <f>Sheet4!P2</f>
        <v>3.3</v>
      </c>
      <c r="F47" s="1715"/>
      <c r="G47" s="1716">
        <f>Sheet4!P5</f>
        <v>3</v>
      </c>
      <c r="H47" s="1717"/>
      <c r="I47" s="1714">
        <f>Sheet4!P6</f>
        <v>2.7</v>
      </c>
      <c r="J47" s="1717"/>
      <c r="K47" s="1942"/>
      <c r="L47" s="2921"/>
      <c r="N47" s="2916"/>
      <c r="P47" s="3639" t="str">
        <f>A47</f>
        <v>成交单价（元/平方米）</v>
      </c>
      <c r="Q47" s="3639"/>
      <c r="R47" s="3640">
        <f>E47</f>
        <v>3.3</v>
      </c>
      <c r="S47" s="3640"/>
      <c r="T47" s="3640">
        <f>G47</f>
        <v>3</v>
      </c>
      <c r="U47" s="3640"/>
      <c r="V47" s="3640">
        <f>I47</f>
        <v>2.7</v>
      </c>
      <c r="W47" s="3640"/>
      <c r="X47" s="1720"/>
      <c r="Y47" s="2002"/>
      <c r="Z47" s="1720"/>
      <c r="AA47" s="1720"/>
      <c r="AB47" s="1720"/>
      <c r="AC47" s="1720"/>
    </row>
    <row r="48" spans="1:29" ht="15.75" thickBot="1">
      <c r="A48" s="1722" t="s">
        <v>2132</v>
      </c>
      <c r="B48" s="1723"/>
      <c r="C48" s="1724">
        <f>R49</f>
        <v>2.9</v>
      </c>
      <c r="D48" s="1725" t="s">
        <v>2503</v>
      </c>
      <c r="E48" s="1726">
        <f>R48</f>
        <v>3.1</v>
      </c>
      <c r="F48" s="1727"/>
      <c r="G48" s="1724">
        <f>T48</f>
        <v>2.9</v>
      </c>
      <c r="H48" s="1727"/>
      <c r="I48" s="1726">
        <f>V48</f>
        <v>2.6</v>
      </c>
      <c r="J48" s="1727"/>
      <c r="K48" s="2429">
        <f>F48+H48+J48</f>
        <v>0</v>
      </c>
      <c r="L48" s="2921"/>
      <c r="N48" s="2916"/>
      <c r="P48" s="3639" t="str">
        <f>A48</f>
        <v>比较价值（元/平方米）</v>
      </c>
      <c r="Q48" s="3639"/>
      <c r="R48" s="3640">
        <f>IF(E1="售价",ROUND(PRODUCT(R47,AA7:AA46),0),ROUND(PRODUCT(R47,AA7:AA46),1))</f>
        <v>3.1</v>
      </c>
      <c r="S48" s="3640"/>
      <c r="T48" s="3640">
        <f>IF(E1="售价",ROUND(PRODUCT(T47,AB7:AB46),0),ROUND(PRODUCT(T47,AB7:AB46),1))</f>
        <v>2.9</v>
      </c>
      <c r="U48" s="3640"/>
      <c r="V48" s="3640">
        <f>IF(E1="售价",ROUND(PRODUCT(V47,AC7:AC46),0),ROUND(PRODUCT(V47,AC7:AC46),1))</f>
        <v>2.6</v>
      </c>
      <c r="W48" s="3640"/>
      <c r="X48" s="1720"/>
      <c r="Y48" s="1720"/>
      <c r="Z48" s="1720"/>
      <c r="AA48" s="1720"/>
      <c r="AB48" s="1720"/>
      <c r="AC48" s="1720"/>
    </row>
    <row r="49" spans="1:29" ht="15.75" thickBot="1">
      <c r="A49" s="1728" t="s">
        <v>2133</v>
      </c>
      <c r="B49" s="1729"/>
      <c r="C49" s="1731">
        <f>R49</f>
        <v>2.9</v>
      </c>
      <c r="D49" s="1731"/>
      <c r="E49" s="1731"/>
      <c r="F49" s="1731"/>
      <c r="G49" s="1731"/>
      <c r="H49" s="1731"/>
      <c r="I49" s="1731"/>
      <c r="J49" s="1731"/>
      <c r="K49" s="1947"/>
      <c r="L49" s="2921"/>
      <c r="N49" s="2916"/>
      <c r="P49" s="3645" t="str">
        <f>A49</f>
        <v>估价对象XX用房的比较价值（楼面单价，元/平方米）</v>
      </c>
      <c r="Q49" s="3646"/>
      <c r="R49" s="3647">
        <f>IF(E1="售价",ROUND(IF(D48="简单平均",AVERAGE(R48:V48),R48*F48+T48*H48+V48*J48),0),ROUND(IF(D48="简单平均",AVERAGE(R48:V48),R48*F48+T48*H48+V48*J48),1))</f>
        <v>2.9</v>
      </c>
      <c r="S49" s="3647"/>
      <c r="T49" s="3647"/>
      <c r="U49" s="3647"/>
      <c r="V49" s="3647"/>
      <c r="W49" s="3647"/>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f>IF(E47&lt;E48,E48/E47-1,E47/E48-1)</f>
        <v>6.4516129032258007E-2</v>
      </c>
      <c r="F52" s="1738" t="str">
        <f>IF(OR(E52&gt;=0.3,E52&lt;=-0.3),"超过30%","")</f>
        <v/>
      </c>
      <c r="G52" s="1737">
        <f>IF(G47&lt;G48,G48/G47-1,G47/G48-1)</f>
        <v>3.4482758620689724E-2</v>
      </c>
      <c r="H52" s="1738" t="str">
        <f>IF(OR(G52&gt;=0.3,G52&lt;=-0.3),"超过30%","")</f>
        <v/>
      </c>
      <c r="I52" s="1737">
        <f>IF(I47&lt;I48,I48/I47-1,I47/I48-1)</f>
        <v>3.8461538461538547E-2</v>
      </c>
      <c r="J52" s="1738" t="str">
        <f>IF(OR(I52&gt;=0.3,I52&lt;=-0.3),"超过30%","")</f>
        <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f>IF(E48&lt;G48,G48/E48-1,E48/G48-1)</f>
        <v>6.8965517241379448E-2</v>
      </c>
      <c r="F53" s="1738" t="str">
        <f>IF(OR(E53&gt;=0.2,E53&lt;=-0.2),"超过20%","")</f>
        <v/>
      </c>
      <c r="G53" s="1737">
        <f>IF(G48&lt;I48,I48/G48-1,G48/I48-1)</f>
        <v>0.11538461538461542</v>
      </c>
      <c r="H53" s="1738" t="str">
        <f>IF(OR(G53&gt;=0.2,G53&lt;=-0.2),"超过20%","")</f>
        <v/>
      </c>
      <c r="I53" s="1737">
        <f>IF(I48&lt;E48,E48/I48-1,I48/E48-1)</f>
        <v>0.19230769230769229</v>
      </c>
      <c r="J53" s="1738" t="str">
        <f>IF(OR(I53&gt;=0.2,I53&lt;=-0.2),"超过20%","")</f>
        <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f>IF(E47&lt;G47,G47/E47-1,E47/G47-1)</f>
        <v>9.9999999999999867E-2</v>
      </c>
      <c r="F54" s="1738" t="str">
        <f>IF(OR(E54&gt;=0.3,E54&lt;=-0.3),"超过30%","")</f>
        <v/>
      </c>
      <c r="G54" s="1737">
        <f>IF(G47&lt;I47,I47/G47-1,G47/I47-1)</f>
        <v>0.11111111111111094</v>
      </c>
      <c r="H54" s="1738" t="str">
        <f>IF(OR(G54&gt;=0.3,G54&lt;=-0.3),"超过30%","")</f>
        <v/>
      </c>
      <c r="I54" s="1737">
        <f>IF(I47&lt;E47,E47/I47-1,I47/E47-1)</f>
        <v>0.2222222222222221</v>
      </c>
      <c r="J54" s="1738" t="str">
        <f>IF(OR(I54&gt;=0.3,I54&lt;=-0.3),"超过30%","")</f>
        <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v>100</v>
      </c>
      <c r="E59" s="1760">
        <v>100</v>
      </c>
      <c r="F59" s="1760">
        <v>100</v>
      </c>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t="str">
        <f>C9</f>
        <v>商业</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0（含）-1</v>
      </c>
      <c r="D67" s="1794" t="str">
        <f t="shared" ref="D67:L67" si="17">D68&amp;"（含）"&amp;"-"&amp;E68</f>
        <v>1（含）-2</v>
      </c>
      <c r="E67" s="1794" t="str">
        <f t="shared" si="17"/>
        <v>2（含）-3</v>
      </c>
      <c r="F67" s="1794" t="str">
        <f t="shared" si="17"/>
        <v>3（含）-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v>0</v>
      </c>
      <c r="D68" s="1796">
        <v>1</v>
      </c>
      <c r="E68" s="1796">
        <v>2</v>
      </c>
      <c r="F68" s="1796">
        <v>3</v>
      </c>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3328" t="s">
        <v>3054</v>
      </c>
      <c r="D86" s="3328" t="s">
        <v>3053</v>
      </c>
      <c r="E86" s="468"/>
      <c r="F86" s="468"/>
      <c r="G86" s="468"/>
      <c r="H86" s="468"/>
      <c r="I86" s="468"/>
      <c r="J86" s="468"/>
      <c r="K86" s="468"/>
      <c r="L86" s="468"/>
      <c r="M86" s="1819"/>
      <c r="N86" s="2933"/>
      <c r="O86" s="2933"/>
      <c r="P86" s="1781">
        <v>60</v>
      </c>
      <c r="Q86" s="3750">
        <v>100</v>
      </c>
    </row>
    <row r="87" spans="1:17" s="1613" customFormat="1" ht="15.75" thickBot="1">
      <c r="A87" s="1818"/>
      <c r="B87" s="1790"/>
      <c r="C87" s="1820">
        <v>100</v>
      </c>
      <c r="D87" s="1791">
        <f t="shared" ref="D87:M87" si="19">C87-$K25</f>
        <v>98</v>
      </c>
      <c r="E87" s="1791">
        <f t="shared" si="19"/>
        <v>96</v>
      </c>
      <c r="F87" s="1791">
        <f t="shared" si="19"/>
        <v>94</v>
      </c>
      <c r="G87" s="1791">
        <f t="shared" si="19"/>
        <v>92</v>
      </c>
      <c r="H87" s="1791">
        <f t="shared" si="19"/>
        <v>90</v>
      </c>
      <c r="I87" s="1791">
        <f t="shared" si="19"/>
        <v>88</v>
      </c>
      <c r="J87" s="1791">
        <f t="shared" si="19"/>
        <v>86</v>
      </c>
      <c r="K87" s="1791">
        <f t="shared" si="19"/>
        <v>84</v>
      </c>
      <c r="L87" s="1791">
        <f t="shared" si="19"/>
        <v>82</v>
      </c>
      <c r="M87" s="1791">
        <f t="shared" si="19"/>
        <v>80</v>
      </c>
      <c r="N87" s="2935"/>
      <c r="O87" s="2935">
        <v>1</v>
      </c>
      <c r="P87" s="1781">
        <v>100</v>
      </c>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v>50</v>
      </c>
      <c r="Q88" s="1750">
        <f>Q86*P88/P86</f>
        <v>83.333333333333329</v>
      </c>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3334" t="s">
        <v>3073</v>
      </c>
      <c r="D92" s="3334" t="s">
        <v>3074</v>
      </c>
      <c r="E92" s="3334" t="s">
        <v>3076</v>
      </c>
      <c r="F92" s="3334"/>
      <c r="G92" s="468"/>
      <c r="H92" s="468"/>
      <c r="I92" s="468"/>
      <c r="J92" s="468"/>
      <c r="K92" s="468"/>
      <c r="L92" s="468"/>
      <c r="M92" s="1819"/>
      <c r="N92" s="2934"/>
      <c r="O92" s="2934"/>
      <c r="P92" s="1781"/>
      <c r="Q92" s="1750"/>
    </row>
    <row r="93" spans="1:17" ht="15.75" thickBot="1">
      <c r="A93" s="1782"/>
      <c r="B93" s="1790"/>
      <c r="C93" s="1784">
        <v>110</v>
      </c>
      <c r="D93" s="1784">
        <v>100</v>
      </c>
      <c r="E93" s="1784">
        <v>98</v>
      </c>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3325" t="s">
        <v>3071</v>
      </c>
      <c r="D100" s="3325" t="s">
        <v>3050</v>
      </c>
      <c r="E100" s="3325" t="s">
        <v>3092</v>
      </c>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99</v>
      </c>
      <c r="E101" s="1791">
        <f t="shared" si="21"/>
        <v>98</v>
      </c>
      <c r="F101" s="1791">
        <f t="shared" si="21"/>
        <v>97</v>
      </c>
      <c r="G101" s="1791">
        <f t="shared" si="21"/>
        <v>96</v>
      </c>
      <c r="H101" s="1791">
        <f t="shared" si="21"/>
        <v>95</v>
      </c>
      <c r="I101" s="1791">
        <f t="shared" si="21"/>
        <v>94</v>
      </c>
      <c r="J101" s="1791">
        <f t="shared" si="21"/>
        <v>93</v>
      </c>
      <c r="K101" s="1791">
        <f t="shared" si="21"/>
        <v>92</v>
      </c>
      <c r="L101" s="1791">
        <f t="shared" si="21"/>
        <v>91</v>
      </c>
      <c r="M101" s="1792">
        <f t="shared" si="21"/>
        <v>90</v>
      </c>
      <c r="N101" s="2935"/>
      <c r="O101" s="2935"/>
      <c r="P101" s="1781"/>
      <c r="Q101" s="1750"/>
    </row>
    <row r="102" spans="1:17" ht="15.75" thickTop="1">
      <c r="A102" s="1782"/>
      <c r="B102" s="1787" t="s">
        <v>2085</v>
      </c>
      <c r="C102" s="579" t="str">
        <f>C103&amp;"(含)"&amp;"-"&amp;D103</f>
        <v>0(含)-40</v>
      </c>
      <c r="D102" s="579" t="str">
        <f t="shared" ref="D102:L102" si="22">D103&amp;"(含)"&amp;"-"&amp;E103</f>
        <v>40(含)-80</v>
      </c>
      <c r="E102" s="579" t="str">
        <f t="shared" si="22"/>
        <v>80(含)-120</v>
      </c>
      <c r="F102" s="579" t="str">
        <f t="shared" si="22"/>
        <v>120(含)-200</v>
      </c>
      <c r="G102" s="579" t="str">
        <f t="shared" si="22"/>
        <v>200(含)-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v>0</v>
      </c>
      <c r="D103" s="1830">
        <v>40</v>
      </c>
      <c r="E103" s="1830">
        <v>80</v>
      </c>
      <c r="F103" s="1830">
        <v>120</v>
      </c>
      <c r="G103" s="1830">
        <v>200</v>
      </c>
      <c r="H103" s="1830"/>
      <c r="I103" s="1830"/>
      <c r="J103" s="485"/>
      <c r="K103" s="485"/>
      <c r="L103" s="485"/>
      <c r="M103" s="1831"/>
      <c r="N103" s="2936"/>
      <c r="O103" s="2936"/>
      <c r="P103" s="1801"/>
      <c r="Q103" s="1802"/>
    </row>
    <row r="104" spans="1:17" s="1700" customFormat="1" ht="15.75" thickBot="1">
      <c r="A104" s="1798"/>
      <c r="B104" s="1790"/>
      <c r="C104" s="1803">
        <v>100</v>
      </c>
      <c r="D104" s="1784">
        <v>98</v>
      </c>
      <c r="E104" s="1784">
        <v>96</v>
      </c>
      <c r="F104" s="1784">
        <v>94</v>
      </c>
      <c r="G104" s="1784">
        <v>92</v>
      </c>
      <c r="H104" s="1784"/>
      <c r="I104" s="1784"/>
      <c r="J104" s="1784"/>
      <c r="K104" s="1784"/>
      <c r="L104" s="1784"/>
      <c r="M104" s="1785"/>
      <c r="N104" s="2935"/>
      <c r="O104" s="2935"/>
      <c r="P104" s="1801"/>
      <c r="Q104" s="1802"/>
    </row>
    <row r="105" spans="1:17" ht="15" thickTop="1">
      <c r="A105" s="1832"/>
      <c r="B105" s="1787" t="s">
        <v>2086</v>
      </c>
      <c r="C105" s="3328" t="s">
        <v>3055</v>
      </c>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3328" t="s">
        <v>3094</v>
      </c>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t="s">
        <v>3051</v>
      </c>
      <c r="D112" s="468" t="s">
        <v>3056</v>
      </c>
      <c r="E112" s="468" t="s">
        <v>3057</v>
      </c>
      <c r="F112" s="468" t="s">
        <v>3058</v>
      </c>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3328" t="s">
        <v>3059</v>
      </c>
      <c r="D122" s="3328" t="s">
        <v>3061</v>
      </c>
      <c r="E122" s="332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98</v>
      </c>
      <c r="E123" s="1791">
        <f t="shared" si="29"/>
        <v>96</v>
      </c>
      <c r="F123" s="1791">
        <f t="shared" si="29"/>
        <v>94</v>
      </c>
      <c r="G123" s="1791">
        <f t="shared" si="29"/>
        <v>92</v>
      </c>
      <c r="H123" s="1791">
        <f t="shared" si="29"/>
        <v>90</v>
      </c>
      <c r="I123" s="1791">
        <f t="shared" si="29"/>
        <v>88</v>
      </c>
      <c r="J123" s="1791">
        <f t="shared" si="29"/>
        <v>86</v>
      </c>
      <c r="K123" s="1791">
        <f t="shared" si="29"/>
        <v>84</v>
      </c>
      <c r="L123" s="1791">
        <f t="shared" si="29"/>
        <v>82</v>
      </c>
      <c r="M123" s="1792">
        <f t="shared" si="29"/>
        <v>80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dimension ref="L2:P3"/>
  <sheetViews>
    <sheetView topLeftCell="A96" workbookViewId="0">
      <selection activeCell="A227" sqref="A227"/>
    </sheetView>
  </sheetViews>
  <sheetFormatPr defaultRowHeight="13.5"/>
  <cols>
    <col min="12" max="12" width="17.25" bestFit="1" customWidth="1"/>
  </cols>
  <sheetData>
    <row r="2" spans="12:16">
      <c r="L2" s="1269" t="s">
        <v>3040</v>
      </c>
      <c r="M2" s="1269" t="s">
        <v>3041</v>
      </c>
      <c r="N2" s="1269" t="s">
        <v>3042</v>
      </c>
      <c r="O2">
        <v>190</v>
      </c>
      <c r="P2">
        <v>7</v>
      </c>
    </row>
    <row r="3" spans="12:16">
      <c r="L3" s="1269" t="s">
        <v>3043</v>
      </c>
    </row>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1"/>
  <dimension ref="O71:R226"/>
  <sheetViews>
    <sheetView topLeftCell="A206" workbookViewId="0">
      <selection activeCell="M229" sqref="M229"/>
    </sheetView>
  </sheetViews>
  <sheetFormatPr defaultRowHeight="13.5"/>
  <sheetData>
    <row r="71" spans="15:18">
      <c r="O71" s="1269" t="s">
        <v>3047</v>
      </c>
      <c r="P71">
        <v>1</v>
      </c>
      <c r="Q71">
        <v>190</v>
      </c>
      <c r="R71">
        <v>7</v>
      </c>
    </row>
    <row r="72" spans="15:18">
      <c r="O72" s="3326" t="s">
        <v>3049</v>
      </c>
      <c r="P72" s="3327">
        <v>1</v>
      </c>
      <c r="Q72" s="3327">
        <v>140</v>
      </c>
      <c r="R72" s="3327">
        <v>8.5</v>
      </c>
    </row>
    <row r="73" spans="15:18">
      <c r="O73" s="3326" t="s">
        <v>3048</v>
      </c>
      <c r="P73" s="3327">
        <v>2</v>
      </c>
      <c r="Q73" s="3327">
        <v>190</v>
      </c>
      <c r="R73" s="3327">
        <v>7</v>
      </c>
    </row>
    <row r="74" spans="15:18">
      <c r="O74" s="1269" t="s">
        <v>3040</v>
      </c>
      <c r="P74">
        <v>2</v>
      </c>
      <c r="Q74">
        <v>190</v>
      </c>
      <c r="R74">
        <v>7</v>
      </c>
    </row>
    <row r="75" spans="15:18">
      <c r="O75" s="3326" t="s">
        <v>3045</v>
      </c>
      <c r="P75" s="3327">
        <v>1</v>
      </c>
      <c r="Q75" s="3327">
        <v>300</v>
      </c>
      <c r="R75" s="3327">
        <v>9</v>
      </c>
    </row>
    <row r="224" spans="15:18">
      <c r="O224" s="1269" t="s">
        <v>3045</v>
      </c>
      <c r="P224">
        <v>1</v>
      </c>
      <c r="Q224">
        <v>300</v>
      </c>
      <c r="R224">
        <v>9</v>
      </c>
    </row>
    <row r="225" spans="15:18">
      <c r="O225" s="1269" t="s">
        <v>3046</v>
      </c>
      <c r="P225">
        <v>2</v>
      </c>
      <c r="Q225">
        <v>788</v>
      </c>
      <c r="R225">
        <v>8</v>
      </c>
    </row>
    <row r="226" spans="15:18">
      <c r="O226" s="1269" t="s">
        <v>3047</v>
      </c>
      <c r="P226">
        <v>1</v>
      </c>
      <c r="Q226">
        <v>232</v>
      </c>
      <c r="R226">
        <v>10</v>
      </c>
    </row>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2"/>
  <dimension ref="M2:P11"/>
  <sheetViews>
    <sheetView topLeftCell="A71" workbookViewId="0">
      <selection activeCell="N5" sqref="N5"/>
    </sheetView>
  </sheetViews>
  <sheetFormatPr defaultRowHeight="13.5"/>
  <cols>
    <col min="14" max="14" width="10.5" bestFit="1" customWidth="1"/>
  </cols>
  <sheetData>
    <row r="2" spans="13:16">
      <c r="M2" s="1269" t="s">
        <v>3062</v>
      </c>
      <c r="N2" s="3331" t="s">
        <v>3063</v>
      </c>
      <c r="O2" s="3327">
        <v>100</v>
      </c>
      <c r="P2" s="3327">
        <v>3.3</v>
      </c>
    </row>
    <row r="3" spans="13:16">
      <c r="N3" s="3332" t="s">
        <v>3064</v>
      </c>
      <c r="O3" s="3333">
        <v>145</v>
      </c>
      <c r="P3" s="3333">
        <v>2.2999999999999998</v>
      </c>
    </row>
    <row r="4" spans="13:16">
      <c r="N4" s="3330" t="s">
        <v>3065</v>
      </c>
      <c r="O4">
        <v>76</v>
      </c>
      <c r="P4">
        <v>2.41</v>
      </c>
    </row>
    <row r="5" spans="13:16">
      <c r="N5" s="3331" t="s">
        <v>3066</v>
      </c>
      <c r="O5" s="3327">
        <v>25</v>
      </c>
      <c r="P5" s="3327">
        <v>3</v>
      </c>
    </row>
    <row r="6" spans="13:16">
      <c r="M6" s="1269" t="s">
        <v>3068</v>
      </c>
      <c r="N6" s="3331" t="s">
        <v>3070</v>
      </c>
      <c r="O6" s="3327">
        <v>30</v>
      </c>
      <c r="P6" s="3327">
        <f>ROUND(30000/365/O6,1)</f>
        <v>2.7</v>
      </c>
    </row>
    <row r="7" spans="13:16">
      <c r="N7" s="3329"/>
    </row>
    <row r="8" spans="13:16">
      <c r="N8" s="3329"/>
    </row>
    <row r="9" spans="13:16">
      <c r="N9" s="3329"/>
    </row>
    <row r="10" spans="13:16">
      <c r="N10" s="3329"/>
    </row>
    <row r="11" spans="13:16">
      <c r="N11" s="3329"/>
    </row>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3">
    <tabColor rgb="FF92D050"/>
  </sheetPr>
  <dimension ref="J3:O8"/>
  <sheetViews>
    <sheetView workbookViewId="0">
      <selection activeCell="O13" sqref="O13"/>
    </sheetView>
  </sheetViews>
  <sheetFormatPr defaultRowHeight="13.5"/>
  <sheetData>
    <row r="3" spans="10:15">
      <c r="J3" s="3326" t="s">
        <v>3078</v>
      </c>
      <c r="K3" s="3327">
        <v>30.64</v>
      </c>
      <c r="L3" s="3327">
        <v>916191.33</v>
      </c>
      <c r="M3" s="3327">
        <f>L3/K3</f>
        <v>29901.805809399477</v>
      </c>
      <c r="N3">
        <v>2022.7</v>
      </c>
      <c r="O3" s="1269" t="s">
        <v>3084</v>
      </c>
    </row>
    <row r="4" spans="10:15">
      <c r="J4" s="1269" t="s">
        <v>3079</v>
      </c>
      <c r="K4">
        <v>23.26</v>
      </c>
      <c r="L4">
        <v>890456.67</v>
      </c>
      <c r="M4">
        <f>L4/K4</f>
        <v>38282.74591573517</v>
      </c>
      <c r="N4" s="3649" t="s">
        <v>3083</v>
      </c>
    </row>
    <row r="5" spans="10:15">
      <c r="J5" s="1269" t="s">
        <v>3080</v>
      </c>
      <c r="K5">
        <v>23.26</v>
      </c>
      <c r="L5">
        <v>890456.67</v>
      </c>
      <c r="M5">
        <f>L5/K5</f>
        <v>38282.74591573517</v>
      </c>
      <c r="N5" s="3650"/>
    </row>
    <row r="6" spans="10:15">
      <c r="J6" s="1269" t="s">
        <v>3081</v>
      </c>
      <c r="K6">
        <v>32.86</v>
      </c>
      <c r="L6">
        <v>1257971.33</v>
      </c>
      <c r="M6">
        <f>L6/K6</f>
        <v>38282.755021302495</v>
      </c>
      <c r="N6" s="3650"/>
    </row>
    <row r="7" spans="10:15">
      <c r="J7" s="1269" t="s">
        <v>3082</v>
      </c>
      <c r="K7">
        <v>46.12</v>
      </c>
      <c r="L7">
        <v>1765600.33</v>
      </c>
      <c r="M7">
        <f>L7/K7</f>
        <v>38282.747831743283</v>
      </c>
      <c r="N7" s="3650"/>
    </row>
    <row r="8" spans="10:15">
      <c r="N8" s="3650"/>
    </row>
  </sheetData>
  <mergeCells count="1">
    <mergeCell ref="N4:N8"/>
  </mergeCells>
  <phoneticPr fontId="146"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45.57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03" t="s">
        <v>2007</v>
      </c>
      <c r="D4" s="3604"/>
      <c r="E4" s="3605" t="s">
        <v>2008</v>
      </c>
      <c r="F4" s="3606"/>
      <c r="G4" s="3603" t="s">
        <v>2009</v>
      </c>
      <c r="H4" s="3604"/>
      <c r="I4" s="3603" t="s">
        <v>2010</v>
      </c>
      <c r="J4" s="3604"/>
      <c r="K4" s="1894" t="s">
        <v>2011</v>
      </c>
      <c r="L4" s="2915"/>
      <c r="M4" s="2916"/>
      <c r="N4" s="2916"/>
      <c r="O4" s="2916"/>
      <c r="P4" s="3607" t="s">
        <v>2012</v>
      </c>
      <c r="Q4" s="3608"/>
      <c r="R4" s="3613" t="s">
        <v>2008</v>
      </c>
      <c r="S4" s="3614"/>
      <c r="T4" s="3613" t="s">
        <v>2009</v>
      </c>
      <c r="U4" s="3614"/>
      <c r="V4" s="3619" t="s">
        <v>2010</v>
      </c>
      <c r="W4" s="3619"/>
      <c r="X4" s="2003"/>
      <c r="Y4" s="3613" t="s">
        <v>2012</v>
      </c>
      <c r="Z4" s="3614"/>
      <c r="AA4" s="3600" t="s">
        <v>2008</v>
      </c>
      <c r="AB4" s="3600" t="s">
        <v>2009</v>
      </c>
      <c r="AC4" s="3600" t="s">
        <v>2010</v>
      </c>
    </row>
    <row r="5" spans="1:29" ht="15">
      <c r="A5" s="1596"/>
      <c r="B5" s="1597"/>
      <c r="C5" s="3622" t="s">
        <v>2013</v>
      </c>
      <c r="D5" s="3623"/>
      <c r="E5" s="3620" t="s">
        <v>2014</v>
      </c>
      <c r="F5" s="3621"/>
      <c r="G5" s="3622" t="s">
        <v>2015</v>
      </c>
      <c r="H5" s="3623"/>
      <c r="I5" s="3622" t="s">
        <v>2016</v>
      </c>
      <c r="J5" s="3623"/>
      <c r="K5" s="1894"/>
      <c r="L5" s="2915"/>
      <c r="M5" s="2916"/>
      <c r="N5" s="2916"/>
      <c r="O5" s="2916"/>
      <c r="P5" s="3609"/>
      <c r="Q5" s="3610"/>
      <c r="R5" s="3615"/>
      <c r="S5" s="3616"/>
      <c r="T5" s="3615"/>
      <c r="U5" s="3616"/>
      <c r="V5" s="3619"/>
      <c r="W5" s="3619"/>
      <c r="X5" s="2003"/>
      <c r="Y5" s="3615"/>
      <c r="Z5" s="3616"/>
      <c r="AA5" s="3601"/>
      <c r="AB5" s="3601"/>
      <c r="AC5" s="3601"/>
    </row>
    <row r="6" spans="1:29" ht="15.75" thickBot="1">
      <c r="A6" s="1599"/>
      <c r="B6" s="1600"/>
      <c r="C6" s="3624" t="s">
        <v>2017</v>
      </c>
      <c r="D6" s="3625"/>
      <c r="E6" s="3626" t="s">
        <v>2017</v>
      </c>
      <c r="F6" s="3627"/>
      <c r="G6" s="3624" t="s">
        <v>2017</v>
      </c>
      <c r="H6" s="3625"/>
      <c r="I6" s="3624" t="s">
        <v>2017</v>
      </c>
      <c r="J6" s="3625"/>
      <c r="K6" s="1894" t="s">
        <v>2018</v>
      </c>
      <c r="L6" s="2915"/>
      <c r="M6" s="2916"/>
      <c r="N6" s="2916"/>
      <c r="O6" s="2916"/>
      <c r="P6" s="3611"/>
      <c r="Q6" s="3612"/>
      <c r="R6" s="3615"/>
      <c r="S6" s="3616"/>
      <c r="T6" s="3617"/>
      <c r="U6" s="3618"/>
      <c r="V6" s="3619"/>
      <c r="W6" s="3619"/>
      <c r="X6" s="2003"/>
      <c r="Y6" s="3617"/>
      <c r="Z6" s="3618"/>
      <c r="AA6" s="3602"/>
      <c r="AB6" s="3602"/>
      <c r="AC6" s="3602"/>
    </row>
    <row r="7" spans="1:29" s="1613" customFormat="1" ht="15.75" thickBot="1">
      <c r="A7" s="1601" t="s">
        <v>2019</v>
      </c>
      <c r="B7" s="1602"/>
      <c r="C7" s="1603">
        <f>'数据-取费表'!B2</f>
        <v>44810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35" t="s">
        <v>2020</v>
      </c>
      <c r="Q7" s="3637"/>
      <c r="R7" s="1609" t="s">
        <v>25</v>
      </c>
      <c r="S7" s="1610">
        <f t="shared" ref="S7:S15" si="0">F7</f>
        <v>0</v>
      </c>
      <c r="T7" s="1609" t="s">
        <v>25</v>
      </c>
      <c r="U7" s="1610">
        <f t="shared" ref="U7:U15" si="1">H7</f>
        <v>0</v>
      </c>
      <c r="V7" s="1609" t="s">
        <v>25</v>
      </c>
      <c r="W7" s="1610">
        <f t="shared" ref="W7:W15" si="2">J7</f>
        <v>0</v>
      </c>
      <c r="X7" s="1611"/>
      <c r="Y7" s="3635" t="s">
        <v>2020</v>
      </c>
      <c r="Z7" s="3636"/>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35" t="s">
        <v>2023</v>
      </c>
      <c r="Q8" s="3636"/>
      <c r="R8" s="1609" t="s">
        <v>25</v>
      </c>
      <c r="S8" s="1610">
        <f t="shared" si="0"/>
        <v>0</v>
      </c>
      <c r="T8" s="1609" t="s">
        <v>25</v>
      </c>
      <c r="U8" s="1610">
        <f t="shared" si="1"/>
        <v>0</v>
      </c>
      <c r="V8" s="1609" t="s">
        <v>25</v>
      </c>
      <c r="W8" s="1610">
        <f t="shared" si="2"/>
        <v>0</v>
      </c>
      <c r="X8" s="1611"/>
      <c r="Y8" s="3635" t="s">
        <v>2023</v>
      </c>
      <c r="Z8" s="3636"/>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39" t="s">
        <v>2026</v>
      </c>
      <c r="Q9" s="2833" t="str">
        <f t="shared" ref="Q9:Q15" si="6">B9</f>
        <v>用途</v>
      </c>
      <c r="R9" s="1609" t="s">
        <v>25</v>
      </c>
      <c r="S9" s="1610">
        <f t="shared" si="0"/>
        <v>100</v>
      </c>
      <c r="T9" s="1609" t="s">
        <v>25</v>
      </c>
      <c r="U9" s="1610">
        <f t="shared" si="1"/>
        <v>100</v>
      </c>
      <c r="V9" s="1609" t="s">
        <v>25</v>
      </c>
      <c r="W9" s="1610">
        <f t="shared" si="2"/>
        <v>100</v>
      </c>
      <c r="X9" s="1611"/>
      <c r="Y9" s="3503"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39"/>
      <c r="Q10" s="2833" t="str">
        <f t="shared" si="6"/>
        <v>土地使用年限（年）</v>
      </c>
      <c r="R10" s="1609" t="s">
        <v>25</v>
      </c>
      <c r="S10" s="1610">
        <f t="shared" si="0"/>
        <v>100</v>
      </c>
      <c r="T10" s="1609" t="s">
        <v>25</v>
      </c>
      <c r="U10" s="1610">
        <f t="shared" si="1"/>
        <v>100</v>
      </c>
      <c r="V10" s="1609" t="s">
        <v>25</v>
      </c>
      <c r="W10" s="1610">
        <f t="shared" si="2"/>
        <v>100</v>
      </c>
      <c r="X10" s="1611"/>
      <c r="Y10" s="3503"/>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39"/>
      <c r="Q11" s="2833" t="str">
        <f t="shared" si="6"/>
        <v>容积率</v>
      </c>
      <c r="R11" s="1609" t="s">
        <v>25</v>
      </c>
      <c r="S11" s="1610" t="e">
        <f t="shared" si="0"/>
        <v>#N/A</v>
      </c>
      <c r="T11" s="1609" t="s">
        <v>25</v>
      </c>
      <c r="U11" s="1610" t="e">
        <f t="shared" si="1"/>
        <v>#N/A</v>
      </c>
      <c r="V11" s="1609" t="s">
        <v>25</v>
      </c>
      <c r="W11" s="1610" t="e">
        <f t="shared" si="2"/>
        <v>#N/A</v>
      </c>
      <c r="X11" s="1611"/>
      <c r="Y11" s="3503"/>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39"/>
      <c r="Q12" s="2833">
        <f t="shared" si="6"/>
        <v>111</v>
      </c>
      <c r="R12" s="1609" t="s">
        <v>25</v>
      </c>
      <c r="S12" s="1610">
        <f t="shared" si="0"/>
        <v>100</v>
      </c>
      <c r="T12" s="1609" t="s">
        <v>25</v>
      </c>
      <c r="U12" s="1610">
        <f t="shared" si="1"/>
        <v>100</v>
      </c>
      <c r="V12" s="1609" t="s">
        <v>25</v>
      </c>
      <c r="W12" s="1610">
        <f t="shared" si="2"/>
        <v>100</v>
      </c>
      <c r="X12" s="1611"/>
      <c r="Y12" s="3503"/>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39"/>
      <c r="Q13" s="2833">
        <f t="shared" si="6"/>
        <v>111</v>
      </c>
      <c r="R13" s="1609" t="s">
        <v>25</v>
      </c>
      <c r="S13" s="1610">
        <f t="shared" si="0"/>
        <v>100</v>
      </c>
      <c r="T13" s="1609" t="s">
        <v>25</v>
      </c>
      <c r="U13" s="1610">
        <f t="shared" si="1"/>
        <v>100</v>
      </c>
      <c r="V13" s="1609" t="s">
        <v>25</v>
      </c>
      <c r="W13" s="1610">
        <f t="shared" si="2"/>
        <v>100</v>
      </c>
      <c r="X13" s="1611"/>
      <c r="Y13" s="3503"/>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39"/>
      <c r="Q14" s="2833">
        <f t="shared" si="6"/>
        <v>111</v>
      </c>
      <c r="R14" s="1609" t="s">
        <v>25</v>
      </c>
      <c r="S14" s="1610">
        <f t="shared" si="0"/>
        <v>100</v>
      </c>
      <c r="T14" s="1609" t="s">
        <v>25</v>
      </c>
      <c r="U14" s="1610">
        <f t="shared" si="1"/>
        <v>100</v>
      </c>
      <c r="V14" s="1609" t="s">
        <v>25</v>
      </c>
      <c r="W14" s="1610">
        <f t="shared" si="2"/>
        <v>100</v>
      </c>
      <c r="X14" s="1611"/>
      <c r="Y14" s="3503"/>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28" t="s">
        <v>2031</v>
      </c>
      <c r="Q15" s="2834" t="str">
        <f t="shared" si="6"/>
        <v>办公集聚程度</v>
      </c>
      <c r="R15" s="1654" t="s">
        <v>25</v>
      </c>
      <c r="S15" s="1655">
        <f t="shared" si="0"/>
        <v>100</v>
      </c>
      <c r="T15" s="1654" t="s">
        <v>25</v>
      </c>
      <c r="U15" s="1655">
        <f t="shared" si="1"/>
        <v>100</v>
      </c>
      <c r="V15" s="1654" t="s">
        <v>25</v>
      </c>
      <c r="W15" s="1655">
        <f t="shared" si="2"/>
        <v>100</v>
      </c>
      <c r="X15" s="2003"/>
      <c r="Y15" s="3628"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29"/>
      <c r="Q16" s="2834"/>
      <c r="R16" s="1654"/>
      <c r="S16" s="1655"/>
      <c r="T16" s="1654"/>
      <c r="U16" s="1655"/>
      <c r="V16" s="1654"/>
      <c r="W16" s="1655"/>
      <c r="X16" s="2003"/>
      <c r="Y16" s="3629"/>
      <c r="Z16" s="2007"/>
      <c r="AA16" s="1998">
        <v>1</v>
      </c>
      <c r="AB16" s="1998">
        <v>1</v>
      </c>
      <c r="AC16" s="1998">
        <v>1</v>
      </c>
    </row>
    <row r="17" spans="1:29" ht="171">
      <c r="A17" s="1631"/>
      <c r="B17" s="2413" t="s">
        <v>1466</v>
      </c>
      <c r="C17" s="1909" t="str">
        <f>估价对象房地状况!C6</f>
        <v>估价对象距离地铁2号线朝阳门站约900米、距离地铁6号线东大桥站约900米，周边有75路、101路、109路、110路、139路、615路等公交通过并设站，综合评价交通便捷度较好。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29"/>
      <c r="Q17" s="2834" t="str">
        <f>B17</f>
        <v>交通便捷度</v>
      </c>
      <c r="R17" s="1654" t="s">
        <v>25</v>
      </c>
      <c r="S17" s="1655">
        <f>F17</f>
        <v>100</v>
      </c>
      <c r="T17" s="1654" t="s">
        <v>25</v>
      </c>
      <c r="U17" s="1655">
        <f>H17</f>
        <v>100</v>
      </c>
      <c r="V17" s="1654" t="s">
        <v>25</v>
      </c>
      <c r="W17" s="1655">
        <f>J17</f>
        <v>100</v>
      </c>
      <c r="X17" s="2003"/>
      <c r="Y17" s="3629"/>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29"/>
      <c r="Q18" s="2834"/>
      <c r="R18" s="1654"/>
      <c r="S18" s="1655"/>
      <c r="T18" s="1654"/>
      <c r="U18" s="1655"/>
      <c r="V18" s="1654"/>
      <c r="W18" s="1655"/>
      <c r="X18" s="2003"/>
      <c r="Y18" s="3629"/>
      <c r="Z18" s="2007"/>
      <c r="AA18" s="1998">
        <v>1</v>
      </c>
      <c r="AB18" s="1998">
        <v>1</v>
      </c>
      <c r="AC18" s="1998">
        <v>1</v>
      </c>
    </row>
    <row r="19" spans="1:29" ht="285">
      <c r="A19" s="1631"/>
      <c r="B19" s="2413" t="s">
        <v>2146</v>
      </c>
      <c r="C19" s="1909" t="str">
        <f>估价对象房地状况!C7</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29"/>
      <c r="Q19" s="2834" t="str">
        <f>B19</f>
        <v>公共配套设施</v>
      </c>
      <c r="R19" s="1654" t="s">
        <v>25</v>
      </c>
      <c r="S19" s="1655">
        <f>F19</f>
        <v>100</v>
      </c>
      <c r="T19" s="1654" t="s">
        <v>25</v>
      </c>
      <c r="U19" s="1655">
        <f>H19</f>
        <v>100</v>
      </c>
      <c r="V19" s="1654" t="s">
        <v>25</v>
      </c>
      <c r="W19" s="1655">
        <f>J19</f>
        <v>100</v>
      </c>
      <c r="X19" s="2003"/>
      <c r="Y19" s="3629"/>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29"/>
      <c r="Q20" s="2834"/>
      <c r="R20" s="1654"/>
      <c r="S20" s="1655"/>
      <c r="T20" s="1654"/>
      <c r="U20" s="1655"/>
      <c r="V20" s="1654"/>
      <c r="W20" s="1655"/>
      <c r="X20" s="2003"/>
      <c r="Y20" s="3629"/>
      <c r="Z20" s="2007"/>
      <c r="AA20" s="1998">
        <v>1</v>
      </c>
      <c r="AB20" s="1998">
        <v>1</v>
      </c>
      <c r="AC20" s="1998">
        <v>1</v>
      </c>
    </row>
    <row r="21" spans="1:29" ht="42.75">
      <c r="A21" s="1631"/>
      <c r="B21" s="2415" t="s">
        <v>2147</v>
      </c>
      <c r="C21" s="1909" t="str">
        <f>估价对象房地状况!C8</f>
        <v>估价对象所在区域基础设施水平-七通</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29"/>
      <c r="Q21" s="2834" t="str">
        <f>B21</f>
        <v>基础设施水平</v>
      </c>
      <c r="R21" s="1654" t="s">
        <v>25</v>
      </c>
      <c r="S21" s="1655">
        <f>F21</f>
        <v>100</v>
      </c>
      <c r="T21" s="1654" t="s">
        <v>25</v>
      </c>
      <c r="U21" s="1655">
        <f>H21</f>
        <v>100</v>
      </c>
      <c r="V21" s="1654" t="s">
        <v>25</v>
      </c>
      <c r="W21" s="1655">
        <f>J21</f>
        <v>100</v>
      </c>
      <c r="X21" s="2003"/>
      <c r="Y21" s="3629"/>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29"/>
      <c r="Q22" s="2834"/>
      <c r="R22" s="1654"/>
      <c r="S22" s="1655"/>
      <c r="T22" s="1654"/>
      <c r="U22" s="1655"/>
      <c r="V22" s="1654"/>
      <c r="W22" s="1655"/>
      <c r="X22" s="2003"/>
      <c r="Y22" s="3629"/>
      <c r="Z22" s="2007"/>
      <c r="AA22" s="1998">
        <v>1</v>
      </c>
      <c r="AB22" s="1998">
        <v>1</v>
      </c>
      <c r="AC22" s="1998">
        <v>1</v>
      </c>
    </row>
    <row r="23" spans="1:29" ht="99.75">
      <c r="A23" s="1631"/>
      <c r="B23" s="2413" t="s">
        <v>2148</v>
      </c>
      <c r="C23" s="1909" t="str">
        <f>估价对象房地状况!C9</f>
        <v>周边有日坛公园、北京工人体育场、北京工体富国海底世界等自然人文环境，综合评价环境状况较好</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29"/>
      <c r="Q23" s="2834" t="str">
        <f>B23</f>
        <v>环境质量</v>
      </c>
      <c r="R23" s="1654" t="s">
        <v>25</v>
      </c>
      <c r="S23" s="1655">
        <f>F23</f>
        <v>100</v>
      </c>
      <c r="T23" s="1654" t="s">
        <v>25</v>
      </c>
      <c r="U23" s="1655">
        <f>H23</f>
        <v>100</v>
      </c>
      <c r="V23" s="1654" t="s">
        <v>25</v>
      </c>
      <c r="W23" s="1655">
        <f>J23</f>
        <v>100</v>
      </c>
      <c r="X23" s="2003"/>
      <c r="Y23" s="3629"/>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29"/>
      <c r="Q24" s="2834"/>
      <c r="R24" s="1654"/>
      <c r="S24" s="1655"/>
      <c r="T24" s="1654"/>
      <c r="U24" s="1655"/>
      <c r="V24" s="1654"/>
      <c r="W24" s="1655"/>
      <c r="X24" s="2003"/>
      <c r="Y24" s="3629"/>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29"/>
      <c r="Q25" s="2834" t="str">
        <f>B25</f>
        <v>毗邻道路的类型与等级</v>
      </c>
      <c r="R25" s="1654" t="s">
        <v>25</v>
      </c>
      <c r="S25" s="1655">
        <f>F25</f>
        <v>100</v>
      </c>
      <c r="T25" s="1654" t="s">
        <v>25</v>
      </c>
      <c r="U25" s="1655">
        <f>H25</f>
        <v>100</v>
      </c>
      <c r="V25" s="1654" t="s">
        <v>25</v>
      </c>
      <c r="W25" s="1655">
        <f>J25</f>
        <v>100</v>
      </c>
      <c r="X25" s="2003"/>
      <c r="Y25" s="3629"/>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29"/>
      <c r="Q26" s="2834"/>
      <c r="R26" s="1654"/>
      <c r="S26" s="1655"/>
      <c r="T26" s="1654"/>
      <c r="U26" s="1655"/>
      <c r="V26" s="1654"/>
      <c r="W26" s="1655"/>
      <c r="X26" s="2003"/>
      <c r="Y26" s="3629"/>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29"/>
      <c r="Q27" s="2834" t="str">
        <f t="shared" ref="Q27:Q47" si="11">B27</f>
        <v>楼层</v>
      </c>
      <c r="R27" s="1654" t="s">
        <v>25</v>
      </c>
      <c r="S27" s="1655">
        <f>F27</f>
        <v>100</v>
      </c>
      <c r="T27" s="1654" t="s">
        <v>25</v>
      </c>
      <c r="U27" s="1655">
        <f>H27</f>
        <v>100</v>
      </c>
      <c r="V27" s="1654" t="s">
        <v>25</v>
      </c>
      <c r="W27" s="1655">
        <f>J27</f>
        <v>100</v>
      </c>
      <c r="X27" s="2003"/>
      <c r="Y27" s="3629"/>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29"/>
      <c r="Q28" s="2833" t="str">
        <f t="shared" si="11"/>
        <v>朝向</v>
      </c>
      <c r="R28" s="1609" t="s">
        <v>25</v>
      </c>
      <c r="S28" s="1610">
        <f>F28</f>
        <v>100</v>
      </c>
      <c r="T28" s="1609" t="s">
        <v>25</v>
      </c>
      <c r="U28" s="1610">
        <f>H28</f>
        <v>100</v>
      </c>
      <c r="V28" s="1609" t="s">
        <v>25</v>
      </c>
      <c r="W28" s="1610">
        <f>J28</f>
        <v>100</v>
      </c>
      <c r="X28" s="1611"/>
      <c r="Y28" s="3629"/>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29"/>
      <c r="Q29" s="2834">
        <f t="shared" si="11"/>
        <v>111</v>
      </c>
      <c r="R29" s="1654" t="s">
        <v>25</v>
      </c>
      <c r="S29" s="1655">
        <f t="shared" ref="S29:S47" si="12">F29</f>
        <v>100</v>
      </c>
      <c r="T29" s="1654" t="s">
        <v>25</v>
      </c>
      <c r="U29" s="1655">
        <f t="shared" ref="U29:U47" si="13">H29</f>
        <v>100</v>
      </c>
      <c r="V29" s="1654" t="s">
        <v>25</v>
      </c>
      <c r="W29" s="1655">
        <f t="shared" ref="W29:W47" si="14">J29</f>
        <v>100</v>
      </c>
      <c r="X29" s="2003"/>
      <c r="Y29" s="3629"/>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29"/>
      <c r="Q30" s="2834">
        <f t="shared" si="11"/>
        <v>111</v>
      </c>
      <c r="R30" s="1654" t="s">
        <v>25</v>
      </c>
      <c r="S30" s="1655">
        <f t="shared" si="12"/>
        <v>100</v>
      </c>
      <c r="T30" s="1654" t="s">
        <v>25</v>
      </c>
      <c r="U30" s="1655">
        <f t="shared" si="13"/>
        <v>100</v>
      </c>
      <c r="V30" s="1654" t="s">
        <v>25</v>
      </c>
      <c r="W30" s="1655">
        <f t="shared" si="14"/>
        <v>100</v>
      </c>
      <c r="X30" s="2003"/>
      <c r="Y30" s="3629"/>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29"/>
      <c r="Q31" s="2834">
        <f t="shared" si="11"/>
        <v>111</v>
      </c>
      <c r="R31" s="1654" t="s">
        <v>25</v>
      </c>
      <c r="S31" s="1655">
        <f t="shared" si="12"/>
        <v>100</v>
      </c>
      <c r="T31" s="1654" t="s">
        <v>25</v>
      </c>
      <c r="U31" s="1655">
        <f t="shared" si="13"/>
        <v>100</v>
      </c>
      <c r="V31" s="1654" t="s">
        <v>25</v>
      </c>
      <c r="W31" s="1655">
        <f t="shared" si="14"/>
        <v>100</v>
      </c>
      <c r="X31" s="2003"/>
      <c r="Y31" s="3629"/>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29"/>
      <c r="Q32" s="2834">
        <f t="shared" si="11"/>
        <v>111</v>
      </c>
      <c r="R32" s="1654" t="s">
        <v>25</v>
      </c>
      <c r="S32" s="1655">
        <f t="shared" si="12"/>
        <v>100</v>
      </c>
      <c r="T32" s="1654" t="s">
        <v>25</v>
      </c>
      <c r="U32" s="1655">
        <f t="shared" si="13"/>
        <v>100</v>
      </c>
      <c r="V32" s="1654" t="s">
        <v>25</v>
      </c>
      <c r="W32" s="1655">
        <f t="shared" si="14"/>
        <v>100</v>
      </c>
      <c r="X32" s="2003"/>
      <c r="Y32" s="3629"/>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51" t="s">
        <v>2037</v>
      </c>
      <c r="Q33" s="2834" t="str">
        <f t="shared" si="11"/>
        <v>建筑类型</v>
      </c>
      <c r="R33" s="1654" t="s">
        <v>25</v>
      </c>
      <c r="S33" s="1655">
        <f t="shared" si="12"/>
        <v>100</v>
      </c>
      <c r="T33" s="1654" t="s">
        <v>25</v>
      </c>
      <c r="U33" s="1655">
        <f t="shared" si="13"/>
        <v>100</v>
      </c>
      <c r="V33" s="1654" t="s">
        <v>25</v>
      </c>
      <c r="W33" s="1655">
        <f t="shared" si="14"/>
        <v>100</v>
      </c>
      <c r="X33" s="2003"/>
      <c r="Y33" s="3633"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33"/>
      <c r="Q34" s="1695" t="str">
        <f t="shared" si="11"/>
        <v>项目建筑规模</v>
      </c>
      <c r="R34" s="1696" t="s">
        <v>25</v>
      </c>
      <c r="S34" s="1697" t="e">
        <f t="shared" si="12"/>
        <v>#N/A</v>
      </c>
      <c r="T34" s="1696" t="s">
        <v>25</v>
      </c>
      <c r="U34" s="1697" t="e">
        <f t="shared" si="13"/>
        <v>#N/A</v>
      </c>
      <c r="V34" s="1696" t="s">
        <v>25</v>
      </c>
      <c r="W34" s="1697" t="e">
        <f t="shared" si="14"/>
        <v>#N/A</v>
      </c>
      <c r="X34" s="1698"/>
      <c r="Y34" s="3633"/>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33"/>
      <c r="Q35" s="2834" t="str">
        <f t="shared" si="11"/>
        <v>建筑结构</v>
      </c>
      <c r="R35" s="1654" t="s">
        <v>25</v>
      </c>
      <c r="S35" s="1655">
        <f t="shared" si="12"/>
        <v>100</v>
      </c>
      <c r="T35" s="1654" t="s">
        <v>25</v>
      </c>
      <c r="U35" s="1655">
        <f t="shared" si="13"/>
        <v>100</v>
      </c>
      <c r="V35" s="1654" t="s">
        <v>25</v>
      </c>
      <c r="W35" s="1655">
        <f t="shared" si="14"/>
        <v>100</v>
      </c>
      <c r="X35" s="2003"/>
      <c r="Y35" s="3633"/>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33"/>
      <c r="Q36" s="2834" t="str">
        <f t="shared" si="11"/>
        <v>公共部分装修</v>
      </c>
      <c r="R36" s="1654" t="s">
        <v>25</v>
      </c>
      <c r="S36" s="1655">
        <f t="shared" si="12"/>
        <v>100</v>
      </c>
      <c r="T36" s="1654" t="s">
        <v>25</v>
      </c>
      <c r="U36" s="1655">
        <f t="shared" si="13"/>
        <v>100</v>
      </c>
      <c r="V36" s="1654" t="s">
        <v>25</v>
      </c>
      <c r="W36" s="1655">
        <f t="shared" si="14"/>
        <v>100</v>
      </c>
      <c r="X36" s="2003"/>
      <c r="Y36" s="3633"/>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33"/>
      <c r="Q37" s="2834" t="str">
        <f t="shared" si="11"/>
        <v>成新度</v>
      </c>
      <c r="R37" s="1654" t="s">
        <v>25</v>
      </c>
      <c r="S37" s="1655" t="e">
        <f t="shared" si="12"/>
        <v>#N/A</v>
      </c>
      <c r="T37" s="1654" t="s">
        <v>25</v>
      </c>
      <c r="U37" s="1655" t="e">
        <f t="shared" si="13"/>
        <v>#N/A</v>
      </c>
      <c r="V37" s="1654" t="s">
        <v>25</v>
      </c>
      <c r="W37" s="1655" t="e">
        <f t="shared" si="14"/>
        <v>#N/A</v>
      </c>
      <c r="X37" s="2003"/>
      <c r="Y37" s="3633"/>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33"/>
      <c r="Q38" s="2833" t="str">
        <f t="shared" si="11"/>
        <v>写字楼等级</v>
      </c>
      <c r="R38" s="1609" t="s">
        <v>25</v>
      </c>
      <c r="S38" s="1610">
        <f t="shared" si="12"/>
        <v>100</v>
      </c>
      <c r="T38" s="1609" t="s">
        <v>25</v>
      </c>
      <c r="U38" s="1610">
        <f t="shared" si="13"/>
        <v>100</v>
      </c>
      <c r="V38" s="1609" t="s">
        <v>25</v>
      </c>
      <c r="W38" s="1610">
        <f t="shared" si="14"/>
        <v>100</v>
      </c>
      <c r="X38" s="1611"/>
      <c r="Y38" s="3633"/>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33" t="s">
        <v>2037</v>
      </c>
      <c r="Q39" s="2834" t="str">
        <f t="shared" si="11"/>
        <v>物业管理</v>
      </c>
      <c r="R39" s="1654" t="s">
        <v>25</v>
      </c>
      <c r="S39" s="1655">
        <f t="shared" si="12"/>
        <v>100</v>
      </c>
      <c r="T39" s="1654" t="s">
        <v>25</v>
      </c>
      <c r="U39" s="1655">
        <f t="shared" si="13"/>
        <v>100</v>
      </c>
      <c r="V39" s="1654" t="s">
        <v>25</v>
      </c>
      <c r="W39" s="1655">
        <f t="shared" si="14"/>
        <v>100</v>
      </c>
      <c r="X39" s="2003"/>
      <c r="Y39" s="3633"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33"/>
      <c r="Q40" s="2834" t="str">
        <f t="shared" si="11"/>
        <v>市政基础设施</v>
      </c>
      <c r="R40" s="1654" t="s">
        <v>25</v>
      </c>
      <c r="S40" s="1655">
        <f t="shared" si="12"/>
        <v>100</v>
      </c>
      <c r="T40" s="1654" t="s">
        <v>25</v>
      </c>
      <c r="U40" s="1655">
        <f t="shared" si="13"/>
        <v>100</v>
      </c>
      <c r="V40" s="1654" t="s">
        <v>25</v>
      </c>
      <c r="W40" s="1655">
        <f t="shared" si="14"/>
        <v>100</v>
      </c>
      <c r="X40" s="2003"/>
      <c r="Y40" s="3633"/>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33"/>
      <c r="Q41" s="2834" t="str">
        <f t="shared" si="11"/>
        <v>层高</v>
      </c>
      <c r="R41" s="1654" t="s">
        <v>25</v>
      </c>
      <c r="S41" s="1655">
        <f t="shared" si="12"/>
        <v>100</v>
      </c>
      <c r="T41" s="1654" t="s">
        <v>25</v>
      </c>
      <c r="U41" s="1655">
        <f t="shared" si="13"/>
        <v>100</v>
      </c>
      <c r="V41" s="1654" t="s">
        <v>25</v>
      </c>
      <c r="W41" s="1655">
        <f t="shared" si="14"/>
        <v>100</v>
      </c>
      <c r="X41" s="2003"/>
      <c r="Y41" s="3633"/>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33"/>
      <c r="Q42" s="1695" t="str">
        <f t="shared" si="11"/>
        <v>单套建筑面积</v>
      </c>
      <c r="R42" s="1696" t="s">
        <v>25</v>
      </c>
      <c r="S42" s="1697">
        <f t="shared" si="12"/>
        <v>100</v>
      </c>
      <c r="T42" s="1696" t="s">
        <v>25</v>
      </c>
      <c r="U42" s="1697">
        <f t="shared" si="13"/>
        <v>100</v>
      </c>
      <c r="V42" s="1696" t="s">
        <v>25</v>
      </c>
      <c r="W42" s="1697">
        <f t="shared" si="14"/>
        <v>100</v>
      </c>
      <c r="X42" s="1698"/>
      <c r="Y42" s="3633"/>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33"/>
      <c r="Q43" s="2834" t="str">
        <f t="shared" si="11"/>
        <v>内部装修</v>
      </c>
      <c r="R43" s="1654" t="s">
        <v>25</v>
      </c>
      <c r="S43" s="1655">
        <f t="shared" si="12"/>
        <v>100</v>
      </c>
      <c r="T43" s="1654" t="s">
        <v>25</v>
      </c>
      <c r="U43" s="1655">
        <f t="shared" si="13"/>
        <v>100</v>
      </c>
      <c r="V43" s="1654" t="s">
        <v>25</v>
      </c>
      <c r="W43" s="1655">
        <f t="shared" si="14"/>
        <v>100</v>
      </c>
      <c r="X43" s="2003"/>
      <c r="Y43" s="3633"/>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33"/>
      <c r="Q44" s="2834" t="str">
        <f t="shared" si="11"/>
        <v>内部装修维护情况</v>
      </c>
      <c r="R44" s="1654" t="s">
        <v>25</v>
      </c>
      <c r="S44" s="1655">
        <f t="shared" si="12"/>
        <v>100</v>
      </c>
      <c r="T44" s="1654" t="s">
        <v>25</v>
      </c>
      <c r="U44" s="1655">
        <f t="shared" si="13"/>
        <v>100</v>
      </c>
      <c r="V44" s="1654" t="s">
        <v>25</v>
      </c>
      <c r="W44" s="1655">
        <f t="shared" si="14"/>
        <v>100</v>
      </c>
      <c r="X44" s="2003"/>
      <c r="Y44" s="3633"/>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33"/>
      <c r="Q45" s="2833">
        <f t="shared" si="11"/>
        <v>111</v>
      </c>
      <c r="R45" s="1609" t="s">
        <v>25</v>
      </c>
      <c r="S45" s="1610">
        <f t="shared" si="12"/>
        <v>100</v>
      </c>
      <c r="T45" s="1609" t="s">
        <v>25</v>
      </c>
      <c r="U45" s="1610">
        <f t="shared" si="13"/>
        <v>100</v>
      </c>
      <c r="V45" s="1609" t="s">
        <v>25</v>
      </c>
      <c r="W45" s="1610">
        <f t="shared" si="14"/>
        <v>100</v>
      </c>
      <c r="X45" s="1611"/>
      <c r="Y45" s="3633"/>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33"/>
      <c r="Q46" s="2834">
        <f t="shared" si="11"/>
        <v>111</v>
      </c>
      <c r="R46" s="1654" t="s">
        <v>25</v>
      </c>
      <c r="S46" s="1655">
        <f t="shared" si="12"/>
        <v>100</v>
      </c>
      <c r="T46" s="1654" t="s">
        <v>25</v>
      </c>
      <c r="U46" s="1655">
        <f t="shared" si="13"/>
        <v>100</v>
      </c>
      <c r="V46" s="1654" t="s">
        <v>25</v>
      </c>
      <c r="W46" s="1655">
        <f t="shared" si="14"/>
        <v>100</v>
      </c>
      <c r="X46" s="2003"/>
      <c r="Y46" s="3633"/>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34"/>
      <c r="Q47" s="2834">
        <f t="shared" si="11"/>
        <v>111</v>
      </c>
      <c r="R47" s="1654" t="s">
        <v>25</v>
      </c>
      <c r="S47" s="1655">
        <f t="shared" si="12"/>
        <v>100</v>
      </c>
      <c r="T47" s="1654" t="s">
        <v>25</v>
      </c>
      <c r="U47" s="1655">
        <f t="shared" si="13"/>
        <v>100</v>
      </c>
      <c r="V47" s="1654" t="s">
        <v>25</v>
      </c>
      <c r="W47" s="1655">
        <f t="shared" si="14"/>
        <v>100</v>
      </c>
      <c r="X47" s="2003"/>
      <c r="Y47" s="3634"/>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39" t="str">
        <f>A48</f>
        <v>成交单价（元/平方米）</v>
      </c>
      <c r="Q48" s="3639"/>
      <c r="R48" s="3640">
        <f>E48</f>
        <v>0</v>
      </c>
      <c r="S48" s="3640"/>
      <c r="T48" s="3640">
        <f>G48</f>
        <v>0</v>
      </c>
      <c r="U48" s="3640"/>
      <c r="V48" s="3640">
        <f>I48</f>
        <v>0</v>
      </c>
      <c r="W48" s="3640"/>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39" t="str">
        <f>A49</f>
        <v>比较价值（元/平方米）</v>
      </c>
      <c r="Q49" s="3639"/>
      <c r="R49" s="3640" t="e">
        <f>IF(E1="售价",ROUND(PRODUCT(R48,AA7:AA47),0),ROUND(PRODUCT(R48,AA7:AA47),1))</f>
        <v>#DIV/0!</v>
      </c>
      <c r="S49" s="3640"/>
      <c r="T49" s="3640" t="e">
        <f>IF(E1="售价",ROUND(PRODUCT(T48,AB7:AB47),0),ROUND(PRODUCT(T48,AB7:AB47),1))</f>
        <v>#DIV/0!</v>
      </c>
      <c r="U49" s="3640"/>
      <c r="V49" s="3640" t="e">
        <f>IF(E1="售价",ROUND(PRODUCT(V48,AC7:AC47),0),ROUND(PRODUCT(V48,AC7:AC47),1))</f>
        <v>#DIV/0!</v>
      </c>
      <c r="W49" s="3640"/>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45" t="str">
        <f>A50</f>
        <v>估价对象XX用房的比较价值（楼面单价，元/平方米）</v>
      </c>
      <c r="Q50" s="3646"/>
      <c r="R50" s="3647" t="e">
        <f>IF(E1="售价",ROUND(IF(D49="简单平均",AVERAGE(R49:V49),R49*F49+T49*H49+V49*J49),0),ROUND(IF(D49="简单平均",AVERAGE(R49:V49),R49*F49+T49*H49+V49*J49),1))</f>
        <v>#DIV/0!</v>
      </c>
      <c r="S50" s="3647"/>
      <c r="T50" s="3647"/>
      <c r="U50" s="3647"/>
      <c r="V50" s="3647"/>
      <c r="W50" s="3647"/>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G20 C20 I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C10 E10 G10 I10" xr:uid="{00000000-0002-0000-1B00-000005000000}">
      <formula1>土地年限区间</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1" xr:uid="{00000000-0002-0000-1B00-000013000000}">
      <formula1>"估价对象,仅计算典型户型"</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E1" xr:uid="{00000000-0002-0000-1B00-000015000000}">
      <formula1>"售价,租金"</formula1>
    </dataValidation>
    <dataValidation type="list" allowBlank="1" showInputMessage="1" showErrorMessage="1" sqref="D2" xr:uid="{00000000-0002-0000-1B00-000016000000}">
      <formula1>"需扣减承租人权益,——"</formula1>
    </dataValidation>
    <dataValidation type="list" allowBlank="1" showInputMessage="1" showErrorMessage="1" sqref="G2" xr:uid="{00000000-0002-0000-1B00-000017000000}">
      <formula1>估价方法</formula1>
    </dataValidation>
    <dataValidation type="list" allowBlank="1" showInputMessage="1" showErrorMessage="1" sqref="D49" xr:uid="{00000000-0002-0000-1B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45.57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74" t="s">
        <v>2008</v>
      </c>
      <c r="S4" s="3675"/>
      <c r="T4" s="3674" t="s">
        <v>2009</v>
      </c>
      <c r="U4" s="3675"/>
      <c r="V4" s="3680" t="s">
        <v>2010</v>
      </c>
      <c r="W4" s="3680"/>
      <c r="X4" s="1263"/>
      <c r="Y4" s="3674" t="s">
        <v>2012</v>
      </c>
      <c r="Z4" s="3675"/>
      <c r="AA4" s="3661" t="s">
        <v>2008</v>
      </c>
      <c r="AB4" s="3662" t="s">
        <v>2009</v>
      </c>
      <c r="AC4" s="3661" t="s">
        <v>2010</v>
      </c>
    </row>
    <row r="5" spans="1:29" ht="15">
      <c r="A5" s="297"/>
      <c r="B5" s="298"/>
      <c r="C5" s="3657" t="s">
        <v>2013</v>
      </c>
      <c r="D5" s="3658"/>
      <c r="E5" s="3681" t="s">
        <v>2014</v>
      </c>
      <c r="F5" s="3682"/>
      <c r="G5" s="3657" t="s">
        <v>2015</v>
      </c>
      <c r="H5" s="3658"/>
      <c r="I5" s="3657" t="s">
        <v>2016</v>
      </c>
      <c r="J5" s="3658"/>
      <c r="K5" s="496"/>
      <c r="L5" s="2943"/>
      <c r="M5" s="2944"/>
      <c r="N5" s="2944"/>
      <c r="O5" s="2944"/>
      <c r="P5" s="3670"/>
      <c r="Q5" s="3671"/>
      <c r="R5" s="3676"/>
      <c r="S5" s="3677"/>
      <c r="T5" s="3676"/>
      <c r="U5" s="3677"/>
      <c r="V5" s="3680"/>
      <c r="W5" s="3680"/>
      <c r="X5" s="1263"/>
      <c r="Y5" s="3676"/>
      <c r="Z5" s="3677"/>
      <c r="AA5" s="3662"/>
      <c r="AB5" s="3662"/>
      <c r="AC5" s="3662"/>
    </row>
    <row r="6" spans="1:29" ht="15.75" thickBot="1">
      <c r="A6" s="299"/>
      <c r="B6" s="300"/>
      <c r="C6" s="3654" t="s">
        <v>2017</v>
      </c>
      <c r="D6" s="3655"/>
      <c r="E6" s="3652" t="s">
        <v>2017</v>
      </c>
      <c r="F6" s="3653"/>
      <c r="G6" s="3654" t="s">
        <v>2017</v>
      </c>
      <c r="H6" s="3655"/>
      <c r="I6" s="3654" t="s">
        <v>2017</v>
      </c>
      <c r="J6" s="3655"/>
      <c r="K6" s="496" t="s">
        <v>2018</v>
      </c>
      <c r="L6" s="2943"/>
      <c r="M6" s="2944"/>
      <c r="N6" s="2944"/>
      <c r="O6" s="2944"/>
      <c r="P6" s="3672"/>
      <c r="Q6" s="3673"/>
      <c r="R6" s="3676"/>
      <c r="S6" s="3677"/>
      <c r="T6" s="3678"/>
      <c r="U6" s="3679"/>
      <c r="V6" s="3680"/>
      <c r="W6" s="3680"/>
      <c r="X6" s="1263"/>
      <c r="Y6" s="3678"/>
      <c r="Z6" s="3679"/>
      <c r="AA6" s="3663"/>
      <c r="AB6" s="3663"/>
      <c r="AC6" s="3663"/>
    </row>
    <row r="7" spans="1:29" s="25" customFormat="1" ht="15.75" thickBot="1">
      <c r="A7" s="301" t="s">
        <v>2019</v>
      </c>
      <c r="B7" s="302"/>
      <c r="C7" s="303">
        <f>'数据-取费表'!B2</f>
        <v>44810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9" t="s">
        <v>2020</v>
      </c>
      <c r="Q7" s="3683"/>
      <c r="R7" s="627" t="s">
        <v>25</v>
      </c>
      <c r="S7" s="628">
        <f t="shared" ref="S7:S15" si="0">F7</f>
        <v>0</v>
      </c>
      <c r="T7" s="627" t="s">
        <v>25</v>
      </c>
      <c r="U7" s="628">
        <f t="shared" ref="U7:U15" si="1">H7</f>
        <v>0</v>
      </c>
      <c r="V7" s="627" t="s">
        <v>25</v>
      </c>
      <c r="W7" s="628">
        <f t="shared" ref="W7:W15" si="2">J7</f>
        <v>0</v>
      </c>
      <c r="X7" s="629"/>
      <c r="Y7" s="3659" t="s">
        <v>2020</v>
      </c>
      <c r="Z7" s="3660"/>
      <c r="AA7" s="630" t="e">
        <f>D7/F7</f>
        <v>#DIV/0!</v>
      </c>
      <c r="AB7" s="630" t="e">
        <f>D7/H7</f>
        <v>#DIV/0!</v>
      </c>
      <c r="AC7" s="630" t="e">
        <f>D7/J7</f>
        <v>#DIV/0!</v>
      </c>
    </row>
    <row r="8" spans="1:29" s="25" customFormat="1" ht="15.75" thickBot="1">
      <c r="A8" s="301" t="s">
        <v>2021</v>
      </c>
      <c r="B8" s="302"/>
      <c r="C8" s="307" t="s">
        <v>2637</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9" t="s">
        <v>2023</v>
      </c>
      <c r="Q8" s="3660"/>
      <c r="R8" s="627" t="s">
        <v>25</v>
      </c>
      <c r="S8" s="628">
        <f t="shared" si="0"/>
        <v>0</v>
      </c>
      <c r="T8" s="627" t="s">
        <v>25</v>
      </c>
      <c r="U8" s="628">
        <f t="shared" si="1"/>
        <v>0</v>
      </c>
      <c r="V8" s="627" t="s">
        <v>25</v>
      </c>
      <c r="W8" s="628">
        <f t="shared" si="2"/>
        <v>0</v>
      </c>
      <c r="X8" s="629"/>
      <c r="Y8" s="3659" t="s">
        <v>2023</v>
      </c>
      <c r="Z8" s="366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56" t="s">
        <v>2026</v>
      </c>
      <c r="Q9" s="1255" t="str">
        <f t="shared" ref="Q9:Q15" si="6">B9</f>
        <v>用途</v>
      </c>
      <c r="R9" s="627" t="s">
        <v>25</v>
      </c>
      <c r="S9" s="628">
        <f t="shared" si="0"/>
        <v>100</v>
      </c>
      <c r="T9" s="627" t="s">
        <v>25</v>
      </c>
      <c r="U9" s="628">
        <f t="shared" si="1"/>
        <v>100</v>
      </c>
      <c r="V9" s="627" t="s">
        <v>25</v>
      </c>
      <c r="W9" s="628">
        <f t="shared" si="2"/>
        <v>100</v>
      </c>
      <c r="X9" s="629"/>
      <c r="Y9" s="3686"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56"/>
      <c r="Q10" s="1255"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56"/>
      <c r="Q11" s="1255"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56"/>
      <c r="Q12" s="1255">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56"/>
      <c r="Q13" s="1255">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56"/>
      <c r="Q14" s="1255">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84" t="s">
        <v>2031</v>
      </c>
      <c r="Q15" s="1262" t="str">
        <f t="shared" si="6"/>
        <v>产业集聚程度</v>
      </c>
      <c r="R15" s="631" t="s">
        <v>25</v>
      </c>
      <c r="S15" s="632">
        <f t="shared" si="0"/>
        <v>100</v>
      </c>
      <c r="T15" s="631" t="s">
        <v>25</v>
      </c>
      <c r="U15" s="632">
        <f t="shared" si="1"/>
        <v>100</v>
      </c>
      <c r="V15" s="631" t="s">
        <v>25</v>
      </c>
      <c r="W15" s="632">
        <f t="shared" si="2"/>
        <v>100</v>
      </c>
      <c r="X15" s="1263"/>
      <c r="Y15" s="3684"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85"/>
      <c r="Q16" s="1262"/>
      <c r="R16" s="631"/>
      <c r="S16" s="632"/>
      <c r="T16" s="631"/>
      <c r="U16" s="632"/>
      <c r="V16" s="631"/>
      <c r="W16" s="632"/>
      <c r="X16" s="1263"/>
      <c r="Y16" s="3685"/>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85"/>
      <c r="Q17" s="1262" t="str">
        <f>B17</f>
        <v>交通便捷度</v>
      </c>
      <c r="R17" s="631" t="s">
        <v>25</v>
      </c>
      <c r="S17" s="632">
        <f>F17</f>
        <v>100</v>
      </c>
      <c r="T17" s="631" t="s">
        <v>25</v>
      </c>
      <c r="U17" s="632">
        <f>H17</f>
        <v>100</v>
      </c>
      <c r="V17" s="631" t="s">
        <v>25</v>
      </c>
      <c r="W17" s="632">
        <f>J17</f>
        <v>100</v>
      </c>
      <c r="X17" s="1263"/>
      <c r="Y17" s="3685"/>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85"/>
      <c r="Q18" s="1262"/>
      <c r="R18" s="631"/>
      <c r="S18" s="632"/>
      <c r="T18" s="631"/>
      <c r="U18" s="632"/>
      <c r="V18" s="631"/>
      <c r="W18" s="632"/>
      <c r="X18" s="1263"/>
      <c r="Y18" s="3685"/>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85"/>
      <c r="Q19" s="1262" t="str">
        <f>B19</f>
        <v>公共配套设施</v>
      </c>
      <c r="R19" s="631" t="s">
        <v>25</v>
      </c>
      <c r="S19" s="632">
        <f>F19</f>
        <v>100</v>
      </c>
      <c r="T19" s="631" t="s">
        <v>25</v>
      </c>
      <c r="U19" s="632">
        <f>H19</f>
        <v>100</v>
      </c>
      <c r="V19" s="631" t="s">
        <v>25</v>
      </c>
      <c r="W19" s="632">
        <f>J19</f>
        <v>100</v>
      </c>
      <c r="X19" s="1263"/>
      <c r="Y19" s="3685"/>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85"/>
      <c r="Q20" s="1262"/>
      <c r="R20" s="631"/>
      <c r="S20" s="632"/>
      <c r="T20" s="631"/>
      <c r="U20" s="632"/>
      <c r="V20" s="631"/>
      <c r="W20" s="632"/>
      <c r="X20" s="1263"/>
      <c r="Y20" s="3685"/>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85"/>
      <c r="Q21" s="1262" t="str">
        <f>B21</f>
        <v>基础设施水平</v>
      </c>
      <c r="R21" s="631" t="s">
        <v>25</v>
      </c>
      <c r="S21" s="632">
        <f>F21</f>
        <v>100</v>
      </c>
      <c r="T21" s="631" t="s">
        <v>25</v>
      </c>
      <c r="U21" s="632">
        <f>H21</f>
        <v>100</v>
      </c>
      <c r="V21" s="631" t="s">
        <v>25</v>
      </c>
      <c r="W21" s="632">
        <f>J21</f>
        <v>100</v>
      </c>
      <c r="X21" s="1263"/>
      <c r="Y21" s="3685"/>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85"/>
      <c r="Q22" s="1262"/>
      <c r="R22" s="631"/>
      <c r="S22" s="632"/>
      <c r="T22" s="631"/>
      <c r="U22" s="632"/>
      <c r="V22" s="631"/>
      <c r="W22" s="632"/>
      <c r="X22" s="1263"/>
      <c r="Y22" s="3685"/>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85"/>
      <c r="Q23" s="1262" t="str">
        <f>B23</f>
        <v>环境质量</v>
      </c>
      <c r="R23" s="631" t="s">
        <v>25</v>
      </c>
      <c r="S23" s="632">
        <f>F23</f>
        <v>100</v>
      </c>
      <c r="T23" s="631" t="s">
        <v>25</v>
      </c>
      <c r="U23" s="632">
        <f>H23</f>
        <v>100</v>
      </c>
      <c r="V23" s="631" t="s">
        <v>25</v>
      </c>
      <c r="W23" s="632">
        <f>J23</f>
        <v>100</v>
      </c>
      <c r="X23" s="1263"/>
      <c r="Y23" s="3685"/>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85"/>
      <c r="Q24" s="1262"/>
      <c r="R24" s="631"/>
      <c r="S24" s="632"/>
      <c r="T24" s="631"/>
      <c r="U24" s="632"/>
      <c r="V24" s="631"/>
      <c r="W24" s="632"/>
      <c r="X24" s="1263"/>
      <c r="Y24" s="3685"/>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85"/>
      <c r="Q25" s="1262">
        <f>B25</f>
        <v>111</v>
      </c>
      <c r="R25" s="631" t="s">
        <v>25</v>
      </c>
      <c r="S25" s="632">
        <f>F25</f>
        <v>100</v>
      </c>
      <c r="T25" s="631" t="s">
        <v>25</v>
      </c>
      <c r="U25" s="632">
        <f>H25</f>
        <v>100</v>
      </c>
      <c r="V25" s="631" t="s">
        <v>25</v>
      </c>
      <c r="W25" s="632">
        <f>J25</f>
        <v>100</v>
      </c>
      <c r="X25" s="1263"/>
      <c r="Y25" s="3685"/>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85"/>
      <c r="Q26" s="1262">
        <f t="shared" ref="Q26:Q40" si="11">B26</f>
        <v>111</v>
      </c>
      <c r="R26" s="631" t="s">
        <v>25</v>
      </c>
      <c r="S26" s="632">
        <f>F26</f>
        <v>100</v>
      </c>
      <c r="T26" s="631" t="s">
        <v>25</v>
      </c>
      <c r="U26" s="632">
        <f>H26</f>
        <v>100</v>
      </c>
      <c r="V26" s="631" t="s">
        <v>25</v>
      </c>
      <c r="W26" s="632">
        <f>J26</f>
        <v>100</v>
      </c>
      <c r="X26" s="1263"/>
      <c r="Y26" s="3685"/>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85"/>
      <c r="Q27" s="1255">
        <f t="shared" si="11"/>
        <v>111</v>
      </c>
      <c r="R27" s="627" t="s">
        <v>25</v>
      </c>
      <c r="S27" s="628">
        <f>F27</f>
        <v>100</v>
      </c>
      <c r="T27" s="627" t="s">
        <v>25</v>
      </c>
      <c r="U27" s="628">
        <f>H27</f>
        <v>100</v>
      </c>
      <c r="V27" s="627" t="s">
        <v>25</v>
      </c>
      <c r="W27" s="628">
        <f>J27</f>
        <v>100</v>
      </c>
      <c r="X27" s="629"/>
      <c r="Y27" s="3685"/>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85"/>
      <c r="Q28" s="1262">
        <f t="shared" si="11"/>
        <v>111</v>
      </c>
      <c r="R28" s="631" t="s">
        <v>25</v>
      </c>
      <c r="S28" s="632">
        <f t="shared" ref="S28:S40" si="12">F28</f>
        <v>100</v>
      </c>
      <c r="T28" s="631" t="s">
        <v>25</v>
      </c>
      <c r="U28" s="632">
        <f t="shared" ref="U28:U40" si="13">H28</f>
        <v>100</v>
      </c>
      <c r="V28" s="631" t="s">
        <v>25</v>
      </c>
      <c r="W28" s="632">
        <f t="shared" ref="W28:W40" si="14">J28</f>
        <v>100</v>
      </c>
      <c r="X28" s="1263"/>
      <c r="Y28" s="3685"/>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87" t="s">
        <v>2037</v>
      </c>
      <c r="Q29" s="1262" t="str">
        <f t="shared" si="11"/>
        <v>建筑类型</v>
      </c>
      <c r="R29" s="631" t="s">
        <v>25</v>
      </c>
      <c r="S29" s="632">
        <f t="shared" si="12"/>
        <v>100</v>
      </c>
      <c r="T29" s="631" t="s">
        <v>25</v>
      </c>
      <c r="U29" s="632">
        <f t="shared" si="13"/>
        <v>100</v>
      </c>
      <c r="V29" s="631" t="s">
        <v>25</v>
      </c>
      <c r="W29" s="632">
        <f t="shared" si="14"/>
        <v>100</v>
      </c>
      <c r="X29" s="1263"/>
      <c r="Y29" s="3688"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88"/>
      <c r="Q30" s="633" t="str">
        <f t="shared" si="11"/>
        <v>项目建筑规模</v>
      </c>
      <c r="R30" s="634" t="s">
        <v>25</v>
      </c>
      <c r="S30" s="635" t="e">
        <f t="shared" si="12"/>
        <v>#N/A</v>
      </c>
      <c r="T30" s="634" t="s">
        <v>25</v>
      </c>
      <c r="U30" s="635" t="e">
        <f t="shared" si="13"/>
        <v>#N/A</v>
      </c>
      <c r="V30" s="634" t="s">
        <v>25</v>
      </c>
      <c r="W30" s="635" t="e">
        <f t="shared" si="14"/>
        <v>#N/A</v>
      </c>
      <c r="X30" s="636"/>
      <c r="Y30" s="3688"/>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88"/>
      <c r="Q31" s="1262" t="str">
        <f t="shared" si="11"/>
        <v>建筑结构</v>
      </c>
      <c r="R31" s="631" t="s">
        <v>25</v>
      </c>
      <c r="S31" s="632">
        <f t="shared" si="12"/>
        <v>100</v>
      </c>
      <c r="T31" s="631" t="s">
        <v>25</v>
      </c>
      <c r="U31" s="632">
        <f t="shared" si="13"/>
        <v>100</v>
      </c>
      <c r="V31" s="631" t="s">
        <v>25</v>
      </c>
      <c r="W31" s="632">
        <f t="shared" si="14"/>
        <v>100</v>
      </c>
      <c r="X31" s="1263"/>
      <c r="Y31" s="3688"/>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88"/>
      <c r="Q32" s="1262" t="str">
        <f t="shared" si="11"/>
        <v>公共部分装修</v>
      </c>
      <c r="R32" s="631" t="s">
        <v>25</v>
      </c>
      <c r="S32" s="632">
        <f t="shared" si="12"/>
        <v>100</v>
      </c>
      <c r="T32" s="631" t="s">
        <v>25</v>
      </c>
      <c r="U32" s="632">
        <f t="shared" si="13"/>
        <v>100</v>
      </c>
      <c r="V32" s="631" t="s">
        <v>25</v>
      </c>
      <c r="W32" s="632">
        <f t="shared" si="14"/>
        <v>100</v>
      </c>
      <c r="X32" s="1263"/>
      <c r="Y32" s="3688"/>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88"/>
      <c r="Q33" s="1262" t="str">
        <f t="shared" si="11"/>
        <v>成新度</v>
      </c>
      <c r="R33" s="631" t="s">
        <v>25</v>
      </c>
      <c r="S33" s="632" t="e">
        <f t="shared" si="12"/>
        <v>#N/A</v>
      </c>
      <c r="T33" s="631" t="s">
        <v>25</v>
      </c>
      <c r="U33" s="632" t="e">
        <f t="shared" si="13"/>
        <v>#N/A</v>
      </c>
      <c r="V33" s="631" t="s">
        <v>25</v>
      </c>
      <c r="W33" s="632" t="e">
        <f t="shared" si="14"/>
        <v>#N/A</v>
      </c>
      <c r="X33" s="1263"/>
      <c r="Y33" s="3688"/>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88"/>
      <c r="Q34" s="1255" t="str">
        <f t="shared" si="11"/>
        <v>物业管理</v>
      </c>
      <c r="R34" s="627" t="s">
        <v>25</v>
      </c>
      <c r="S34" s="628">
        <f t="shared" si="12"/>
        <v>100</v>
      </c>
      <c r="T34" s="627" t="s">
        <v>25</v>
      </c>
      <c r="U34" s="628">
        <f t="shared" si="13"/>
        <v>100</v>
      </c>
      <c r="V34" s="627" t="s">
        <v>25</v>
      </c>
      <c r="W34" s="628">
        <f t="shared" si="14"/>
        <v>100</v>
      </c>
      <c r="X34" s="629"/>
      <c r="Y34" s="368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88" t="s">
        <v>2037</v>
      </c>
      <c r="Q35" s="1262" t="str">
        <f t="shared" si="11"/>
        <v>市政基础设施</v>
      </c>
      <c r="R35" s="631" t="s">
        <v>25</v>
      </c>
      <c r="S35" s="632">
        <f t="shared" si="12"/>
        <v>100</v>
      </c>
      <c r="T35" s="631" t="s">
        <v>25</v>
      </c>
      <c r="U35" s="632">
        <f t="shared" si="13"/>
        <v>100</v>
      </c>
      <c r="V35" s="631" t="s">
        <v>25</v>
      </c>
      <c r="W35" s="632">
        <f t="shared" si="14"/>
        <v>100</v>
      </c>
      <c r="X35" s="1263"/>
      <c r="Y35" s="3688"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88"/>
      <c r="Q36" s="1262" t="str">
        <f t="shared" si="11"/>
        <v>内部装修</v>
      </c>
      <c r="R36" s="631" t="s">
        <v>25</v>
      </c>
      <c r="S36" s="632">
        <f t="shared" si="12"/>
        <v>100</v>
      </c>
      <c r="T36" s="631" t="s">
        <v>25</v>
      </c>
      <c r="U36" s="632">
        <f t="shared" si="13"/>
        <v>100</v>
      </c>
      <c r="V36" s="631" t="s">
        <v>25</v>
      </c>
      <c r="W36" s="632">
        <f t="shared" si="14"/>
        <v>100</v>
      </c>
      <c r="X36" s="1263"/>
      <c r="Y36" s="3688"/>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88"/>
      <c r="Q37" s="1262" t="str">
        <f t="shared" si="11"/>
        <v>内部装修状况</v>
      </c>
      <c r="R37" s="631" t="s">
        <v>25</v>
      </c>
      <c r="S37" s="632">
        <f t="shared" si="12"/>
        <v>100</v>
      </c>
      <c r="T37" s="631" t="s">
        <v>25</v>
      </c>
      <c r="U37" s="632">
        <f t="shared" si="13"/>
        <v>100</v>
      </c>
      <c r="V37" s="631" t="s">
        <v>25</v>
      </c>
      <c r="W37" s="632">
        <f t="shared" si="14"/>
        <v>100</v>
      </c>
      <c r="X37" s="1263"/>
      <c r="Y37" s="368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88"/>
      <c r="Q38" s="633">
        <f t="shared" si="11"/>
        <v>111</v>
      </c>
      <c r="R38" s="634" t="s">
        <v>25</v>
      </c>
      <c r="S38" s="635">
        <f t="shared" si="12"/>
        <v>100</v>
      </c>
      <c r="T38" s="634" t="s">
        <v>25</v>
      </c>
      <c r="U38" s="635">
        <f t="shared" si="13"/>
        <v>100</v>
      </c>
      <c r="V38" s="634" t="s">
        <v>25</v>
      </c>
      <c r="W38" s="635">
        <f t="shared" si="14"/>
        <v>100</v>
      </c>
      <c r="X38" s="636"/>
      <c r="Y38" s="368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88"/>
      <c r="Q39" s="1262">
        <f t="shared" si="11"/>
        <v>111</v>
      </c>
      <c r="R39" s="631" t="s">
        <v>25</v>
      </c>
      <c r="S39" s="632">
        <f t="shared" si="12"/>
        <v>100</v>
      </c>
      <c r="T39" s="631" t="s">
        <v>25</v>
      </c>
      <c r="U39" s="632">
        <f t="shared" si="13"/>
        <v>100</v>
      </c>
      <c r="V39" s="631" t="s">
        <v>25</v>
      </c>
      <c r="W39" s="632">
        <f t="shared" si="14"/>
        <v>100</v>
      </c>
      <c r="X39" s="1263"/>
      <c r="Y39" s="368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89"/>
      <c r="Q40" s="1262">
        <f t="shared" si="11"/>
        <v>111</v>
      </c>
      <c r="R40" s="631" t="s">
        <v>25</v>
      </c>
      <c r="S40" s="632">
        <f t="shared" si="12"/>
        <v>100</v>
      </c>
      <c r="T40" s="631" t="s">
        <v>25</v>
      </c>
      <c r="U40" s="632">
        <f t="shared" si="13"/>
        <v>100</v>
      </c>
      <c r="V40" s="631" t="s">
        <v>25</v>
      </c>
      <c r="W40" s="632">
        <f t="shared" si="14"/>
        <v>100</v>
      </c>
      <c r="X40" s="1263"/>
      <c r="Y40" s="3689"/>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56" t="str">
        <f>A41</f>
        <v>成交单价（元/平方米）</v>
      </c>
      <c r="Q41" s="3656"/>
      <c r="R41" s="3690">
        <f>E41</f>
        <v>0</v>
      </c>
      <c r="S41" s="3690"/>
      <c r="T41" s="3690">
        <f>G41</f>
        <v>0</v>
      </c>
      <c r="U41" s="3690"/>
      <c r="V41" s="3690">
        <f>I41</f>
        <v>0</v>
      </c>
      <c r="W41" s="3690"/>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56" t="str">
        <f>A42</f>
        <v>比较价值（元/平方米）</v>
      </c>
      <c r="Q42" s="3656"/>
      <c r="R42" s="3690" t="e">
        <f>IF(E1="售价",ROUND(PRODUCT(R41,AA7:AA40),0),ROUND(PRODUCT(R41,AA7:AA40),1))</f>
        <v>#DIV/0!</v>
      </c>
      <c r="S42" s="3690"/>
      <c r="T42" s="3690" t="e">
        <f>IF(E1="售价",ROUND(PRODUCT(T41,AB7:AB40),0),ROUND(PRODUCT(T41,AB7:AB40),1))</f>
        <v>#DIV/0!</v>
      </c>
      <c r="U42" s="3690"/>
      <c r="V42" s="3690" t="e">
        <f>IF(E1="售价",ROUND(PRODUCT(V41,AC7:AC40),0),ROUND(PRODUCT(V41,AC7:AC40),1))</f>
        <v>#DIV/0!</v>
      </c>
      <c r="W42" s="3690"/>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91" t="str">
        <f>A43</f>
        <v>估价对象XX用房的比较价值（楼面单价，元/平方米）</v>
      </c>
      <c r="Q43" s="3692"/>
      <c r="R43" s="3693" t="e">
        <f>IF(E1="售价",ROUND(IF(D42="简单平均",AVERAGE(R42:V42),R42*F42+T42*H42+V42*J42),0),ROUND(IF(D42="简单平均",AVERAGE(R42:V42),R42*F42+T42*H42+V42*J42),1))</f>
        <v>#DIV/0!</v>
      </c>
      <c r="S43" s="3693"/>
      <c r="T43" s="3693"/>
      <c r="U43" s="3693"/>
      <c r="V43" s="3693"/>
      <c r="W43" s="3693"/>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C20 G20 I20 E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1" xr:uid="{00000000-0002-0000-1C00-00000E000000}">
      <formula1>"估价对象,仅计算典型户型"</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E1" xr:uid="{00000000-0002-0000-1C00-000010000000}">
      <formula1>"售价,租金"</formula1>
    </dataValidation>
    <dataValidation type="list" allowBlank="1" showInputMessage="1" showErrorMessage="1" sqref="D2" xr:uid="{00000000-0002-0000-1C00-000011000000}">
      <formula1>"需扣减承租人权益,——"</formula1>
    </dataValidation>
    <dataValidation type="list" allowBlank="1" showInputMessage="1" showErrorMessage="1" sqref="G2" xr:uid="{00000000-0002-0000-1C00-000012000000}">
      <formula1>估价方法</formula1>
    </dataValidation>
    <dataValidation type="list" allowBlank="1" showInputMessage="1" showErrorMessage="1" sqref="D42"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估价对象为北京市房地产，为XX所有。根据《》[]，估价对象建筑面积为45.57平方米。根据《》[]，估价对象（分摊）出让国有建设用地使用权面积为平方米。估价对象用途为。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2022年9月6日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本次估价的“房地产价值”是指在正常市场情况下，在价值时点2022年9月6日，估价对象规划用途为，假定未设立法定优先受偿款下的房地产市场价值。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45.57</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74" t="s">
        <v>2008</v>
      </c>
      <c r="S4" s="3675"/>
      <c r="T4" s="3674" t="s">
        <v>2009</v>
      </c>
      <c r="U4" s="3675"/>
      <c r="V4" s="3680" t="s">
        <v>2010</v>
      </c>
      <c r="W4" s="3680"/>
      <c r="X4" s="1263"/>
      <c r="Y4" s="3674" t="s">
        <v>2012</v>
      </c>
      <c r="Z4" s="3675"/>
      <c r="AA4" s="3661" t="s">
        <v>2008</v>
      </c>
      <c r="AB4" s="3662" t="s">
        <v>2009</v>
      </c>
      <c r="AC4" s="3661" t="s">
        <v>2010</v>
      </c>
    </row>
    <row r="5" spans="1:29" ht="15">
      <c r="A5" s="297"/>
      <c r="B5" s="298"/>
      <c r="C5" s="3657" t="s">
        <v>2013</v>
      </c>
      <c r="D5" s="3658"/>
      <c r="E5" s="3681" t="s">
        <v>2014</v>
      </c>
      <c r="F5" s="3682"/>
      <c r="G5" s="3657" t="s">
        <v>2015</v>
      </c>
      <c r="H5" s="3658"/>
      <c r="I5" s="3657" t="s">
        <v>2016</v>
      </c>
      <c r="J5" s="3658"/>
      <c r="K5" s="496"/>
      <c r="L5" s="2943"/>
      <c r="M5" s="2944"/>
      <c r="N5" s="2944"/>
      <c r="O5" s="2944"/>
      <c r="P5" s="3670"/>
      <c r="Q5" s="3671"/>
      <c r="R5" s="3676"/>
      <c r="S5" s="3677"/>
      <c r="T5" s="3676"/>
      <c r="U5" s="3677"/>
      <c r="V5" s="3680"/>
      <c r="W5" s="3680"/>
      <c r="X5" s="1263"/>
      <c r="Y5" s="3676"/>
      <c r="Z5" s="3677"/>
      <c r="AA5" s="3662"/>
      <c r="AB5" s="3662"/>
      <c r="AC5" s="3662"/>
    </row>
    <row r="6" spans="1:29" ht="15.75" thickBot="1">
      <c r="A6" s="299"/>
      <c r="B6" s="300"/>
      <c r="C6" s="3654" t="s">
        <v>2017</v>
      </c>
      <c r="D6" s="3655"/>
      <c r="E6" s="3652" t="s">
        <v>2017</v>
      </c>
      <c r="F6" s="3653"/>
      <c r="G6" s="3654" t="s">
        <v>2017</v>
      </c>
      <c r="H6" s="3655"/>
      <c r="I6" s="3654" t="s">
        <v>2017</v>
      </c>
      <c r="J6" s="3655"/>
      <c r="K6" s="496" t="s">
        <v>2018</v>
      </c>
      <c r="L6" s="2943"/>
      <c r="M6" s="2944"/>
      <c r="N6" s="2944"/>
      <c r="O6" s="2944"/>
      <c r="P6" s="3672"/>
      <c r="Q6" s="3673"/>
      <c r="R6" s="3676"/>
      <c r="S6" s="3677"/>
      <c r="T6" s="3678"/>
      <c r="U6" s="3679"/>
      <c r="V6" s="3680"/>
      <c r="W6" s="3680"/>
      <c r="X6" s="1263"/>
      <c r="Y6" s="3678"/>
      <c r="Z6" s="3679"/>
      <c r="AA6" s="3663"/>
      <c r="AB6" s="3663"/>
      <c r="AC6" s="3663"/>
    </row>
    <row r="7" spans="1:29" s="25" customFormat="1" ht="15.75" thickBot="1">
      <c r="A7" s="301" t="s">
        <v>2019</v>
      </c>
      <c r="B7" s="302"/>
      <c r="C7" s="303">
        <f>'数据-取费表'!B2</f>
        <v>44810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9" t="s">
        <v>2020</v>
      </c>
      <c r="Q7" s="3683"/>
      <c r="R7" s="627" t="s">
        <v>25</v>
      </c>
      <c r="S7" s="628">
        <f t="shared" ref="S7:S14" si="0">F7</f>
        <v>0</v>
      </c>
      <c r="T7" s="627" t="s">
        <v>25</v>
      </c>
      <c r="U7" s="628">
        <f t="shared" ref="U7:U14" si="1">H7</f>
        <v>0</v>
      </c>
      <c r="V7" s="627" t="s">
        <v>25</v>
      </c>
      <c r="W7" s="628">
        <f t="shared" ref="W7:W14" si="2">J7</f>
        <v>0</v>
      </c>
      <c r="X7" s="629"/>
      <c r="Y7" s="3659" t="s">
        <v>2020</v>
      </c>
      <c r="Z7" s="366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9" t="s">
        <v>2023</v>
      </c>
      <c r="Q8" s="3660"/>
      <c r="R8" s="627" t="s">
        <v>25</v>
      </c>
      <c r="S8" s="628">
        <f t="shared" si="0"/>
        <v>0</v>
      </c>
      <c r="T8" s="627" t="s">
        <v>25</v>
      </c>
      <c r="U8" s="628">
        <f t="shared" si="1"/>
        <v>0</v>
      </c>
      <c r="V8" s="627" t="s">
        <v>25</v>
      </c>
      <c r="W8" s="628">
        <f t="shared" si="2"/>
        <v>0</v>
      </c>
      <c r="X8" s="629"/>
      <c r="Y8" s="3659" t="s">
        <v>2023</v>
      </c>
      <c r="Z8" s="366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56" t="s">
        <v>2026</v>
      </c>
      <c r="Q9" s="1255" t="str">
        <f t="shared" ref="Q9:Q14" si="6">B9</f>
        <v>用途</v>
      </c>
      <c r="R9" s="627" t="s">
        <v>25</v>
      </c>
      <c r="S9" s="628">
        <f t="shared" si="0"/>
        <v>100</v>
      </c>
      <c r="T9" s="627" t="s">
        <v>25</v>
      </c>
      <c r="U9" s="628">
        <f t="shared" si="1"/>
        <v>100</v>
      </c>
      <c r="V9" s="627" t="s">
        <v>25</v>
      </c>
      <c r="W9" s="628">
        <f t="shared" si="2"/>
        <v>100</v>
      </c>
      <c r="X9" s="629"/>
      <c r="Y9" s="3686"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56"/>
      <c r="Q10" s="1255"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56"/>
      <c r="Q11" s="1255">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56"/>
      <c r="Q12" s="1255">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56"/>
      <c r="Q13" s="1255">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71">
      <c r="A14" s="294" t="s">
        <v>2030</v>
      </c>
      <c r="B14" s="511" t="s">
        <v>2168</v>
      </c>
      <c r="C14" s="1072" t="str">
        <f>IF(B1="工业",估价对象房地状况!G4,估价对象房地状况!C6)</f>
        <v>估价对象距离地铁2号线朝阳门站约900米、距离地铁6号线东大桥站约900米，周边有75路、101路、109路、110路、139路、615路等公交通过并设站，综合评价交通便捷度较好。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84" t="s">
        <v>2031</v>
      </c>
      <c r="Q14" s="1262" t="str">
        <f t="shared" si="6"/>
        <v>交通便捷度</v>
      </c>
      <c r="R14" s="631" t="s">
        <v>25</v>
      </c>
      <c r="S14" s="632">
        <f t="shared" si="0"/>
        <v>100</v>
      </c>
      <c r="T14" s="631" t="s">
        <v>25</v>
      </c>
      <c r="U14" s="632">
        <f t="shared" si="1"/>
        <v>100</v>
      </c>
      <c r="V14" s="631" t="s">
        <v>25</v>
      </c>
      <c r="W14" s="632">
        <f t="shared" si="2"/>
        <v>100</v>
      </c>
      <c r="X14" s="1263"/>
      <c r="Y14" s="3684"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85"/>
      <c r="Q15" s="1262"/>
      <c r="R15" s="631"/>
      <c r="S15" s="632"/>
      <c r="T15" s="631"/>
      <c r="U15" s="632"/>
      <c r="V15" s="631"/>
      <c r="W15" s="632"/>
      <c r="X15" s="1263"/>
      <c r="Y15" s="3685"/>
      <c r="Z15" s="1264"/>
      <c r="AA15" s="1265">
        <v>1</v>
      </c>
      <c r="AB15" s="1265">
        <v>1</v>
      </c>
      <c r="AC15" s="1265">
        <v>1</v>
      </c>
    </row>
    <row r="16" spans="1:29" ht="285">
      <c r="A16" s="297"/>
      <c r="B16" s="513" t="s">
        <v>2146</v>
      </c>
      <c r="C16" s="1074" t="str">
        <f>IF(B1="工业",估价对象房地状况!G5,估价对象房地状况!C7)</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85"/>
      <c r="Q16" s="1262" t="str">
        <f>B16</f>
        <v>公共配套设施</v>
      </c>
      <c r="R16" s="631" t="s">
        <v>25</v>
      </c>
      <c r="S16" s="632">
        <f>F16</f>
        <v>100</v>
      </c>
      <c r="T16" s="631" t="s">
        <v>25</v>
      </c>
      <c r="U16" s="632">
        <f>H16</f>
        <v>100</v>
      </c>
      <c r="V16" s="631" t="s">
        <v>25</v>
      </c>
      <c r="W16" s="632">
        <f>J16</f>
        <v>100</v>
      </c>
      <c r="X16" s="1263"/>
      <c r="Y16" s="368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85"/>
      <c r="Q17" s="1262"/>
      <c r="R17" s="631"/>
      <c r="S17" s="632"/>
      <c r="T17" s="631"/>
      <c r="U17" s="632"/>
      <c r="V17" s="631"/>
      <c r="W17" s="632"/>
      <c r="X17" s="1263"/>
      <c r="Y17" s="3685"/>
      <c r="Z17" s="1264"/>
      <c r="AA17" s="1265">
        <v>1</v>
      </c>
      <c r="AB17" s="1265">
        <v>1</v>
      </c>
      <c r="AC17" s="1265">
        <v>1</v>
      </c>
    </row>
    <row r="18" spans="1:29" ht="42.75">
      <c r="A18" s="297"/>
      <c r="B18" s="515" t="s">
        <v>2147</v>
      </c>
      <c r="C18" s="1074" t="str">
        <f>IF(B1="工业",估价对象房地状况!G6,估价对象房地状况!C8)</f>
        <v>估价对象所在区域基础设施水平-七通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85"/>
      <c r="Q18" s="1262" t="str">
        <f>B18</f>
        <v>基础设施水平</v>
      </c>
      <c r="R18" s="631" t="s">
        <v>25</v>
      </c>
      <c r="S18" s="632">
        <f>F18</f>
        <v>100</v>
      </c>
      <c r="T18" s="631" t="s">
        <v>25</v>
      </c>
      <c r="U18" s="632">
        <f>H18</f>
        <v>100</v>
      </c>
      <c r="V18" s="631" t="s">
        <v>25</v>
      </c>
      <c r="W18" s="632">
        <f>J18</f>
        <v>100</v>
      </c>
      <c r="X18" s="1263"/>
      <c r="Y18" s="368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85"/>
      <c r="Q19" s="1262"/>
      <c r="R19" s="631"/>
      <c r="S19" s="632"/>
      <c r="T19" s="631"/>
      <c r="U19" s="632"/>
      <c r="V19" s="631"/>
      <c r="W19" s="632"/>
      <c r="X19" s="1263"/>
      <c r="Y19" s="3685"/>
      <c r="Z19" s="1264"/>
      <c r="AA19" s="1265">
        <v>1</v>
      </c>
      <c r="AB19" s="1265">
        <v>1</v>
      </c>
      <c r="AC19" s="1265">
        <v>1</v>
      </c>
    </row>
    <row r="20" spans="1:29" ht="99.75">
      <c r="A20" s="297"/>
      <c r="B20" s="513" t="s">
        <v>2169</v>
      </c>
      <c r="C20" s="1074" t="str">
        <f>IF(B1="工业",估价对象房地状况!G7,估价对象房地状况!C9)</f>
        <v>周边有日坛公园、北京工人体育场、北京工体富国海底世界等自然人文环境，综合评价环境状况较好</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85"/>
      <c r="Q20" s="1262" t="str">
        <f>B20</f>
        <v>自然及人文环境</v>
      </c>
      <c r="R20" s="631" t="s">
        <v>25</v>
      </c>
      <c r="S20" s="632">
        <f>F20</f>
        <v>100</v>
      </c>
      <c r="T20" s="631" t="s">
        <v>25</v>
      </c>
      <c r="U20" s="632">
        <f>H20</f>
        <v>100</v>
      </c>
      <c r="V20" s="631" t="s">
        <v>25</v>
      </c>
      <c r="W20" s="632">
        <f>J20</f>
        <v>100</v>
      </c>
      <c r="X20" s="1263"/>
      <c r="Y20" s="368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85"/>
      <c r="Q21" s="1262"/>
      <c r="R21" s="631"/>
      <c r="S21" s="632"/>
      <c r="T21" s="631"/>
      <c r="U21" s="632"/>
      <c r="V21" s="631"/>
      <c r="W21" s="632"/>
      <c r="X21" s="1263"/>
      <c r="Y21" s="3685"/>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85"/>
      <c r="Q22" s="1262" t="str">
        <f>B22</f>
        <v>楼层</v>
      </c>
      <c r="R22" s="631" t="s">
        <v>25</v>
      </c>
      <c r="S22" s="632">
        <f>F22</f>
        <v>100</v>
      </c>
      <c r="T22" s="631" t="s">
        <v>25</v>
      </c>
      <c r="U22" s="632">
        <f>H22</f>
        <v>100</v>
      </c>
      <c r="V22" s="631" t="s">
        <v>25</v>
      </c>
      <c r="W22" s="632">
        <f>J22</f>
        <v>100</v>
      </c>
      <c r="X22" s="1263"/>
      <c r="Y22" s="368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85"/>
      <c r="Q23" s="1262">
        <f>B23</f>
        <v>111</v>
      </c>
      <c r="R23" s="631" t="s">
        <v>25</v>
      </c>
      <c r="S23" s="632">
        <f>F23</f>
        <v>100</v>
      </c>
      <c r="T23" s="631" t="s">
        <v>25</v>
      </c>
      <c r="U23" s="632">
        <f>H23</f>
        <v>100</v>
      </c>
      <c r="V23" s="631" t="s">
        <v>25</v>
      </c>
      <c r="W23" s="632">
        <f>J23</f>
        <v>100</v>
      </c>
      <c r="X23" s="1263"/>
      <c r="Y23" s="368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85"/>
      <c r="Q24" s="1262">
        <f t="shared" ref="Q24:Q36" si="11">B24</f>
        <v>111</v>
      </c>
      <c r="R24" s="631" t="s">
        <v>25</v>
      </c>
      <c r="S24" s="632">
        <f>F24</f>
        <v>100</v>
      </c>
      <c r="T24" s="631" t="s">
        <v>25</v>
      </c>
      <c r="U24" s="632">
        <f>H24</f>
        <v>100</v>
      </c>
      <c r="V24" s="631" t="s">
        <v>25</v>
      </c>
      <c r="W24" s="632">
        <f>J24</f>
        <v>100</v>
      </c>
      <c r="X24" s="1263"/>
      <c r="Y24" s="368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85"/>
      <c r="Q25" s="1255">
        <f t="shared" si="11"/>
        <v>111</v>
      </c>
      <c r="R25" s="627" t="s">
        <v>25</v>
      </c>
      <c r="S25" s="628">
        <f>F25</f>
        <v>100</v>
      </c>
      <c r="T25" s="627" t="s">
        <v>25</v>
      </c>
      <c r="U25" s="628">
        <f>H25</f>
        <v>100</v>
      </c>
      <c r="V25" s="627" t="s">
        <v>25</v>
      </c>
      <c r="W25" s="628">
        <f>J25</f>
        <v>100</v>
      </c>
      <c r="X25" s="629"/>
      <c r="Y25" s="3685"/>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87"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88"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88"/>
      <c r="Q27" s="633" t="str">
        <f t="shared" si="11"/>
        <v>项目停车位配比</v>
      </c>
      <c r="R27" s="634" t="s">
        <v>25</v>
      </c>
      <c r="S27" s="635">
        <f t="shared" si="12"/>
        <v>100</v>
      </c>
      <c r="T27" s="634" t="s">
        <v>25</v>
      </c>
      <c r="U27" s="635">
        <f t="shared" si="13"/>
        <v>100</v>
      </c>
      <c r="V27" s="634" t="s">
        <v>25</v>
      </c>
      <c r="W27" s="635">
        <f t="shared" si="14"/>
        <v>100</v>
      </c>
      <c r="X27" s="636"/>
      <c r="Y27" s="3688"/>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88"/>
      <c r="Q28" s="1262" t="str">
        <f t="shared" si="11"/>
        <v>公共部分装修</v>
      </c>
      <c r="R28" s="631" t="s">
        <v>25</v>
      </c>
      <c r="S28" s="632">
        <f t="shared" si="12"/>
        <v>100</v>
      </c>
      <c r="T28" s="631" t="s">
        <v>25</v>
      </c>
      <c r="U28" s="632">
        <f t="shared" si="13"/>
        <v>100</v>
      </c>
      <c r="V28" s="631" t="s">
        <v>25</v>
      </c>
      <c r="W28" s="632">
        <f t="shared" si="14"/>
        <v>100</v>
      </c>
      <c r="X28" s="1263"/>
      <c r="Y28" s="3688"/>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88"/>
      <c r="Q29" s="1262" t="str">
        <f t="shared" si="11"/>
        <v>成新率</v>
      </c>
      <c r="R29" s="631" t="s">
        <v>25</v>
      </c>
      <c r="S29" s="632" t="e">
        <f t="shared" si="12"/>
        <v>#N/A</v>
      </c>
      <c r="T29" s="631" t="s">
        <v>25</v>
      </c>
      <c r="U29" s="632" t="e">
        <f t="shared" si="13"/>
        <v>#N/A</v>
      </c>
      <c r="V29" s="631" t="s">
        <v>25</v>
      </c>
      <c r="W29" s="632" t="e">
        <f t="shared" si="14"/>
        <v>#N/A</v>
      </c>
      <c r="X29" s="1263"/>
      <c r="Y29" s="3688"/>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88"/>
      <c r="Q30" s="1262" t="str">
        <f t="shared" si="11"/>
        <v>物业等级</v>
      </c>
      <c r="R30" s="631" t="s">
        <v>25</v>
      </c>
      <c r="S30" s="632">
        <f t="shared" si="12"/>
        <v>100</v>
      </c>
      <c r="T30" s="631" t="s">
        <v>25</v>
      </c>
      <c r="U30" s="632">
        <f t="shared" si="13"/>
        <v>100</v>
      </c>
      <c r="V30" s="631" t="s">
        <v>25</v>
      </c>
      <c r="W30" s="632">
        <f t="shared" si="14"/>
        <v>100</v>
      </c>
      <c r="X30" s="1263"/>
      <c r="Y30" s="3688"/>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88"/>
      <c r="Q31" s="1255" t="str">
        <f t="shared" si="11"/>
        <v>停车位面积</v>
      </c>
      <c r="R31" s="627" t="s">
        <v>25</v>
      </c>
      <c r="S31" s="628" t="e">
        <f t="shared" si="12"/>
        <v>#N/A</v>
      </c>
      <c r="T31" s="627" t="s">
        <v>25</v>
      </c>
      <c r="U31" s="628" t="e">
        <f t="shared" si="13"/>
        <v>#N/A</v>
      </c>
      <c r="V31" s="627" t="s">
        <v>25</v>
      </c>
      <c r="W31" s="628" t="e">
        <f t="shared" si="14"/>
        <v>#N/A</v>
      </c>
      <c r="X31" s="629"/>
      <c r="Y31" s="368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88" t="s">
        <v>2037</v>
      </c>
      <c r="Q32" s="1262" t="str">
        <f t="shared" si="11"/>
        <v>车位类型</v>
      </c>
      <c r="R32" s="631" t="s">
        <v>25</v>
      </c>
      <c r="S32" s="632">
        <f t="shared" si="12"/>
        <v>100</v>
      </c>
      <c r="T32" s="631" t="s">
        <v>25</v>
      </c>
      <c r="U32" s="632">
        <f t="shared" si="13"/>
        <v>100</v>
      </c>
      <c r="V32" s="631" t="s">
        <v>25</v>
      </c>
      <c r="W32" s="632">
        <f t="shared" si="14"/>
        <v>100</v>
      </c>
      <c r="X32" s="1263"/>
      <c r="Y32" s="3688"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88"/>
      <c r="Q33" s="1262" t="str">
        <f t="shared" si="11"/>
        <v>是否直接入户</v>
      </c>
      <c r="R33" s="631" t="s">
        <v>25</v>
      </c>
      <c r="S33" s="632">
        <f t="shared" si="12"/>
        <v>100</v>
      </c>
      <c r="T33" s="631" t="s">
        <v>25</v>
      </c>
      <c r="U33" s="632">
        <f t="shared" si="13"/>
        <v>100</v>
      </c>
      <c r="V33" s="631" t="s">
        <v>25</v>
      </c>
      <c r="W33" s="632">
        <f t="shared" si="14"/>
        <v>100</v>
      </c>
      <c r="X33" s="1263"/>
      <c r="Y33" s="368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88"/>
      <c r="Q34" s="1262">
        <f t="shared" si="11"/>
        <v>111</v>
      </c>
      <c r="R34" s="631" t="s">
        <v>25</v>
      </c>
      <c r="S34" s="632">
        <f t="shared" si="12"/>
        <v>100</v>
      </c>
      <c r="T34" s="631" t="s">
        <v>25</v>
      </c>
      <c r="U34" s="632">
        <f t="shared" si="13"/>
        <v>100</v>
      </c>
      <c r="V34" s="631" t="s">
        <v>25</v>
      </c>
      <c r="W34" s="632">
        <f t="shared" si="14"/>
        <v>100</v>
      </c>
      <c r="X34" s="1263"/>
      <c r="Y34" s="368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88"/>
      <c r="Q35" s="633">
        <f t="shared" si="11"/>
        <v>111</v>
      </c>
      <c r="R35" s="634" t="s">
        <v>25</v>
      </c>
      <c r="S35" s="635">
        <f t="shared" si="12"/>
        <v>100</v>
      </c>
      <c r="T35" s="634" t="s">
        <v>25</v>
      </c>
      <c r="U35" s="635">
        <f t="shared" si="13"/>
        <v>100</v>
      </c>
      <c r="V35" s="634" t="s">
        <v>25</v>
      </c>
      <c r="W35" s="635">
        <f t="shared" si="14"/>
        <v>100</v>
      </c>
      <c r="X35" s="636"/>
      <c r="Y35" s="368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88"/>
      <c r="Q36" s="1262">
        <f t="shared" si="11"/>
        <v>111</v>
      </c>
      <c r="R36" s="631" t="s">
        <v>25</v>
      </c>
      <c r="S36" s="632">
        <f t="shared" si="12"/>
        <v>100</v>
      </c>
      <c r="T36" s="631" t="s">
        <v>25</v>
      </c>
      <c r="U36" s="632">
        <f t="shared" si="13"/>
        <v>100</v>
      </c>
      <c r="V36" s="631" t="s">
        <v>25</v>
      </c>
      <c r="W36" s="632">
        <f t="shared" si="14"/>
        <v>100</v>
      </c>
      <c r="X36" s="1263"/>
      <c r="Y36" s="3688"/>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56" t="str">
        <f>A37</f>
        <v>成交单价</v>
      </c>
      <c r="Q37" s="3656"/>
      <c r="R37" s="3690">
        <f>E37</f>
        <v>0</v>
      </c>
      <c r="S37" s="3690"/>
      <c r="T37" s="3690">
        <f>G37</f>
        <v>0</v>
      </c>
      <c r="U37" s="3690"/>
      <c r="V37" s="3690">
        <f>I37</f>
        <v>0</v>
      </c>
      <c r="W37" s="3690"/>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56" t="str">
        <f>A38</f>
        <v>比较价值</v>
      </c>
      <c r="Q38" s="3656"/>
      <c r="R38" s="3690" t="e">
        <f>IF(E1="售价",ROUND(PRODUCT(R37,AA7:AA36),0),ROUND(PRODUCT(R37,AA7:AA36),1))</f>
        <v>#DIV/0!</v>
      </c>
      <c r="S38" s="3690"/>
      <c r="T38" s="3690" t="e">
        <f>IF(E1="售价",ROUND(PRODUCT(T37,AB7:AB36),0),ROUND(PRODUCT(T37,AB7:AB36),1))</f>
        <v>#DIV/0!</v>
      </c>
      <c r="U38" s="3690"/>
      <c r="V38" s="3690" t="e">
        <f>IF(E1="售价",ROUND(PRODUCT(V37,AC7:AC36),0),ROUND(PRODUCT(V37,AC7:AC36),1))</f>
        <v>#DIV/0!</v>
      </c>
      <c r="W38" s="3690"/>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91" t="str">
        <f>A39</f>
        <v>估价对象XX用房的比较价值（楼面单价，元/平方米）</v>
      </c>
      <c r="Q39" s="3692"/>
      <c r="R39" s="3693" t="e">
        <f>IF(E1="售价",ROUND(IF(D38="简单平均",AVERAGE(R38:W38),R38*F38+T38*H38+V38*J38),0),ROUND(IF(D38="简单平均",AVERAGE(R38:V38),R38*F38+T38*H38+V38*J38),1))</f>
        <v>#DIV/0!</v>
      </c>
      <c r="S39" s="3693"/>
      <c r="T39" s="3693"/>
      <c r="U39" s="3693"/>
      <c r="V39" s="3693"/>
      <c r="W39" s="3693"/>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D00-000000000000}">
      <formula1>土地年限区间</formula1>
    </dataValidation>
    <dataValidation type="list" allowBlank="1" showInputMessage="1" showErrorMessage="1" sqref="G17 C17 I17 E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C21 E21 G21 I21" xr:uid="{00000000-0002-0000-1D00-00000C000000}">
      <formula1>环境</formula1>
    </dataValidation>
    <dataValidation type="list" allowBlank="1" showInputMessage="1" showErrorMessage="1" sqref="B37" xr:uid="{00000000-0002-0000-1D00-00000D000000}">
      <formula1>"元/平方米,元/车位"</formula1>
    </dataValidation>
    <dataValidation type="list" allowBlank="1" showInputMessage="1" showErrorMessage="1" sqref="C1" xr:uid="{00000000-0002-0000-1D00-00000E000000}">
      <formula1>"估价对象,仅计算典型户型"</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E1" xr:uid="{00000000-0002-0000-1D00-000010000000}">
      <formula1>"售价,租金"</formula1>
    </dataValidation>
    <dataValidation type="list" allowBlank="1" showInputMessage="1" showErrorMessage="1" sqref="D2" xr:uid="{00000000-0002-0000-1D00-000011000000}">
      <formula1>"需扣减承租人权益,——"</formula1>
    </dataValidation>
    <dataValidation type="list" allowBlank="1" showInputMessage="1" showErrorMessage="1" sqref="G2" xr:uid="{00000000-0002-0000-1D00-000012000000}">
      <formula1>估价方法</formula1>
    </dataValidation>
    <dataValidation type="list" allowBlank="1" showInputMessage="1" showErrorMessage="1" sqref="D38" xr:uid="{00000000-0002-0000-1D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45.57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74" t="s">
        <v>2008</v>
      </c>
      <c r="S4" s="3675"/>
      <c r="T4" s="3674" t="s">
        <v>2009</v>
      </c>
      <c r="U4" s="3675"/>
      <c r="V4" s="3680" t="s">
        <v>2010</v>
      </c>
      <c r="W4" s="3680"/>
      <c r="X4" s="1263"/>
      <c r="Y4" s="3674" t="s">
        <v>2012</v>
      </c>
      <c r="Z4" s="3675"/>
      <c r="AA4" s="3661" t="s">
        <v>2008</v>
      </c>
      <c r="AB4" s="3662" t="s">
        <v>2009</v>
      </c>
      <c r="AC4" s="3661" t="s">
        <v>2010</v>
      </c>
    </row>
    <row r="5" spans="1:29" ht="15">
      <c r="A5" s="297"/>
      <c r="B5" s="298"/>
      <c r="C5" s="3657" t="s">
        <v>2013</v>
      </c>
      <c r="D5" s="3658"/>
      <c r="E5" s="3681" t="s">
        <v>2014</v>
      </c>
      <c r="F5" s="3682"/>
      <c r="G5" s="3657" t="s">
        <v>2015</v>
      </c>
      <c r="H5" s="3658"/>
      <c r="I5" s="3657" t="s">
        <v>2016</v>
      </c>
      <c r="J5" s="3658"/>
      <c r="K5" s="496"/>
      <c r="L5" s="2943"/>
      <c r="M5" s="2944"/>
      <c r="N5" s="2944"/>
      <c r="O5" s="2944"/>
      <c r="P5" s="3670"/>
      <c r="Q5" s="3671"/>
      <c r="R5" s="3676"/>
      <c r="S5" s="3677"/>
      <c r="T5" s="3676"/>
      <c r="U5" s="3677"/>
      <c r="V5" s="3680"/>
      <c r="W5" s="3680"/>
      <c r="X5" s="1263"/>
      <c r="Y5" s="3676"/>
      <c r="Z5" s="3677"/>
      <c r="AA5" s="3662"/>
      <c r="AB5" s="3662"/>
      <c r="AC5" s="3662"/>
    </row>
    <row r="6" spans="1:29" ht="15.75" thickBot="1">
      <c r="A6" s="299"/>
      <c r="B6" s="300"/>
      <c r="C6" s="3654" t="s">
        <v>2017</v>
      </c>
      <c r="D6" s="3655"/>
      <c r="E6" s="3652" t="s">
        <v>2017</v>
      </c>
      <c r="F6" s="3653"/>
      <c r="G6" s="3654" t="s">
        <v>2017</v>
      </c>
      <c r="H6" s="3655"/>
      <c r="I6" s="3654" t="s">
        <v>2017</v>
      </c>
      <c r="J6" s="3655"/>
      <c r="K6" s="496" t="s">
        <v>2018</v>
      </c>
      <c r="L6" s="2943"/>
      <c r="M6" s="2944"/>
      <c r="N6" s="2944"/>
      <c r="O6" s="2944"/>
      <c r="P6" s="3672"/>
      <c r="Q6" s="3673"/>
      <c r="R6" s="3676"/>
      <c r="S6" s="3677"/>
      <c r="T6" s="3678"/>
      <c r="U6" s="3679"/>
      <c r="V6" s="3680"/>
      <c r="W6" s="3680"/>
      <c r="X6" s="1263"/>
      <c r="Y6" s="3678"/>
      <c r="Z6" s="3679"/>
      <c r="AA6" s="3663"/>
      <c r="AB6" s="3663"/>
      <c r="AC6" s="3663"/>
    </row>
    <row r="7" spans="1:29" s="25" customFormat="1" ht="15.75" thickBot="1">
      <c r="A7" s="301" t="s">
        <v>2019</v>
      </c>
      <c r="B7" s="302"/>
      <c r="C7" s="303">
        <f>'数据-取费表'!B2</f>
        <v>44810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9" t="s">
        <v>2020</v>
      </c>
      <c r="Q7" s="3683"/>
      <c r="R7" s="627" t="s">
        <v>25</v>
      </c>
      <c r="S7" s="628">
        <f t="shared" ref="S7:S14" si="0">F7</f>
        <v>0</v>
      </c>
      <c r="T7" s="627" t="s">
        <v>25</v>
      </c>
      <c r="U7" s="628">
        <f t="shared" ref="U7:U14" si="1">H7</f>
        <v>0</v>
      </c>
      <c r="V7" s="627" t="s">
        <v>25</v>
      </c>
      <c r="W7" s="628">
        <f t="shared" ref="W7:W14" si="2">J7</f>
        <v>0</v>
      </c>
      <c r="X7" s="629"/>
      <c r="Y7" s="3659" t="s">
        <v>2020</v>
      </c>
      <c r="Z7" s="366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9" t="s">
        <v>2023</v>
      </c>
      <c r="Q8" s="3660"/>
      <c r="R8" s="627" t="s">
        <v>25</v>
      </c>
      <c r="S8" s="628">
        <f t="shared" si="0"/>
        <v>0</v>
      </c>
      <c r="T8" s="627" t="s">
        <v>25</v>
      </c>
      <c r="U8" s="628">
        <f t="shared" si="1"/>
        <v>0</v>
      </c>
      <c r="V8" s="627" t="s">
        <v>25</v>
      </c>
      <c r="W8" s="628">
        <f t="shared" si="2"/>
        <v>0</v>
      </c>
      <c r="X8" s="629"/>
      <c r="Y8" s="3659" t="s">
        <v>2023</v>
      </c>
      <c r="Z8" s="366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56" t="s">
        <v>2026</v>
      </c>
      <c r="Q9" s="1255" t="str">
        <f t="shared" ref="Q9:Q14" si="6">B9</f>
        <v>用途</v>
      </c>
      <c r="R9" s="627" t="s">
        <v>25</v>
      </c>
      <c r="S9" s="628">
        <f t="shared" si="0"/>
        <v>100</v>
      </c>
      <c r="T9" s="627" t="s">
        <v>25</v>
      </c>
      <c r="U9" s="628">
        <f t="shared" si="1"/>
        <v>100</v>
      </c>
      <c r="V9" s="627" t="s">
        <v>25</v>
      </c>
      <c r="W9" s="628">
        <f t="shared" si="2"/>
        <v>100</v>
      </c>
      <c r="X9" s="629"/>
      <c r="Y9" s="3686"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56"/>
      <c r="Q10" s="1255"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56"/>
      <c r="Q11" s="1255">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56"/>
      <c r="Q12" s="1255">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56"/>
      <c r="Q13" s="1255">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71">
      <c r="A14" s="329" t="s">
        <v>2030</v>
      </c>
      <c r="B14" s="22" t="s">
        <v>2168</v>
      </c>
      <c r="C14" s="1509" t="str">
        <f>IF(B1="工业",估价对象房地状况!G4,估价对象房地状况!C6)</f>
        <v>估价对象距离地铁2号线朝阳门站约900米、距离地铁6号线东大桥站约900米，周边有75路、101路、109路、110路、139路、615路等公交通过并设站，综合评价交通便捷度较好。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84" t="s">
        <v>2031</v>
      </c>
      <c r="Q14" s="1262" t="str">
        <f t="shared" si="6"/>
        <v>交通便捷度</v>
      </c>
      <c r="R14" s="631" t="s">
        <v>25</v>
      </c>
      <c r="S14" s="632">
        <f t="shared" si="0"/>
        <v>100</v>
      </c>
      <c r="T14" s="631" t="s">
        <v>25</v>
      </c>
      <c r="U14" s="632">
        <f t="shared" si="1"/>
        <v>100</v>
      </c>
      <c r="V14" s="631" t="s">
        <v>25</v>
      </c>
      <c r="W14" s="632">
        <f t="shared" si="2"/>
        <v>100</v>
      </c>
      <c r="X14" s="1263"/>
      <c r="Y14" s="3684"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85"/>
      <c r="Q15" s="1262"/>
      <c r="R15" s="631"/>
      <c r="S15" s="632"/>
      <c r="T15" s="631"/>
      <c r="U15" s="632"/>
      <c r="V15" s="631"/>
      <c r="W15" s="632"/>
      <c r="X15" s="1263"/>
      <c r="Y15" s="3685"/>
      <c r="Z15" s="1264"/>
      <c r="AA15" s="1265">
        <v>1</v>
      </c>
      <c r="AB15" s="1265">
        <v>1</v>
      </c>
      <c r="AC15" s="1265">
        <v>1</v>
      </c>
    </row>
    <row r="16" spans="1:29" ht="285">
      <c r="A16" s="318"/>
      <c r="B16" s="513" t="s">
        <v>2146</v>
      </c>
      <c r="C16" s="1495" t="str">
        <f>IF(B1="工业",估价对象房地状况!G5,估价对象房地状况!C7)</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85"/>
      <c r="Q16" s="1262" t="str">
        <f>B16</f>
        <v>公共配套设施</v>
      </c>
      <c r="R16" s="631" t="s">
        <v>25</v>
      </c>
      <c r="S16" s="632">
        <f>F16</f>
        <v>100</v>
      </c>
      <c r="T16" s="631" t="s">
        <v>25</v>
      </c>
      <c r="U16" s="632">
        <f>H16</f>
        <v>100</v>
      </c>
      <c r="V16" s="631" t="s">
        <v>25</v>
      </c>
      <c r="W16" s="632">
        <f>J16</f>
        <v>100</v>
      </c>
      <c r="X16" s="1263"/>
      <c r="Y16" s="368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85"/>
      <c r="Q17" s="1262"/>
      <c r="R17" s="631"/>
      <c r="S17" s="632"/>
      <c r="T17" s="631"/>
      <c r="U17" s="632"/>
      <c r="V17" s="631"/>
      <c r="W17" s="632"/>
      <c r="X17" s="1263"/>
      <c r="Y17" s="3685"/>
      <c r="Z17" s="1264"/>
      <c r="AA17" s="1265">
        <v>1</v>
      </c>
      <c r="AB17" s="1265">
        <v>1</v>
      </c>
      <c r="AC17" s="1265">
        <v>1</v>
      </c>
    </row>
    <row r="18" spans="1:29" ht="42.75">
      <c r="A18" s="318"/>
      <c r="B18" s="515" t="s">
        <v>2147</v>
      </c>
      <c r="C18" s="1495"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85"/>
      <c r="Q18" s="1262" t="str">
        <f>B18</f>
        <v>基础设施水平</v>
      </c>
      <c r="R18" s="631" t="s">
        <v>25</v>
      </c>
      <c r="S18" s="632">
        <f>F18</f>
        <v>100</v>
      </c>
      <c r="T18" s="631" t="s">
        <v>25</v>
      </c>
      <c r="U18" s="632">
        <f>H18</f>
        <v>100</v>
      </c>
      <c r="V18" s="631" t="s">
        <v>25</v>
      </c>
      <c r="W18" s="632">
        <f>J18</f>
        <v>100</v>
      </c>
      <c r="X18" s="1263"/>
      <c r="Y18" s="368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85"/>
      <c r="Q19" s="1262"/>
      <c r="R19" s="631"/>
      <c r="S19" s="632"/>
      <c r="T19" s="631"/>
      <c r="U19" s="632"/>
      <c r="V19" s="631"/>
      <c r="W19" s="632"/>
      <c r="X19" s="1263"/>
      <c r="Y19" s="3685"/>
      <c r="Z19" s="1264"/>
      <c r="AA19" s="1265">
        <v>1</v>
      </c>
      <c r="AB19" s="1265">
        <v>1</v>
      </c>
      <c r="AC19" s="1265">
        <v>1</v>
      </c>
    </row>
    <row r="20" spans="1:29" ht="99.75">
      <c r="A20" s="318"/>
      <c r="B20" s="340" t="s">
        <v>2169</v>
      </c>
      <c r="C20" s="1495" t="str">
        <f>IF(B1="工业",估价对象房地状况!G7,估价对象房地状况!C9)</f>
        <v>周边有日坛公园、北京工人体育场、北京工体富国海底世界等自然人文环境，综合评价环境状况较好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85"/>
      <c r="Q20" s="1262" t="str">
        <f>B20</f>
        <v>自然及人文环境</v>
      </c>
      <c r="R20" s="631" t="s">
        <v>25</v>
      </c>
      <c r="S20" s="632">
        <f>F20</f>
        <v>100</v>
      </c>
      <c r="T20" s="631" t="s">
        <v>25</v>
      </c>
      <c r="U20" s="632">
        <f>H20</f>
        <v>100</v>
      </c>
      <c r="V20" s="631" t="s">
        <v>25</v>
      </c>
      <c r="W20" s="632">
        <f>J20</f>
        <v>100</v>
      </c>
      <c r="X20" s="1263"/>
      <c r="Y20" s="368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85"/>
      <c r="Q21" s="1262"/>
      <c r="R21" s="631"/>
      <c r="S21" s="632"/>
      <c r="T21" s="631"/>
      <c r="U21" s="632"/>
      <c r="V21" s="631"/>
      <c r="W21" s="632"/>
      <c r="X21" s="1263"/>
      <c r="Y21" s="3685"/>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85"/>
      <c r="Q22" s="1262" t="str">
        <f>B22</f>
        <v>楼层</v>
      </c>
      <c r="R22" s="631" t="s">
        <v>25</v>
      </c>
      <c r="S22" s="632">
        <f>F22</f>
        <v>100</v>
      </c>
      <c r="T22" s="631" t="s">
        <v>25</v>
      </c>
      <c r="U22" s="632">
        <f>H22</f>
        <v>100</v>
      </c>
      <c r="V22" s="631" t="s">
        <v>25</v>
      </c>
      <c r="W22" s="632">
        <f>J22</f>
        <v>100</v>
      </c>
      <c r="X22" s="1263"/>
      <c r="Y22" s="3685"/>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85"/>
      <c r="Q23" s="1262">
        <f>B23</f>
        <v>111</v>
      </c>
      <c r="R23" s="631" t="s">
        <v>25</v>
      </c>
      <c r="S23" s="632">
        <f>F23</f>
        <v>100</v>
      </c>
      <c r="T23" s="631" t="s">
        <v>25</v>
      </c>
      <c r="U23" s="632">
        <f>H23</f>
        <v>100</v>
      </c>
      <c r="V23" s="631" t="s">
        <v>25</v>
      </c>
      <c r="W23" s="632">
        <f>J23</f>
        <v>100</v>
      </c>
      <c r="X23" s="1263"/>
      <c r="Y23" s="3685"/>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85"/>
      <c r="Q24" s="1262">
        <f t="shared" ref="Q24:Q34" si="11">B24</f>
        <v>111</v>
      </c>
      <c r="R24" s="631" t="s">
        <v>25</v>
      </c>
      <c r="S24" s="632">
        <f>F24</f>
        <v>100</v>
      </c>
      <c r="T24" s="631" t="s">
        <v>25</v>
      </c>
      <c r="U24" s="632">
        <f>H24</f>
        <v>100</v>
      </c>
      <c r="V24" s="631" t="s">
        <v>25</v>
      </c>
      <c r="W24" s="632">
        <f>J24</f>
        <v>100</v>
      </c>
      <c r="X24" s="1263"/>
      <c r="Y24" s="3685"/>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85"/>
      <c r="Q25" s="1255">
        <f t="shared" si="11"/>
        <v>111</v>
      </c>
      <c r="R25" s="627" t="s">
        <v>25</v>
      </c>
      <c r="S25" s="628">
        <f>F25</f>
        <v>100</v>
      </c>
      <c r="T25" s="627" t="s">
        <v>25</v>
      </c>
      <c r="U25" s="628">
        <f>H25</f>
        <v>100</v>
      </c>
      <c r="V25" s="627" t="s">
        <v>25</v>
      </c>
      <c r="W25" s="628">
        <f>J25</f>
        <v>100</v>
      </c>
      <c r="X25" s="629"/>
      <c r="Y25" s="3685"/>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87"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88"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88"/>
      <c r="Q27" s="633" t="str">
        <f t="shared" si="11"/>
        <v>成新率</v>
      </c>
      <c r="R27" s="634" t="s">
        <v>25</v>
      </c>
      <c r="S27" s="635" t="e">
        <f t="shared" si="12"/>
        <v>#N/A</v>
      </c>
      <c r="T27" s="634" t="s">
        <v>25</v>
      </c>
      <c r="U27" s="635" t="e">
        <f t="shared" si="13"/>
        <v>#N/A</v>
      </c>
      <c r="V27" s="634" t="s">
        <v>25</v>
      </c>
      <c r="W27" s="635" t="e">
        <f t="shared" si="14"/>
        <v>#N/A</v>
      </c>
      <c r="X27" s="636"/>
      <c r="Y27" s="3688"/>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88"/>
      <c r="Q28" s="1262" t="str">
        <f t="shared" si="11"/>
        <v>物业等级</v>
      </c>
      <c r="R28" s="631" t="s">
        <v>25</v>
      </c>
      <c r="S28" s="632">
        <f t="shared" si="12"/>
        <v>100</v>
      </c>
      <c r="T28" s="631" t="s">
        <v>25</v>
      </c>
      <c r="U28" s="632">
        <f t="shared" si="13"/>
        <v>100</v>
      </c>
      <c r="V28" s="631" t="s">
        <v>25</v>
      </c>
      <c r="W28" s="632">
        <f t="shared" si="14"/>
        <v>100</v>
      </c>
      <c r="X28" s="1263"/>
      <c r="Y28" s="3688"/>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88"/>
      <c r="Q29" s="1262" t="str">
        <f t="shared" si="11"/>
        <v>有无电梯</v>
      </c>
      <c r="R29" s="631" t="s">
        <v>25</v>
      </c>
      <c r="S29" s="632">
        <f t="shared" si="12"/>
        <v>100</v>
      </c>
      <c r="T29" s="631" t="s">
        <v>25</v>
      </c>
      <c r="U29" s="632">
        <f t="shared" si="13"/>
        <v>100</v>
      </c>
      <c r="V29" s="631" t="s">
        <v>25</v>
      </c>
      <c r="W29" s="632">
        <f t="shared" si="14"/>
        <v>100</v>
      </c>
      <c r="X29" s="1263"/>
      <c r="Y29" s="3688"/>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88"/>
      <c r="Q30" s="1262" t="str">
        <f t="shared" si="11"/>
        <v>建筑面积</v>
      </c>
      <c r="R30" s="631" t="s">
        <v>25</v>
      </c>
      <c r="S30" s="632" t="e">
        <f t="shared" si="12"/>
        <v>#N/A</v>
      </c>
      <c r="T30" s="631" t="s">
        <v>25</v>
      </c>
      <c r="U30" s="632" t="e">
        <f t="shared" si="13"/>
        <v>#N/A</v>
      </c>
      <c r="V30" s="631" t="s">
        <v>25</v>
      </c>
      <c r="W30" s="632" t="e">
        <f t="shared" si="14"/>
        <v>#N/A</v>
      </c>
      <c r="X30" s="1263"/>
      <c r="Y30" s="3688"/>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88"/>
      <c r="Q31" s="1255" t="str">
        <f t="shared" si="11"/>
        <v>是否封闭</v>
      </c>
      <c r="R31" s="627" t="s">
        <v>25</v>
      </c>
      <c r="S31" s="628">
        <f t="shared" si="12"/>
        <v>100</v>
      </c>
      <c r="T31" s="627" t="s">
        <v>25</v>
      </c>
      <c r="U31" s="628">
        <f t="shared" si="13"/>
        <v>100</v>
      </c>
      <c r="V31" s="627" t="s">
        <v>25</v>
      </c>
      <c r="W31" s="628">
        <f t="shared" si="14"/>
        <v>100</v>
      </c>
      <c r="X31" s="629"/>
      <c r="Y31" s="368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88" t="s">
        <v>2037</v>
      </c>
      <c r="Q32" s="1262">
        <f t="shared" si="11"/>
        <v>111</v>
      </c>
      <c r="R32" s="631" t="s">
        <v>25</v>
      </c>
      <c r="S32" s="632">
        <f t="shared" si="12"/>
        <v>100</v>
      </c>
      <c r="T32" s="631" t="s">
        <v>25</v>
      </c>
      <c r="U32" s="632">
        <f t="shared" si="13"/>
        <v>100</v>
      </c>
      <c r="V32" s="631" t="s">
        <v>25</v>
      </c>
      <c r="W32" s="632">
        <f t="shared" si="14"/>
        <v>100</v>
      </c>
      <c r="X32" s="1263"/>
      <c r="Y32" s="3688"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88"/>
      <c r="Q33" s="1262">
        <f t="shared" si="11"/>
        <v>111</v>
      </c>
      <c r="R33" s="631" t="s">
        <v>25</v>
      </c>
      <c r="S33" s="632">
        <f t="shared" si="12"/>
        <v>100</v>
      </c>
      <c r="T33" s="631" t="s">
        <v>25</v>
      </c>
      <c r="U33" s="632">
        <f t="shared" si="13"/>
        <v>100</v>
      </c>
      <c r="V33" s="631" t="s">
        <v>25</v>
      </c>
      <c r="W33" s="632">
        <f t="shared" si="14"/>
        <v>100</v>
      </c>
      <c r="X33" s="1263"/>
      <c r="Y33" s="368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88"/>
      <c r="Q34" s="1262">
        <f t="shared" si="11"/>
        <v>111</v>
      </c>
      <c r="R34" s="631" t="s">
        <v>25</v>
      </c>
      <c r="S34" s="632">
        <f t="shared" si="12"/>
        <v>100</v>
      </c>
      <c r="T34" s="631" t="s">
        <v>25</v>
      </c>
      <c r="U34" s="632">
        <f t="shared" si="13"/>
        <v>100</v>
      </c>
      <c r="V34" s="631" t="s">
        <v>25</v>
      </c>
      <c r="W34" s="632">
        <f t="shared" si="14"/>
        <v>100</v>
      </c>
      <c r="X34" s="1263"/>
      <c r="Y34" s="3688"/>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56" t="str">
        <f>A35</f>
        <v>成交单价（元/平方米）</v>
      </c>
      <c r="Q35" s="3656"/>
      <c r="R35" s="3690">
        <f>E35</f>
        <v>0</v>
      </c>
      <c r="S35" s="3690"/>
      <c r="T35" s="3690">
        <f>G35</f>
        <v>0</v>
      </c>
      <c r="U35" s="3690"/>
      <c r="V35" s="3690">
        <f>I35</f>
        <v>0</v>
      </c>
      <c r="W35" s="3690"/>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56" t="str">
        <f>A36</f>
        <v>比较价值（元/平方米）</v>
      </c>
      <c r="Q36" s="3656"/>
      <c r="R36" s="3690" t="e">
        <f>IF(E1="售价",ROUND(PRODUCT(R35,AA7:AA34),0),ROUND(PRODUCT(R35,AA7:AA34),1))</f>
        <v>#DIV/0!</v>
      </c>
      <c r="S36" s="3690"/>
      <c r="T36" s="3690" t="e">
        <f>IF(E1="售价",ROUND(PRODUCT(T35,AB7:AB34),0),ROUND(PRODUCT(T35,AB7:AB34),1))</f>
        <v>#DIV/0!</v>
      </c>
      <c r="U36" s="3690"/>
      <c r="V36" s="3690" t="e">
        <f>IF(E1="售价",ROUND(PRODUCT(V35,AC7:AC34),0),ROUND(PRODUCT(V35,AC7:AC34),1))</f>
        <v>#DIV/0!</v>
      </c>
      <c r="W36" s="3690"/>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91" t="str">
        <f>A37</f>
        <v>估价对象XX用房的比较价值（楼面单价，元/平方米）</v>
      </c>
      <c r="Q37" s="3692"/>
      <c r="R37" s="3693" t="e">
        <f>IF(E1="售价",ROUND(IF(D36="简单平均",AVERAGE(R36:W36),R36*F36+T36*H36+V36*J36),0),ROUND(IF(D36="简单平均",AVERAGE(R36:V36),R36*F36+T36*H36+V36*J36),1))</f>
        <v>#DIV/0!</v>
      </c>
      <c r="S37" s="3693"/>
      <c r="T37" s="3693"/>
      <c r="U37" s="3693"/>
      <c r="V37" s="3693"/>
      <c r="W37" s="3693"/>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I17 E17" xr:uid="{00000000-0002-0000-1E00-000001000000}">
      <formula1>公共配套设施</formula1>
    </dataValidation>
    <dataValidation type="list" allowBlank="1" showInputMessage="1" showErrorMessage="1" sqref="C10 E10 G10 I10" xr:uid="{00000000-0002-0000-1E00-000002000000}">
      <formula1>土地年限区间</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 xr:uid="{00000000-0002-0000-1E00-00000C000000}">
      <formula1>"估价对象,仅计算典型户型"</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E1" xr:uid="{00000000-0002-0000-1E00-00000E000000}">
      <formula1>"售价,租金"</formula1>
    </dataValidation>
    <dataValidation type="list" allowBlank="1" showInputMessage="1" showErrorMessage="1" sqref="D2" xr:uid="{00000000-0002-0000-1E00-00000F000000}">
      <formula1>"需扣减承租人权益,——"</formula1>
    </dataValidation>
    <dataValidation type="list" allowBlank="1" showInputMessage="1" showErrorMessage="1" sqref="G2" xr:uid="{00000000-0002-0000-1E00-000010000000}">
      <formula1>估价方法</formula1>
    </dataValidation>
    <dataValidation type="list" allowBlank="1" showInputMessage="1" showErrorMessage="1" sqref="D36"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03" t="s">
        <v>2007</v>
      </c>
      <c r="D4" s="3604"/>
      <c r="E4" s="3605" t="s">
        <v>2008</v>
      </c>
      <c r="F4" s="3606"/>
      <c r="G4" s="3603" t="s">
        <v>2009</v>
      </c>
      <c r="H4" s="3604"/>
      <c r="I4" s="3603" t="s">
        <v>2010</v>
      </c>
      <c r="J4" s="3604"/>
      <c r="K4" s="1894" t="s">
        <v>2011</v>
      </c>
      <c r="L4" s="2915"/>
      <c r="M4" s="2916"/>
      <c r="N4" s="2916"/>
      <c r="O4" s="2916"/>
      <c r="P4" s="3607" t="s">
        <v>2012</v>
      </c>
      <c r="Q4" s="3608"/>
      <c r="R4" s="3613" t="s">
        <v>2008</v>
      </c>
      <c r="S4" s="3614"/>
      <c r="T4" s="3613" t="s">
        <v>2009</v>
      </c>
      <c r="U4" s="3614"/>
      <c r="V4" s="3619" t="s">
        <v>2010</v>
      </c>
      <c r="W4" s="3619"/>
      <c r="X4" s="1594"/>
      <c r="Y4" s="3613" t="s">
        <v>2012</v>
      </c>
      <c r="Z4" s="3614"/>
      <c r="AA4" s="3600" t="s">
        <v>2008</v>
      </c>
      <c r="AB4" s="3601" t="s">
        <v>2009</v>
      </c>
      <c r="AC4" s="3600" t="s">
        <v>2010</v>
      </c>
    </row>
    <row r="5" spans="1:30" ht="15">
      <c r="A5" s="1596"/>
      <c r="B5" s="1597"/>
      <c r="C5" s="3622" t="s">
        <v>2013</v>
      </c>
      <c r="D5" s="3623"/>
      <c r="E5" s="3620" t="s">
        <v>2014</v>
      </c>
      <c r="F5" s="3621"/>
      <c r="G5" s="3622" t="s">
        <v>2015</v>
      </c>
      <c r="H5" s="3623"/>
      <c r="I5" s="3622" t="s">
        <v>2016</v>
      </c>
      <c r="J5" s="3623"/>
      <c r="K5" s="1894"/>
      <c r="L5" s="2915"/>
      <c r="M5" s="2916"/>
      <c r="N5" s="2916"/>
      <c r="O5" s="2916"/>
      <c r="P5" s="3609"/>
      <c r="Q5" s="3610"/>
      <c r="R5" s="3615"/>
      <c r="S5" s="3616"/>
      <c r="T5" s="3615"/>
      <c r="U5" s="3616"/>
      <c r="V5" s="3619"/>
      <c r="W5" s="3619"/>
      <c r="X5" s="1594"/>
      <c r="Y5" s="3615"/>
      <c r="Z5" s="3616"/>
      <c r="AA5" s="3601"/>
      <c r="AB5" s="3601"/>
      <c r="AC5" s="3601"/>
    </row>
    <row r="6" spans="1:30" ht="15.75" thickBot="1">
      <c r="A6" s="1599"/>
      <c r="B6" s="1600"/>
      <c r="C6" s="3624" t="s">
        <v>2017</v>
      </c>
      <c r="D6" s="3625"/>
      <c r="E6" s="3626" t="s">
        <v>2017</v>
      </c>
      <c r="F6" s="3627"/>
      <c r="G6" s="3624" t="s">
        <v>2017</v>
      </c>
      <c r="H6" s="3625"/>
      <c r="I6" s="3624" t="s">
        <v>2017</v>
      </c>
      <c r="J6" s="3625"/>
      <c r="K6" s="1894" t="s">
        <v>2018</v>
      </c>
      <c r="L6" s="2915"/>
      <c r="M6" s="2916"/>
      <c r="N6" s="2916"/>
      <c r="O6" s="2916"/>
      <c r="P6" s="3611"/>
      <c r="Q6" s="3612"/>
      <c r="R6" s="3615"/>
      <c r="S6" s="3616"/>
      <c r="T6" s="3617"/>
      <c r="U6" s="3618"/>
      <c r="V6" s="3619"/>
      <c r="W6" s="3619"/>
      <c r="X6" s="1594"/>
      <c r="Y6" s="3617"/>
      <c r="Z6" s="3618"/>
      <c r="AA6" s="3602"/>
      <c r="AB6" s="3602"/>
      <c r="AC6" s="3602"/>
    </row>
    <row r="7" spans="1:30" s="1613" customFormat="1" ht="15.75" thickBot="1">
      <c r="A7" s="1601" t="s">
        <v>2019</v>
      </c>
      <c r="B7" s="1602"/>
      <c r="C7" s="1603">
        <f>'数据-取费表'!B2</f>
        <v>44810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35" t="s">
        <v>2020</v>
      </c>
      <c r="Q7" s="3637"/>
      <c r="R7" s="1609" t="s">
        <v>25</v>
      </c>
      <c r="S7" s="1610">
        <f t="shared" ref="S7:S15" si="0">F7</f>
        <v>0</v>
      </c>
      <c r="T7" s="1609" t="s">
        <v>25</v>
      </c>
      <c r="U7" s="1610">
        <f t="shared" ref="U7:U15" si="1">H7</f>
        <v>0</v>
      </c>
      <c r="V7" s="1609" t="s">
        <v>25</v>
      </c>
      <c r="W7" s="1610">
        <f t="shared" ref="W7:W15" si="2">J7</f>
        <v>0</v>
      </c>
      <c r="X7" s="1611"/>
      <c r="Y7" s="3635" t="s">
        <v>2020</v>
      </c>
      <c r="Z7" s="3636"/>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35" t="s">
        <v>2023</v>
      </c>
      <c r="Q8" s="3636"/>
      <c r="R8" s="1609" t="s">
        <v>25</v>
      </c>
      <c r="S8" s="1610">
        <f t="shared" si="0"/>
        <v>0</v>
      </c>
      <c r="T8" s="1609" t="s">
        <v>25</v>
      </c>
      <c r="U8" s="1610">
        <f t="shared" si="1"/>
        <v>0</v>
      </c>
      <c r="V8" s="1609" t="s">
        <v>25</v>
      </c>
      <c r="W8" s="1610">
        <f t="shared" si="2"/>
        <v>0</v>
      </c>
      <c r="X8" s="1611"/>
      <c r="Y8" s="3635" t="s">
        <v>2023</v>
      </c>
      <c r="Z8" s="3636"/>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39" t="s">
        <v>2026</v>
      </c>
      <c r="Q9" s="1563" t="str">
        <f t="shared" ref="Q9:Q15" si="6">B9</f>
        <v>用途</v>
      </c>
      <c r="R9" s="1609" t="s">
        <v>25</v>
      </c>
      <c r="S9" s="1610">
        <f t="shared" si="0"/>
        <v>100</v>
      </c>
      <c r="T9" s="1609" t="s">
        <v>25</v>
      </c>
      <c r="U9" s="1610">
        <f t="shared" si="1"/>
        <v>100</v>
      </c>
      <c r="V9" s="1609" t="s">
        <v>25</v>
      </c>
      <c r="W9" s="1610">
        <f t="shared" si="2"/>
        <v>100</v>
      </c>
      <c r="X9" s="1611"/>
      <c r="Y9" s="3503"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122</v>
      </c>
      <c r="G10" s="1686"/>
      <c r="H10" s="1626">
        <f>ROUND(100/'数据-取费表'!B14,0)</f>
        <v>122</v>
      </c>
      <c r="I10" s="1686"/>
      <c r="J10" s="1626">
        <f>ROUND(100/'数据-取费表'!B14,0)</f>
        <v>122</v>
      </c>
      <c r="K10" s="1898"/>
      <c r="L10" s="2917"/>
      <c r="M10" s="2918"/>
      <c r="N10" s="2918"/>
      <c r="O10" s="2963"/>
      <c r="P10" s="3639"/>
      <c r="Q10" s="1563" t="str">
        <f t="shared" si="6"/>
        <v>土地使用年限（年）</v>
      </c>
      <c r="R10" s="1609" t="s">
        <v>25</v>
      </c>
      <c r="S10" s="1610">
        <f t="shared" si="0"/>
        <v>122</v>
      </c>
      <c r="T10" s="1609" t="s">
        <v>25</v>
      </c>
      <c r="U10" s="1610">
        <f t="shared" si="1"/>
        <v>122</v>
      </c>
      <c r="V10" s="1609" t="s">
        <v>25</v>
      </c>
      <c r="W10" s="1610">
        <f t="shared" si="2"/>
        <v>122</v>
      </c>
      <c r="X10" s="1611"/>
      <c r="Y10" s="3503"/>
      <c r="Z10" s="1622" t="str">
        <f t="shared" si="7"/>
        <v>土地使用年限（年）</v>
      </c>
      <c r="AA10" s="1612">
        <f t="shared" si="3"/>
        <v>0.81967213114754101</v>
      </c>
      <c r="AB10" s="1612">
        <f t="shared" si="4"/>
        <v>0.81967213114754101</v>
      </c>
      <c r="AC10" s="1612">
        <f t="shared" si="5"/>
        <v>0.81967213114754101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39"/>
      <c r="Q11" s="1563" t="str">
        <f t="shared" si="6"/>
        <v>容积率</v>
      </c>
      <c r="R11" s="1609" t="s">
        <v>25</v>
      </c>
      <c r="S11" s="1610" t="e">
        <f t="shared" si="0"/>
        <v>#N/A</v>
      </c>
      <c r="T11" s="1609" t="s">
        <v>25</v>
      </c>
      <c r="U11" s="1610" t="e">
        <f t="shared" si="1"/>
        <v>#N/A</v>
      </c>
      <c r="V11" s="1609" t="s">
        <v>25</v>
      </c>
      <c r="W11" s="1610" t="e">
        <f t="shared" si="2"/>
        <v>#N/A</v>
      </c>
      <c r="X11" s="1611"/>
      <c r="Y11" s="3503"/>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39"/>
      <c r="Q12" s="1563" t="str">
        <f t="shared" si="6"/>
        <v>配建</v>
      </c>
      <c r="R12" s="1609" t="s">
        <v>25</v>
      </c>
      <c r="S12" s="1610">
        <f t="shared" si="0"/>
        <v>100</v>
      </c>
      <c r="T12" s="1609" t="s">
        <v>25</v>
      </c>
      <c r="U12" s="1610">
        <f t="shared" si="1"/>
        <v>100</v>
      </c>
      <c r="V12" s="1609" t="s">
        <v>25</v>
      </c>
      <c r="W12" s="1610">
        <f t="shared" si="2"/>
        <v>100</v>
      </c>
      <c r="X12" s="1611"/>
      <c r="Y12" s="3503"/>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39"/>
      <c r="Q13" s="1563">
        <f t="shared" si="6"/>
        <v>111</v>
      </c>
      <c r="R13" s="1609" t="s">
        <v>25</v>
      </c>
      <c r="S13" s="1610">
        <f t="shared" si="0"/>
        <v>100</v>
      </c>
      <c r="T13" s="1609" t="s">
        <v>25</v>
      </c>
      <c r="U13" s="1610">
        <f t="shared" si="1"/>
        <v>100</v>
      </c>
      <c r="V13" s="1609" t="s">
        <v>25</v>
      </c>
      <c r="W13" s="1610">
        <f t="shared" si="2"/>
        <v>100</v>
      </c>
      <c r="X13" s="1611"/>
      <c r="Y13" s="3503"/>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39"/>
      <c r="Q14" s="1563">
        <f t="shared" si="6"/>
        <v>111</v>
      </c>
      <c r="R14" s="1609" t="s">
        <v>25</v>
      </c>
      <c r="S14" s="1610">
        <f t="shared" si="0"/>
        <v>100</v>
      </c>
      <c r="T14" s="1609" t="s">
        <v>25</v>
      </c>
      <c r="U14" s="1610">
        <f t="shared" si="1"/>
        <v>100</v>
      </c>
      <c r="V14" s="1609" t="s">
        <v>25</v>
      </c>
      <c r="W14" s="1610">
        <f t="shared" si="2"/>
        <v>100</v>
      </c>
      <c r="X14" s="1611"/>
      <c r="Y14" s="3503"/>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28" t="s">
        <v>2031</v>
      </c>
      <c r="Q15" s="1544" t="str">
        <f t="shared" si="6"/>
        <v>居住社区成熟度</v>
      </c>
      <c r="R15" s="1654" t="s">
        <v>25</v>
      </c>
      <c r="S15" s="1655">
        <f t="shared" si="0"/>
        <v>100</v>
      </c>
      <c r="T15" s="1654" t="s">
        <v>25</v>
      </c>
      <c r="U15" s="1655">
        <f t="shared" si="1"/>
        <v>100</v>
      </c>
      <c r="V15" s="1654" t="s">
        <v>25</v>
      </c>
      <c r="W15" s="1655">
        <f t="shared" si="2"/>
        <v>100</v>
      </c>
      <c r="X15" s="1594"/>
      <c r="Y15" s="3628"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29"/>
      <c r="Q16" s="1544"/>
      <c r="R16" s="1654"/>
      <c r="S16" s="1655"/>
      <c r="T16" s="1654"/>
      <c r="U16" s="1655"/>
      <c r="V16" s="1654"/>
      <c r="W16" s="1655"/>
      <c r="X16" s="1594"/>
      <c r="Y16" s="3629"/>
      <c r="Z16" s="1656"/>
      <c r="AA16" s="1657">
        <v>1</v>
      </c>
      <c r="AB16" s="1657">
        <v>1</v>
      </c>
      <c r="AC16" s="1657">
        <v>1</v>
      </c>
    </row>
    <row r="17" spans="1:29" ht="99.75">
      <c r="A17" s="1596"/>
      <c r="B17" s="1905" t="s">
        <v>2116</v>
      </c>
      <c r="C17" s="1906" t="str">
        <f>估价对象房地状况!C16</f>
        <v>估价对象位于朝阳区朝外商圈，周边有悠唐购物中心、丰联广场、侨福芳草地等商业为主，商业繁华度较好。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29"/>
      <c r="Q17" s="1544" t="str">
        <f>B17</f>
        <v>商业繁华度</v>
      </c>
      <c r="R17" s="1654" t="s">
        <v>25</v>
      </c>
      <c r="S17" s="1655">
        <f>F17</f>
        <v>100</v>
      </c>
      <c r="T17" s="1654" t="s">
        <v>25</v>
      </c>
      <c r="U17" s="1655">
        <f>H17</f>
        <v>100</v>
      </c>
      <c r="V17" s="1654" t="s">
        <v>25</v>
      </c>
      <c r="W17" s="1655">
        <f>J17</f>
        <v>100</v>
      </c>
      <c r="X17" s="1594"/>
      <c r="Y17" s="3629"/>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29"/>
      <c r="Q18" s="1544"/>
      <c r="R18" s="1654"/>
      <c r="S18" s="1655"/>
      <c r="T18" s="1654"/>
      <c r="U18" s="1655"/>
      <c r="V18" s="1654"/>
      <c r="W18" s="1655"/>
      <c r="X18" s="1594"/>
      <c r="Y18" s="3629"/>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29"/>
      <c r="Q19" s="1544" t="str">
        <f>B19</f>
        <v>办公集聚程度</v>
      </c>
      <c r="R19" s="1654" t="s">
        <v>25</v>
      </c>
      <c r="S19" s="1655">
        <f>F19</f>
        <v>100</v>
      </c>
      <c r="T19" s="1654" t="s">
        <v>25</v>
      </c>
      <c r="U19" s="1655">
        <f>H19</f>
        <v>100</v>
      </c>
      <c r="V19" s="1654" t="s">
        <v>25</v>
      </c>
      <c r="W19" s="1655">
        <f>J19</f>
        <v>100</v>
      </c>
      <c r="X19" s="1594"/>
      <c r="Y19" s="3629"/>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29"/>
      <c r="Q20" s="1544"/>
      <c r="R20" s="1654"/>
      <c r="S20" s="1655"/>
      <c r="T20" s="1654"/>
      <c r="U20" s="1655"/>
      <c r="V20" s="1654"/>
      <c r="W20" s="1655"/>
      <c r="X20" s="1594"/>
      <c r="Y20" s="3629"/>
      <c r="Z20" s="1656"/>
      <c r="AA20" s="1657">
        <v>1</v>
      </c>
      <c r="AB20" s="1657">
        <v>1</v>
      </c>
      <c r="AC20" s="1657">
        <v>1</v>
      </c>
    </row>
    <row r="21" spans="1:29" ht="171">
      <c r="A21" s="1596"/>
      <c r="B21" s="1905" t="s">
        <v>2168</v>
      </c>
      <c r="C21" s="1909" t="str">
        <f>估价对象房地状况!C18</f>
        <v>估价对象距离地铁2号线朝阳门站约900米、距离地铁6号线东大桥站约900米，周边有75路、101路、109路、110路、139路、615路等公交通过并设站，综合评价交通便捷度较好。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29"/>
      <c r="Q21" s="1544" t="str">
        <f>B21</f>
        <v>交通便捷度</v>
      </c>
      <c r="R21" s="1654" t="s">
        <v>25</v>
      </c>
      <c r="S21" s="1655">
        <f>F21</f>
        <v>100</v>
      </c>
      <c r="T21" s="1654" t="s">
        <v>25</v>
      </c>
      <c r="U21" s="1655">
        <f>H21</f>
        <v>100</v>
      </c>
      <c r="V21" s="1654" t="s">
        <v>25</v>
      </c>
      <c r="W21" s="1655">
        <f>J21</f>
        <v>100</v>
      </c>
      <c r="X21" s="1594"/>
      <c r="Y21" s="3629"/>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29"/>
      <c r="Q22" s="1544"/>
      <c r="R22" s="1654"/>
      <c r="S22" s="1655"/>
      <c r="T22" s="1654"/>
      <c r="U22" s="1655"/>
      <c r="V22" s="1654"/>
      <c r="W22" s="1655"/>
      <c r="X22" s="1594"/>
      <c r="Y22" s="3629"/>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29"/>
      <c r="Q23" s="1544" t="str">
        <f t="shared" ref="Q23:Q37" si="8">B23</f>
        <v>区域土地利用方向</v>
      </c>
      <c r="R23" s="1654" t="s">
        <v>25</v>
      </c>
      <c r="S23" s="1655">
        <f>F23</f>
        <v>100</v>
      </c>
      <c r="T23" s="1654" t="s">
        <v>25</v>
      </c>
      <c r="U23" s="1655">
        <f>H23</f>
        <v>100</v>
      </c>
      <c r="V23" s="1654" t="s">
        <v>25</v>
      </c>
      <c r="W23" s="1655">
        <f>J23</f>
        <v>100</v>
      </c>
      <c r="X23" s="1594"/>
      <c r="Y23" s="3629"/>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29"/>
      <c r="Q24" s="1544"/>
      <c r="R24" s="1654"/>
      <c r="S24" s="1655"/>
      <c r="T24" s="1654"/>
      <c r="U24" s="1655"/>
      <c r="V24" s="1654"/>
      <c r="W24" s="1655"/>
      <c r="X24" s="1594"/>
      <c r="Y24" s="3629"/>
      <c r="Z24" s="1656"/>
      <c r="AA24" s="1657"/>
      <c r="AB24" s="1657"/>
      <c r="AC24" s="1657"/>
    </row>
    <row r="25" spans="1:29" ht="99.75">
      <c r="A25" s="1596"/>
      <c r="B25" s="1910" t="s">
        <v>2209</v>
      </c>
      <c r="C25" s="1906" t="str">
        <f>估价对象房地状况!C20</f>
        <v>周边有日坛公园、北京工人体育场、北京工体富国海底世界等自然人文环境，综合评价环境状况较好</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29"/>
      <c r="Q25" s="1544" t="str">
        <f t="shared" si="8"/>
        <v>自然及人文环境状况</v>
      </c>
      <c r="R25" s="1654" t="s">
        <v>25</v>
      </c>
      <c r="S25" s="1655">
        <f>F25</f>
        <v>100</v>
      </c>
      <c r="T25" s="1654" t="s">
        <v>25</v>
      </c>
      <c r="U25" s="1655">
        <f>H25</f>
        <v>100</v>
      </c>
      <c r="V25" s="1654" t="s">
        <v>25</v>
      </c>
      <c r="W25" s="1655">
        <f>J25</f>
        <v>100</v>
      </c>
      <c r="X25" s="1594"/>
      <c r="Y25" s="3629"/>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29"/>
      <c r="Q26" s="1544"/>
      <c r="R26" s="1654"/>
      <c r="S26" s="1655"/>
      <c r="T26" s="1654"/>
      <c r="U26" s="1655"/>
      <c r="V26" s="1654"/>
      <c r="W26" s="1655"/>
      <c r="X26" s="1594"/>
      <c r="Y26" s="3629"/>
      <c r="Z26" s="1656"/>
      <c r="AA26" s="1657">
        <v>1</v>
      </c>
      <c r="AB26" s="1657">
        <v>1</v>
      </c>
      <c r="AC26" s="1657">
        <v>1</v>
      </c>
    </row>
    <row r="27" spans="1:29" ht="285">
      <c r="A27" s="1596"/>
      <c r="B27" s="1910" t="s">
        <v>2117</v>
      </c>
      <c r="C27" s="1909" t="str">
        <f>估价对象房地状况!C21</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29"/>
      <c r="Q27" s="1563" t="str">
        <f t="shared" ref="Q27" si="9">B27</f>
        <v>公共配套设施</v>
      </c>
      <c r="R27" s="1609" t="s">
        <v>25</v>
      </c>
      <c r="S27" s="1610">
        <f>F27</f>
        <v>100</v>
      </c>
      <c r="T27" s="1609" t="s">
        <v>25</v>
      </c>
      <c r="U27" s="1610">
        <f>H27</f>
        <v>100</v>
      </c>
      <c r="V27" s="1609" t="s">
        <v>25</v>
      </c>
      <c r="W27" s="1610">
        <f>J27</f>
        <v>100</v>
      </c>
      <c r="X27" s="1594"/>
      <c r="Y27" s="3629"/>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29"/>
      <c r="Q28" s="1544"/>
      <c r="R28" s="1654"/>
      <c r="S28" s="1655"/>
      <c r="T28" s="1654"/>
      <c r="U28" s="1655"/>
      <c r="V28" s="1654"/>
      <c r="W28" s="1655"/>
      <c r="X28" s="1594"/>
      <c r="Y28" s="3629"/>
      <c r="Z28" s="1622"/>
      <c r="AA28" s="1657">
        <v>1</v>
      </c>
      <c r="AB28" s="1657">
        <v>1</v>
      </c>
      <c r="AC28" s="1657">
        <v>1</v>
      </c>
    </row>
    <row r="29" spans="1:29" s="1613" customFormat="1" ht="42.75">
      <c r="A29" s="1916"/>
      <c r="B29" s="1910" t="s">
        <v>2118</v>
      </c>
      <c r="C29" s="1917" t="str">
        <f>估价对象房地状况!C22</f>
        <v>估价对象所在区域基础设施水平-七通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29"/>
      <c r="Q29" s="1563" t="str">
        <f t="shared" si="8"/>
        <v>基础设施水平</v>
      </c>
      <c r="R29" s="1609" t="s">
        <v>25</v>
      </c>
      <c r="S29" s="1610">
        <f>F29</f>
        <v>100</v>
      </c>
      <c r="T29" s="1609" t="s">
        <v>25</v>
      </c>
      <c r="U29" s="1610">
        <f>H29</f>
        <v>100</v>
      </c>
      <c r="V29" s="1609" t="s">
        <v>25</v>
      </c>
      <c r="W29" s="1610">
        <f>J29</f>
        <v>100</v>
      </c>
      <c r="X29" s="1611"/>
      <c r="Y29" s="3629"/>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29"/>
      <c r="Q30" s="1563"/>
      <c r="R30" s="1609"/>
      <c r="S30" s="1610"/>
      <c r="T30" s="1609"/>
      <c r="U30" s="1610"/>
      <c r="V30" s="1609"/>
      <c r="W30" s="1610"/>
      <c r="X30" s="1611"/>
      <c r="Y30" s="3629"/>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2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29"/>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29"/>
      <c r="Q32" s="1544" t="str">
        <f t="shared" si="8"/>
        <v>毗邻道路的类型与等级</v>
      </c>
      <c r="R32" s="1654" t="s">
        <v>25</v>
      </c>
      <c r="S32" s="1655">
        <f t="shared" si="10"/>
        <v>100</v>
      </c>
      <c r="T32" s="1654" t="s">
        <v>25</v>
      </c>
      <c r="U32" s="1655">
        <f t="shared" si="11"/>
        <v>100</v>
      </c>
      <c r="V32" s="1654" t="s">
        <v>25</v>
      </c>
      <c r="W32" s="1655">
        <f t="shared" si="12"/>
        <v>100</v>
      </c>
      <c r="X32" s="1594"/>
      <c r="Y32" s="3629"/>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29"/>
      <c r="Q33" s="1544"/>
      <c r="R33" s="1654"/>
      <c r="S33" s="1655"/>
      <c r="T33" s="1654"/>
      <c r="U33" s="1655"/>
      <c r="V33" s="1654"/>
      <c r="W33" s="1655"/>
      <c r="X33" s="1594"/>
      <c r="Y33" s="3629"/>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29"/>
      <c r="Q34" s="1544" t="str">
        <f t="shared" si="8"/>
        <v>土地级别</v>
      </c>
      <c r="R34" s="1654" t="s">
        <v>25</v>
      </c>
      <c r="S34" s="1655">
        <f t="shared" si="10"/>
        <v>100</v>
      </c>
      <c r="T34" s="1654" t="s">
        <v>25</v>
      </c>
      <c r="U34" s="1655">
        <f t="shared" si="11"/>
        <v>100</v>
      </c>
      <c r="V34" s="1654" t="s">
        <v>25</v>
      </c>
      <c r="W34" s="1655">
        <f t="shared" si="12"/>
        <v>100</v>
      </c>
      <c r="X34" s="1594"/>
      <c r="Y34" s="3629"/>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29"/>
      <c r="Q35" s="1544">
        <f t="shared" si="8"/>
        <v>111</v>
      </c>
      <c r="R35" s="1654" t="s">
        <v>25</v>
      </c>
      <c r="S35" s="1655">
        <f t="shared" si="10"/>
        <v>100</v>
      </c>
      <c r="T35" s="1654" t="s">
        <v>25</v>
      </c>
      <c r="U35" s="1655">
        <f t="shared" si="11"/>
        <v>100</v>
      </c>
      <c r="V35" s="1654" t="s">
        <v>25</v>
      </c>
      <c r="W35" s="1655">
        <f t="shared" si="12"/>
        <v>100</v>
      </c>
      <c r="X35" s="1594"/>
      <c r="Y35" s="3629"/>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51" t="s">
        <v>2037</v>
      </c>
      <c r="Q36" s="1544">
        <f t="shared" si="8"/>
        <v>111</v>
      </c>
      <c r="R36" s="1654" t="s">
        <v>25</v>
      </c>
      <c r="S36" s="1655">
        <f t="shared" si="10"/>
        <v>100</v>
      </c>
      <c r="T36" s="1654" t="s">
        <v>25</v>
      </c>
      <c r="U36" s="1655">
        <f t="shared" si="11"/>
        <v>100</v>
      </c>
      <c r="V36" s="1654" t="s">
        <v>25</v>
      </c>
      <c r="W36" s="1655">
        <f t="shared" si="12"/>
        <v>100</v>
      </c>
      <c r="X36" s="1594"/>
      <c r="Y36" s="3633"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33"/>
      <c r="Q37" s="1544">
        <f t="shared" si="8"/>
        <v>111</v>
      </c>
      <c r="R37" s="1696" t="s">
        <v>25</v>
      </c>
      <c r="S37" s="1697">
        <f t="shared" si="10"/>
        <v>100</v>
      </c>
      <c r="T37" s="1696" t="s">
        <v>25</v>
      </c>
      <c r="U37" s="1697">
        <f t="shared" si="11"/>
        <v>100</v>
      </c>
      <c r="V37" s="1696" t="s">
        <v>25</v>
      </c>
      <c r="W37" s="1697">
        <f t="shared" si="12"/>
        <v>100</v>
      </c>
      <c r="X37" s="1698"/>
      <c r="Y37" s="3633"/>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33"/>
      <c r="Q38" s="1544" t="str">
        <f>B38</f>
        <v>宗地面积</v>
      </c>
      <c r="R38" s="1654" t="s">
        <v>25</v>
      </c>
      <c r="S38" s="1655" t="e">
        <f t="shared" si="10"/>
        <v>#N/A</v>
      </c>
      <c r="T38" s="1654" t="s">
        <v>25</v>
      </c>
      <c r="U38" s="1655" t="e">
        <f t="shared" si="11"/>
        <v>#N/A</v>
      </c>
      <c r="V38" s="1654" t="s">
        <v>25</v>
      </c>
      <c r="W38" s="1655" t="e">
        <f t="shared" si="12"/>
        <v>#N/A</v>
      </c>
      <c r="X38" s="1594"/>
      <c r="Y38" s="3633"/>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33"/>
      <c r="Q39" s="1544" t="str">
        <f t="shared" ref="Q39:Q45" si="14">B39</f>
        <v>宗地形状</v>
      </c>
      <c r="R39" s="1654" t="s">
        <v>25</v>
      </c>
      <c r="S39" s="1655">
        <f t="shared" si="10"/>
        <v>100</v>
      </c>
      <c r="T39" s="1654" t="s">
        <v>25</v>
      </c>
      <c r="U39" s="1655">
        <f t="shared" si="11"/>
        <v>100</v>
      </c>
      <c r="V39" s="1654" t="s">
        <v>25</v>
      </c>
      <c r="W39" s="1655">
        <f t="shared" si="12"/>
        <v>100</v>
      </c>
      <c r="X39" s="1594"/>
      <c r="Y39" s="3633"/>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33"/>
      <c r="Q40" s="1544" t="str">
        <f t="shared" si="14"/>
        <v>临街宽度及深度</v>
      </c>
      <c r="R40" s="1654" t="s">
        <v>25</v>
      </c>
      <c r="S40" s="1655">
        <f t="shared" si="10"/>
        <v>100</v>
      </c>
      <c r="T40" s="1654" t="s">
        <v>25</v>
      </c>
      <c r="U40" s="1655">
        <f t="shared" si="11"/>
        <v>100</v>
      </c>
      <c r="V40" s="1654" t="s">
        <v>25</v>
      </c>
      <c r="W40" s="1655">
        <f t="shared" si="12"/>
        <v>100</v>
      </c>
      <c r="X40" s="1594"/>
      <c r="Y40" s="3633"/>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33"/>
      <c r="Q41" s="1544" t="str">
        <f t="shared" si="14"/>
        <v>宗地开发程度</v>
      </c>
      <c r="R41" s="1609" t="s">
        <v>25</v>
      </c>
      <c r="S41" s="1610">
        <f t="shared" si="10"/>
        <v>100</v>
      </c>
      <c r="T41" s="1609" t="s">
        <v>25</v>
      </c>
      <c r="U41" s="1610">
        <f t="shared" si="11"/>
        <v>100</v>
      </c>
      <c r="V41" s="1609" t="s">
        <v>25</v>
      </c>
      <c r="W41" s="1610">
        <f t="shared" si="12"/>
        <v>100</v>
      </c>
      <c r="X41" s="1611"/>
      <c r="Y41" s="3633"/>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33" t="s">
        <v>2037</v>
      </c>
      <c r="Q42" s="1544" t="str">
        <f t="shared" si="14"/>
        <v>工程地质条件</v>
      </c>
      <c r="R42" s="1654" t="s">
        <v>25</v>
      </c>
      <c r="S42" s="1655">
        <f t="shared" si="10"/>
        <v>100</v>
      </c>
      <c r="T42" s="1654" t="s">
        <v>25</v>
      </c>
      <c r="U42" s="1655">
        <f t="shared" si="11"/>
        <v>100</v>
      </c>
      <c r="V42" s="1654" t="s">
        <v>25</v>
      </c>
      <c r="W42" s="1655">
        <f t="shared" si="12"/>
        <v>100</v>
      </c>
      <c r="X42" s="1594"/>
      <c r="Y42" s="3633"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33"/>
      <c r="Q43" s="1544">
        <f t="shared" si="14"/>
        <v>111</v>
      </c>
      <c r="R43" s="1654" t="s">
        <v>25</v>
      </c>
      <c r="S43" s="1655">
        <f t="shared" si="10"/>
        <v>100</v>
      </c>
      <c r="T43" s="1654" t="s">
        <v>25</v>
      </c>
      <c r="U43" s="1655">
        <f t="shared" si="11"/>
        <v>100</v>
      </c>
      <c r="V43" s="1654" t="s">
        <v>25</v>
      </c>
      <c r="W43" s="1655">
        <f t="shared" si="12"/>
        <v>100</v>
      </c>
      <c r="X43" s="1594"/>
      <c r="Y43" s="3633"/>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33"/>
      <c r="Q44" s="1544">
        <f t="shared" si="14"/>
        <v>111</v>
      </c>
      <c r="R44" s="1654" t="s">
        <v>25</v>
      </c>
      <c r="S44" s="1655">
        <f t="shared" si="10"/>
        <v>100</v>
      </c>
      <c r="T44" s="1654" t="s">
        <v>25</v>
      </c>
      <c r="U44" s="1655">
        <f t="shared" si="11"/>
        <v>100</v>
      </c>
      <c r="V44" s="1654" t="s">
        <v>25</v>
      </c>
      <c r="W44" s="1655">
        <f t="shared" si="12"/>
        <v>100</v>
      </c>
      <c r="X44" s="1594"/>
      <c r="Y44" s="3633"/>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33"/>
      <c r="Q45" s="1544">
        <f t="shared" si="14"/>
        <v>111</v>
      </c>
      <c r="R45" s="1696" t="s">
        <v>25</v>
      </c>
      <c r="S45" s="1697">
        <f t="shared" si="10"/>
        <v>100</v>
      </c>
      <c r="T45" s="1696" t="s">
        <v>25</v>
      </c>
      <c r="U45" s="1697">
        <f t="shared" si="11"/>
        <v>100</v>
      </c>
      <c r="V45" s="1696" t="s">
        <v>25</v>
      </c>
      <c r="W45" s="1697">
        <f t="shared" si="12"/>
        <v>100</v>
      </c>
      <c r="X45" s="1698"/>
      <c r="Y45" s="3633"/>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39" t="str">
        <f>A46</f>
        <v>成交单价</v>
      </c>
      <c r="Q46" s="3639"/>
      <c r="R46" s="3619">
        <f>E46</f>
        <v>0</v>
      </c>
      <c r="S46" s="3619"/>
      <c r="T46" s="3619">
        <f>G46</f>
        <v>0</v>
      </c>
      <c r="U46" s="3619"/>
      <c r="V46" s="3619">
        <f>I46</f>
        <v>0</v>
      </c>
      <c r="W46" s="3619"/>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39" t="str">
        <f>A47</f>
        <v>比较价值（元/平方米）</v>
      </c>
      <c r="Q47" s="3639"/>
      <c r="R47" s="3694" t="e">
        <f>ROUND(PRODUCT(R46,AA7:AA45),0)</f>
        <v>#DIV/0!</v>
      </c>
      <c r="S47" s="3694"/>
      <c r="T47" s="3694" t="e">
        <f>ROUND(PRODUCT(T46,AB7:AB45),0)</f>
        <v>#DIV/0!</v>
      </c>
      <c r="U47" s="3694"/>
      <c r="V47" s="3694" t="e">
        <f>ROUND(PRODUCT(V46,AC7:AC45),0)</f>
        <v>#DIV/0!</v>
      </c>
      <c r="W47" s="3694"/>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45" t="str">
        <f>A48</f>
        <v>估价对象XX用房的比较价值（楼面单价，元/平方米）</v>
      </c>
      <c r="Q48" s="3646"/>
      <c r="R48" s="3695" t="e">
        <f>ROUND(IF(D47="简单平均",AVERAGE(R47:W47),R47*F47+T47*H47+V47*J47),0)</f>
        <v>#DIV/0!</v>
      </c>
      <c r="S48" s="3695"/>
      <c r="T48" s="3695"/>
      <c r="U48" s="3695"/>
      <c r="V48" s="3695"/>
      <c r="W48" s="3695"/>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F00-000000000000}">
      <formula1>住宅朝向</formula1>
    </dataValidation>
    <dataValidation type="list" allowBlank="1" showInputMessage="1" showErrorMessage="1" sqref="C28 I28 E28 G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E26 G26 C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C30 E30 G30 I30" xr:uid="{00000000-0002-0000-1F00-000013000000}">
      <formula1>基础设施水平</formula1>
    </dataValidation>
    <dataValidation type="list" allowBlank="1" showInputMessage="1" showErrorMessage="1" sqref="A70" xr:uid="{00000000-0002-0000-1F00-000014000000}">
      <formula1>"综合,商业,办公,住宅"</formula1>
    </dataValidation>
    <dataValidation type="list" allowBlank="1" showInputMessage="1" showErrorMessage="1" sqref="D47" xr:uid="{00000000-0002-0000-1F00-000015000000}">
      <formula1>"简单平均,加权平均"</formula1>
    </dataValidation>
    <dataValidation type="list" allowBlank="1" showInputMessage="1" showErrorMessage="1" sqref="D57:D64" xr:uid="{00000000-0002-0000-1F00-000016000000}">
      <formula1>"25%,1"</formula1>
    </dataValidation>
  </dataValidations>
  <pageMargins left="0.70866141732283472" right="0.70866141732283472" top="1.0629921259842521" bottom="0.94488188976377963" header="0.31496062992125984" footer="0.31496062992125984"/>
  <pageSetup paperSize="9" scale="3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3"/>
      <c r="M4" s="2944"/>
      <c r="N4" s="2944"/>
      <c r="O4" s="2944"/>
      <c r="P4" s="3668" t="s">
        <v>2012</v>
      </c>
      <c r="Q4" s="3669"/>
      <c r="R4" s="3674" t="s">
        <v>2008</v>
      </c>
      <c r="S4" s="3675"/>
      <c r="T4" s="3674" t="s">
        <v>2009</v>
      </c>
      <c r="U4" s="3675"/>
      <c r="V4" s="3680" t="s">
        <v>2010</v>
      </c>
      <c r="W4" s="3680"/>
      <c r="X4" s="1263"/>
      <c r="Y4" s="3674" t="s">
        <v>2012</v>
      </c>
      <c r="Z4" s="3675"/>
      <c r="AA4" s="3661" t="s">
        <v>2008</v>
      </c>
      <c r="AB4" s="3662" t="s">
        <v>2009</v>
      </c>
      <c r="AC4" s="3661" t="s">
        <v>2010</v>
      </c>
    </row>
    <row r="5" spans="1:29" ht="15">
      <c r="A5" s="297"/>
      <c r="B5" s="298"/>
      <c r="C5" s="3657" t="s">
        <v>2013</v>
      </c>
      <c r="D5" s="3658"/>
      <c r="E5" s="3681" t="s">
        <v>2014</v>
      </c>
      <c r="F5" s="3682"/>
      <c r="G5" s="3657" t="s">
        <v>2015</v>
      </c>
      <c r="H5" s="3658"/>
      <c r="I5" s="3657" t="s">
        <v>2016</v>
      </c>
      <c r="J5" s="3658"/>
      <c r="K5" s="496"/>
      <c r="L5" s="2943"/>
      <c r="M5" s="2944"/>
      <c r="N5" s="2944"/>
      <c r="O5" s="2944"/>
      <c r="P5" s="3670"/>
      <c r="Q5" s="3671"/>
      <c r="R5" s="3676"/>
      <c r="S5" s="3677"/>
      <c r="T5" s="3676"/>
      <c r="U5" s="3677"/>
      <c r="V5" s="3680"/>
      <c r="W5" s="3680"/>
      <c r="X5" s="1263"/>
      <c r="Y5" s="3676"/>
      <c r="Z5" s="3677"/>
      <c r="AA5" s="3662"/>
      <c r="AB5" s="3662"/>
      <c r="AC5" s="3662"/>
    </row>
    <row r="6" spans="1:29" ht="15.75" thickBot="1">
      <c r="A6" s="299"/>
      <c r="B6" s="300"/>
      <c r="C6" s="3654" t="s">
        <v>2017</v>
      </c>
      <c r="D6" s="3655"/>
      <c r="E6" s="3652" t="s">
        <v>2017</v>
      </c>
      <c r="F6" s="3653"/>
      <c r="G6" s="3654" t="s">
        <v>2017</v>
      </c>
      <c r="H6" s="3655"/>
      <c r="I6" s="3654" t="s">
        <v>2017</v>
      </c>
      <c r="J6" s="3655"/>
      <c r="K6" s="496" t="s">
        <v>2018</v>
      </c>
      <c r="L6" s="2943"/>
      <c r="M6" s="2944"/>
      <c r="N6" s="2944"/>
      <c r="O6" s="2944"/>
      <c r="P6" s="3672"/>
      <c r="Q6" s="3673"/>
      <c r="R6" s="3676"/>
      <c r="S6" s="3677"/>
      <c r="T6" s="3678"/>
      <c r="U6" s="3679"/>
      <c r="V6" s="3680"/>
      <c r="W6" s="3680"/>
      <c r="X6" s="1263"/>
      <c r="Y6" s="3678"/>
      <c r="Z6" s="3679"/>
      <c r="AA6" s="3663"/>
      <c r="AB6" s="3663"/>
      <c r="AC6" s="3663"/>
    </row>
    <row r="7" spans="1:29" s="25" customFormat="1" ht="15.75" thickBot="1">
      <c r="A7" s="301" t="s">
        <v>2019</v>
      </c>
      <c r="B7" s="302"/>
      <c r="C7" s="303">
        <f>'数据-取费表'!B2</f>
        <v>44810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9" t="s">
        <v>2020</v>
      </c>
      <c r="Q7" s="3683"/>
      <c r="R7" s="627" t="s">
        <v>25</v>
      </c>
      <c r="S7" s="628">
        <f t="shared" ref="S7:S15" si="0">F7</f>
        <v>0</v>
      </c>
      <c r="T7" s="627" t="s">
        <v>25</v>
      </c>
      <c r="U7" s="628">
        <f t="shared" ref="U7:U15" si="1">H7</f>
        <v>0</v>
      </c>
      <c r="V7" s="627" t="s">
        <v>25</v>
      </c>
      <c r="W7" s="628">
        <f t="shared" ref="W7:W15" si="2">J7</f>
        <v>0</v>
      </c>
      <c r="X7" s="629"/>
      <c r="Y7" s="3659" t="s">
        <v>2020</v>
      </c>
      <c r="Z7" s="366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9" t="s">
        <v>2023</v>
      </c>
      <c r="Q8" s="3660"/>
      <c r="R8" s="627" t="s">
        <v>25</v>
      </c>
      <c r="S8" s="628">
        <f t="shared" si="0"/>
        <v>0</v>
      </c>
      <c r="T8" s="627" t="s">
        <v>25</v>
      </c>
      <c r="U8" s="628">
        <f t="shared" si="1"/>
        <v>0</v>
      </c>
      <c r="V8" s="627" t="s">
        <v>25</v>
      </c>
      <c r="W8" s="628">
        <f t="shared" si="2"/>
        <v>0</v>
      </c>
      <c r="X8" s="629"/>
      <c r="Y8" s="3659" t="s">
        <v>2023</v>
      </c>
      <c r="Z8" s="366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56" t="s">
        <v>2026</v>
      </c>
      <c r="Q9" s="1255" t="str">
        <f t="shared" ref="Q9:Q15" si="6">B9</f>
        <v>用途</v>
      </c>
      <c r="R9" s="627" t="s">
        <v>25</v>
      </c>
      <c r="S9" s="628">
        <f t="shared" si="0"/>
        <v>100</v>
      </c>
      <c r="T9" s="627" t="s">
        <v>25</v>
      </c>
      <c r="U9" s="628">
        <f t="shared" si="1"/>
        <v>100</v>
      </c>
      <c r="V9" s="627" t="s">
        <v>25</v>
      </c>
      <c r="W9" s="628">
        <f t="shared" si="2"/>
        <v>100</v>
      </c>
      <c r="X9" s="629"/>
      <c r="Y9" s="3686"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122</v>
      </c>
      <c r="G10" s="322"/>
      <c r="H10" s="29">
        <f>ROUND(100/'数据-取费表'!B14,0)</f>
        <v>122</v>
      </c>
      <c r="I10" s="322"/>
      <c r="J10" s="29">
        <f>ROUND(100/'数据-取费表'!B14,0)</f>
        <v>122</v>
      </c>
      <c r="K10" s="553"/>
      <c r="L10" s="2948"/>
      <c r="M10" s="2949"/>
      <c r="N10" s="2949"/>
      <c r="O10" s="2950"/>
      <c r="P10" s="3656"/>
      <c r="Q10" s="1255" t="str">
        <f t="shared" si="6"/>
        <v>土地使用年限（年）</v>
      </c>
      <c r="R10" s="627" t="s">
        <v>25</v>
      </c>
      <c r="S10" s="628">
        <f t="shared" si="0"/>
        <v>122</v>
      </c>
      <c r="T10" s="627" t="s">
        <v>25</v>
      </c>
      <c r="U10" s="628">
        <f t="shared" si="1"/>
        <v>122</v>
      </c>
      <c r="V10" s="627" t="s">
        <v>25</v>
      </c>
      <c r="W10" s="628">
        <f t="shared" si="2"/>
        <v>122</v>
      </c>
      <c r="X10" s="629"/>
      <c r="Y10" s="3686"/>
      <c r="Z10" s="19" t="str">
        <f t="shared" si="7"/>
        <v>土地使用年限（年）</v>
      </c>
      <c r="AA10" s="630">
        <f t="shared" si="3"/>
        <v>0.81967213114754101</v>
      </c>
      <c r="AB10" s="630">
        <f t="shared" si="4"/>
        <v>0.81967213114754101</v>
      </c>
      <c r="AC10" s="630">
        <f t="shared" si="5"/>
        <v>0.81967213114754101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56"/>
      <c r="Q11" s="1255"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56"/>
      <c r="Q12" s="1255">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56"/>
      <c r="Q13" s="1255">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56"/>
      <c r="Q14" s="1255">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84" t="s">
        <v>2031</v>
      </c>
      <c r="Q15" s="1262" t="str">
        <f t="shared" si="6"/>
        <v>产业集聚程度</v>
      </c>
      <c r="R15" s="631" t="s">
        <v>25</v>
      </c>
      <c r="S15" s="632">
        <f t="shared" si="0"/>
        <v>100</v>
      </c>
      <c r="T15" s="631" t="s">
        <v>25</v>
      </c>
      <c r="U15" s="632">
        <f t="shared" si="1"/>
        <v>100</v>
      </c>
      <c r="V15" s="631" t="s">
        <v>25</v>
      </c>
      <c r="W15" s="632">
        <f t="shared" si="2"/>
        <v>100</v>
      </c>
      <c r="X15" s="1263"/>
      <c r="Y15" s="3684"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85"/>
      <c r="Q16" s="1262"/>
      <c r="R16" s="631"/>
      <c r="S16" s="632"/>
      <c r="T16" s="631"/>
      <c r="U16" s="632"/>
      <c r="V16" s="631"/>
      <c r="W16" s="632"/>
      <c r="X16" s="1263"/>
      <c r="Y16" s="3685"/>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85"/>
      <c r="Q17" s="1262" t="str">
        <f>B17</f>
        <v>交通便捷度</v>
      </c>
      <c r="R17" s="631" t="s">
        <v>25</v>
      </c>
      <c r="S17" s="632">
        <f>F17</f>
        <v>100</v>
      </c>
      <c r="T17" s="631" t="s">
        <v>25</v>
      </c>
      <c r="U17" s="632">
        <f>H17</f>
        <v>100</v>
      </c>
      <c r="V17" s="631" t="s">
        <v>25</v>
      </c>
      <c r="W17" s="632">
        <f>J17</f>
        <v>100</v>
      </c>
      <c r="X17" s="1263"/>
      <c r="Y17" s="368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85"/>
      <c r="Q18" s="1262"/>
      <c r="R18" s="631"/>
      <c r="S18" s="632"/>
      <c r="T18" s="631"/>
      <c r="U18" s="632"/>
      <c r="V18" s="631"/>
      <c r="W18" s="632"/>
      <c r="X18" s="1263"/>
      <c r="Y18" s="3685"/>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85"/>
      <c r="Q19" s="1262" t="str">
        <f t="shared" ref="Q19:Q33" si="8">B19</f>
        <v>区域土地利用方向</v>
      </c>
      <c r="R19" s="631" t="s">
        <v>25</v>
      </c>
      <c r="S19" s="632">
        <f>F19</f>
        <v>100</v>
      </c>
      <c r="T19" s="631" t="s">
        <v>25</v>
      </c>
      <c r="U19" s="632">
        <f>H19</f>
        <v>100</v>
      </c>
      <c r="V19" s="631" t="s">
        <v>25</v>
      </c>
      <c r="W19" s="632">
        <f>J19</f>
        <v>100</v>
      </c>
      <c r="X19" s="1263"/>
      <c r="Y19" s="368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85"/>
      <c r="Q20" s="1262"/>
      <c r="R20" s="631"/>
      <c r="S20" s="632"/>
      <c r="T20" s="631"/>
      <c r="U20" s="632"/>
      <c r="V20" s="631"/>
      <c r="W20" s="632"/>
      <c r="X20" s="1263"/>
      <c r="Y20" s="3685"/>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85"/>
      <c r="Q21" s="1262" t="str">
        <f t="shared" si="8"/>
        <v>环境状况</v>
      </c>
      <c r="R21" s="631" t="s">
        <v>25</v>
      </c>
      <c r="S21" s="632">
        <f>F21</f>
        <v>100</v>
      </c>
      <c r="T21" s="631" t="s">
        <v>25</v>
      </c>
      <c r="U21" s="632">
        <f>H21</f>
        <v>100</v>
      </c>
      <c r="V21" s="631" t="s">
        <v>25</v>
      </c>
      <c r="W21" s="632">
        <f>J21</f>
        <v>100</v>
      </c>
      <c r="X21" s="1263"/>
      <c r="Y21" s="368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85"/>
      <c r="Q22" s="1262"/>
      <c r="R22" s="631"/>
      <c r="S22" s="632"/>
      <c r="T22" s="631"/>
      <c r="U22" s="632"/>
      <c r="V22" s="631"/>
      <c r="W22" s="632"/>
      <c r="X22" s="1263"/>
      <c r="Y22" s="3685"/>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85"/>
      <c r="Q23" s="1255" t="str">
        <f t="shared" si="8"/>
        <v>公共配套设施</v>
      </c>
      <c r="R23" s="627" t="s">
        <v>25</v>
      </c>
      <c r="S23" s="628">
        <f>F23</f>
        <v>100</v>
      </c>
      <c r="T23" s="627" t="s">
        <v>25</v>
      </c>
      <c r="U23" s="628">
        <f>H23</f>
        <v>100</v>
      </c>
      <c r="V23" s="627" t="s">
        <v>25</v>
      </c>
      <c r="W23" s="628">
        <f>J23</f>
        <v>100</v>
      </c>
      <c r="X23" s="629"/>
      <c r="Y23" s="3685"/>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85"/>
      <c r="Q24" s="1255"/>
      <c r="R24" s="627"/>
      <c r="S24" s="628"/>
      <c r="T24" s="627"/>
      <c r="U24" s="628"/>
      <c r="V24" s="627"/>
      <c r="W24" s="628"/>
      <c r="X24" s="629"/>
      <c r="Y24" s="3685"/>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85"/>
      <c r="Q25" s="1255" t="str">
        <f t="shared" ref="Q25" si="9">B25</f>
        <v>基础设施水平</v>
      </c>
      <c r="R25" s="627" t="s">
        <v>25</v>
      </c>
      <c r="S25" s="628">
        <f>F25</f>
        <v>100</v>
      </c>
      <c r="T25" s="627" t="s">
        <v>25</v>
      </c>
      <c r="U25" s="628">
        <f>H25</f>
        <v>100</v>
      </c>
      <c r="V25" s="627" t="s">
        <v>25</v>
      </c>
      <c r="W25" s="628">
        <f>J25</f>
        <v>100</v>
      </c>
      <c r="X25" s="629"/>
      <c r="Y25" s="3685"/>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85"/>
      <c r="Q26" s="1255"/>
      <c r="R26" s="627"/>
      <c r="S26" s="628"/>
      <c r="T26" s="627"/>
      <c r="U26" s="628"/>
      <c r="V26" s="627"/>
      <c r="W26" s="628"/>
      <c r="X26" s="629"/>
      <c r="Y26" s="3685"/>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8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5"/>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85"/>
      <c r="Q28" s="1262" t="str">
        <f t="shared" si="8"/>
        <v>毗邻道路的类型与等级</v>
      </c>
      <c r="R28" s="631" t="s">
        <v>25</v>
      </c>
      <c r="S28" s="632">
        <f t="shared" si="10"/>
        <v>100</v>
      </c>
      <c r="T28" s="631" t="s">
        <v>25</v>
      </c>
      <c r="U28" s="632">
        <f t="shared" si="11"/>
        <v>100</v>
      </c>
      <c r="V28" s="631" t="s">
        <v>25</v>
      </c>
      <c r="W28" s="632">
        <f t="shared" si="12"/>
        <v>100</v>
      </c>
      <c r="X28" s="1263"/>
      <c r="Y28" s="368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85"/>
      <c r="Q29" s="1262"/>
      <c r="R29" s="631"/>
      <c r="S29" s="632"/>
      <c r="T29" s="631"/>
      <c r="U29" s="632"/>
      <c r="V29" s="631"/>
      <c r="W29" s="632"/>
      <c r="X29" s="1263"/>
      <c r="Y29" s="3685"/>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85"/>
      <c r="Q30" s="1262" t="str">
        <f t="shared" si="8"/>
        <v>土地级别</v>
      </c>
      <c r="R30" s="631" t="s">
        <v>25</v>
      </c>
      <c r="S30" s="632">
        <f t="shared" si="10"/>
        <v>100</v>
      </c>
      <c r="T30" s="631" t="s">
        <v>25</v>
      </c>
      <c r="U30" s="632">
        <f t="shared" si="11"/>
        <v>100</v>
      </c>
      <c r="V30" s="631" t="s">
        <v>25</v>
      </c>
      <c r="W30" s="632">
        <f t="shared" si="12"/>
        <v>100</v>
      </c>
      <c r="X30" s="1263"/>
      <c r="Y30" s="3685"/>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85"/>
      <c r="Q31" s="1262">
        <f t="shared" si="8"/>
        <v>111</v>
      </c>
      <c r="R31" s="631" t="s">
        <v>25</v>
      </c>
      <c r="S31" s="632">
        <f t="shared" si="10"/>
        <v>100</v>
      </c>
      <c r="T31" s="631" t="s">
        <v>25</v>
      </c>
      <c r="U31" s="632">
        <f t="shared" si="11"/>
        <v>100</v>
      </c>
      <c r="V31" s="631" t="s">
        <v>25</v>
      </c>
      <c r="W31" s="632">
        <f t="shared" si="12"/>
        <v>100</v>
      </c>
      <c r="X31" s="1263"/>
      <c r="Y31" s="3685"/>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87" t="s">
        <v>2037</v>
      </c>
      <c r="Q32" s="1262">
        <f t="shared" si="8"/>
        <v>111</v>
      </c>
      <c r="R32" s="631" t="s">
        <v>25</v>
      </c>
      <c r="S32" s="632">
        <f t="shared" si="10"/>
        <v>100</v>
      </c>
      <c r="T32" s="631" t="s">
        <v>25</v>
      </c>
      <c r="U32" s="632">
        <f t="shared" si="11"/>
        <v>100</v>
      </c>
      <c r="V32" s="631" t="s">
        <v>25</v>
      </c>
      <c r="W32" s="632">
        <f t="shared" si="12"/>
        <v>100</v>
      </c>
      <c r="X32" s="1263"/>
      <c r="Y32" s="3688"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88"/>
      <c r="Q33" s="1262">
        <f t="shared" si="8"/>
        <v>111</v>
      </c>
      <c r="R33" s="634" t="s">
        <v>25</v>
      </c>
      <c r="S33" s="635">
        <f t="shared" si="10"/>
        <v>100</v>
      </c>
      <c r="T33" s="634" t="s">
        <v>25</v>
      </c>
      <c r="U33" s="635">
        <f t="shared" si="11"/>
        <v>100</v>
      </c>
      <c r="V33" s="634" t="s">
        <v>25</v>
      </c>
      <c r="W33" s="635">
        <f t="shared" si="12"/>
        <v>100</v>
      </c>
      <c r="X33" s="636"/>
      <c r="Y33" s="3688"/>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88"/>
      <c r="Q34" s="1262" t="str">
        <f>B34</f>
        <v>宗地面积</v>
      </c>
      <c r="R34" s="631" t="s">
        <v>25</v>
      </c>
      <c r="S34" s="632" t="e">
        <f t="shared" si="10"/>
        <v>#N/A</v>
      </c>
      <c r="T34" s="631" t="s">
        <v>25</v>
      </c>
      <c r="U34" s="632" t="e">
        <f t="shared" si="11"/>
        <v>#N/A</v>
      </c>
      <c r="V34" s="631" t="s">
        <v>25</v>
      </c>
      <c r="W34" s="632" t="e">
        <f t="shared" si="12"/>
        <v>#N/A</v>
      </c>
      <c r="X34" s="1263"/>
      <c r="Y34" s="3688"/>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88"/>
      <c r="Q35" s="1262" t="str">
        <f t="shared" ref="Q35:Q40" si="14">B35</f>
        <v>宗地形状</v>
      </c>
      <c r="R35" s="631" t="s">
        <v>25</v>
      </c>
      <c r="S35" s="632">
        <f t="shared" si="10"/>
        <v>100</v>
      </c>
      <c r="T35" s="631" t="s">
        <v>25</v>
      </c>
      <c r="U35" s="632">
        <f t="shared" si="11"/>
        <v>100</v>
      </c>
      <c r="V35" s="631" t="s">
        <v>25</v>
      </c>
      <c r="W35" s="632">
        <f t="shared" si="12"/>
        <v>100</v>
      </c>
      <c r="X35" s="1263"/>
      <c r="Y35" s="3688"/>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88"/>
      <c r="Q36" s="1262" t="str">
        <f t="shared" si="14"/>
        <v>宗地开发程度</v>
      </c>
      <c r="R36" s="627" t="s">
        <v>25</v>
      </c>
      <c r="S36" s="628">
        <f t="shared" si="10"/>
        <v>100</v>
      </c>
      <c r="T36" s="627" t="s">
        <v>25</v>
      </c>
      <c r="U36" s="628">
        <f t="shared" si="11"/>
        <v>100</v>
      </c>
      <c r="V36" s="627" t="s">
        <v>25</v>
      </c>
      <c r="W36" s="628">
        <f t="shared" si="12"/>
        <v>100</v>
      </c>
      <c r="X36" s="629"/>
      <c r="Y36" s="3688"/>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88" t="s">
        <v>2037</v>
      </c>
      <c r="Q37" s="1262" t="str">
        <f t="shared" si="14"/>
        <v>工程地质条件</v>
      </c>
      <c r="R37" s="631" t="s">
        <v>25</v>
      </c>
      <c r="S37" s="632">
        <f t="shared" si="10"/>
        <v>100</v>
      </c>
      <c r="T37" s="631" t="s">
        <v>25</v>
      </c>
      <c r="U37" s="632">
        <f t="shared" si="11"/>
        <v>100</v>
      </c>
      <c r="V37" s="631" t="s">
        <v>25</v>
      </c>
      <c r="W37" s="632">
        <f t="shared" si="12"/>
        <v>100</v>
      </c>
      <c r="X37" s="1263"/>
      <c r="Y37" s="3688"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88"/>
      <c r="Q38" s="1262">
        <f t="shared" si="14"/>
        <v>111</v>
      </c>
      <c r="R38" s="631" t="s">
        <v>25</v>
      </c>
      <c r="S38" s="632">
        <f t="shared" si="10"/>
        <v>100</v>
      </c>
      <c r="T38" s="631" t="s">
        <v>25</v>
      </c>
      <c r="U38" s="632">
        <f t="shared" si="11"/>
        <v>100</v>
      </c>
      <c r="V38" s="631" t="s">
        <v>25</v>
      </c>
      <c r="W38" s="632">
        <f t="shared" si="12"/>
        <v>100</v>
      </c>
      <c r="X38" s="1263"/>
      <c r="Y38" s="368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88"/>
      <c r="Q39" s="1262">
        <f t="shared" si="14"/>
        <v>111</v>
      </c>
      <c r="R39" s="631" t="s">
        <v>25</v>
      </c>
      <c r="S39" s="632">
        <f t="shared" si="10"/>
        <v>100</v>
      </c>
      <c r="T39" s="631" t="s">
        <v>25</v>
      </c>
      <c r="U39" s="632">
        <f t="shared" si="11"/>
        <v>100</v>
      </c>
      <c r="V39" s="631" t="s">
        <v>25</v>
      </c>
      <c r="W39" s="632">
        <f t="shared" si="12"/>
        <v>100</v>
      </c>
      <c r="X39" s="1263"/>
      <c r="Y39" s="368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88"/>
      <c r="Q40" s="1262">
        <f t="shared" si="14"/>
        <v>111</v>
      </c>
      <c r="R40" s="634" t="s">
        <v>25</v>
      </c>
      <c r="S40" s="635">
        <f t="shared" si="10"/>
        <v>100</v>
      </c>
      <c r="T40" s="634" t="s">
        <v>25</v>
      </c>
      <c r="U40" s="635">
        <f t="shared" si="11"/>
        <v>100</v>
      </c>
      <c r="V40" s="634" t="s">
        <v>25</v>
      </c>
      <c r="W40" s="635">
        <f t="shared" si="12"/>
        <v>100</v>
      </c>
      <c r="X40" s="636"/>
      <c r="Y40" s="3688"/>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56" t="str">
        <f>A41</f>
        <v>成交单价</v>
      </c>
      <c r="Q41" s="3656"/>
      <c r="R41" s="3680">
        <f>E41</f>
        <v>0</v>
      </c>
      <c r="S41" s="3680"/>
      <c r="T41" s="3680">
        <f>G41</f>
        <v>0</v>
      </c>
      <c r="U41" s="3680"/>
      <c r="V41" s="3680">
        <f>I41</f>
        <v>0</v>
      </c>
      <c r="W41" s="3680"/>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56" t="str">
        <f>A42</f>
        <v>比较价值（元/平方米）</v>
      </c>
      <c r="Q42" s="3656"/>
      <c r="R42" s="3697" t="e">
        <f>ROUND(PRODUCT(R41,AA7:AA40),0)</f>
        <v>#DIV/0!</v>
      </c>
      <c r="S42" s="3697"/>
      <c r="T42" s="3697" t="e">
        <f>ROUND(PRODUCT(T41,AB7:AB40),0)</f>
        <v>#DIV/0!</v>
      </c>
      <c r="U42" s="3697"/>
      <c r="V42" s="3697" t="e">
        <f>ROUND(PRODUCT(V41,AC7:AC40),0)</f>
        <v>#DIV/0!</v>
      </c>
      <c r="W42" s="369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91" t="str">
        <f>A43</f>
        <v>估价对象XX用房的比较价值（楼面单价，元/平方米）</v>
      </c>
      <c r="Q43" s="3692"/>
      <c r="R43" s="3696" t="e">
        <f>ROUND(IF(D42="简单平均",AVERAGE(R42:W42),R42*F42+T42*H42+V42*J42),0)</f>
        <v>#DIV/0!</v>
      </c>
      <c r="S43" s="3696"/>
      <c r="T43" s="3696"/>
      <c r="U43" s="3696"/>
      <c r="V43" s="3696"/>
      <c r="W43" s="3696"/>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I24 G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35 E35 G35 I35" xr:uid="{00000000-0002-0000-2000-00000B000000}">
      <formula1>套工宗地形状</formula1>
    </dataValidation>
    <dataValidation type="list" allowBlank="1" showInputMessage="1" showErrorMessage="1" sqref="C29 E29 G29 I29" xr:uid="{00000000-0002-0000-2000-00000C000000}">
      <formula1>套工道路等级</formula1>
    </dataValidation>
    <dataValidation type="list" allowBlank="1" showInputMessage="1" showErrorMessage="1" sqref="C37 E37 G37 I37" xr:uid="{00000000-0002-0000-2000-00000D000000}">
      <formula1>套工地质条件</formula1>
    </dataValidation>
    <dataValidation type="list" allowBlank="1" showInputMessage="1" showErrorMessage="1" sqref="C36 E36 G36 I36" xr:uid="{00000000-0002-0000-2000-00000E000000}">
      <formula1>套工宗地内开发程度</formula1>
    </dataValidation>
    <dataValidation type="list" allowBlank="1" showInputMessage="1" showErrorMessage="1" sqref="C26 E26 G26 I26" xr:uid="{00000000-0002-0000-2000-00000F000000}">
      <formula1>基础设施水平</formula1>
    </dataValidation>
    <dataValidation type="list" allowBlank="1" showInputMessage="1" showErrorMessage="1" sqref="D42" xr:uid="{00000000-0002-0000-2000-000010000000}">
      <formula1>"简单平均,加权平均"</formula1>
    </dataValidation>
    <dataValidation type="list" allowBlank="1" showInputMessage="1" showErrorMessage="1" sqref="D52:D59" xr:uid="{00000000-0002-0000-20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45.57</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2641</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2643</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15"/>
      <c r="B4" s="3716"/>
      <c r="C4" s="3716"/>
      <c r="D4" s="3717"/>
      <c r="E4" s="3717"/>
      <c r="F4" s="3717"/>
      <c r="G4" s="3717"/>
      <c r="H4" s="3717"/>
      <c r="I4" s="3717"/>
      <c r="J4" s="3718"/>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19"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20"/>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13" t="s">
        <v>2292</v>
      </c>
      <c r="X8" s="3714"/>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20"/>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14"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20"/>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14"/>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20"/>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14"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19">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14"/>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21"/>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14"/>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21"/>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22"/>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8">
        <f>IF(E2="办公",2,IF(E2="工业",2,IF(E2="住宅",3,IF(E2="商业",IF(C8="不临58条商业街",2,3)))))</f>
        <v>3</v>
      </c>
      <c r="B16" s="1559" t="s">
        <v>2338</v>
      </c>
      <c r="C16" s="1535">
        <f>ROUND(IF(F17="与级别开发程度一致",0,(G17-E17)/C17),0)</f>
        <v>0</v>
      </c>
      <c r="D16" s="3711" t="s">
        <v>2342</v>
      </c>
      <c r="E16" s="3712"/>
      <c r="F16" s="3711" t="s">
        <v>2339</v>
      </c>
      <c r="G16" s="3712"/>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9"/>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44810</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0.72860000000000003</v>
      </c>
      <c r="D20" s="2130" t="s">
        <v>2354</v>
      </c>
      <c r="E20" s="3071">
        <f>存贷款利率!E22/100</f>
        <v>4.3499999999999997E-2</v>
      </c>
      <c r="F20" s="2130" t="s">
        <v>2343</v>
      </c>
      <c r="G20" s="3072">
        <f>SUMIF(M26:P26,E2,M28:P28)</f>
        <v>0.05</v>
      </c>
      <c r="H20" s="2130" t="s">
        <v>2355</v>
      </c>
      <c r="I20" s="2131">
        <f>'数据-取费表'!B13</f>
        <v>25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45.57</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08"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9"/>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9"/>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10"/>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63.75">
      <c r="A48" s="2206" t="s">
        <v>2414</v>
      </c>
      <c r="B48" s="2210" t="str">
        <f>估价对象房地状况!C16</f>
        <v>估价对象位于朝阳区朝外商圈，周边有悠唐购物中心、丰联广场、侨福芳草地等商业为主，商业繁华度较好。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102">
      <c r="A49" s="2206" t="s">
        <v>2415</v>
      </c>
      <c r="B49" s="2218" t="str">
        <f>估价对象房地状况!C18</f>
        <v>估价对象距离地铁2号线朝阳门站约900米、距离地铁6号线东大桥站约900米，周边有75路、101路、109路、110路、139路、615路等公交通过并设站，综合评价交通便捷度较好。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5.5">
      <c r="A52" s="2206" t="s">
        <v>2419</v>
      </c>
      <c r="B52" s="2218" t="str">
        <f>估价对象房地状况!C24</f>
        <v>估价对象所属项目紧邻南营房胡同，为城市次干道</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153">
      <c r="A54" s="2222" t="s">
        <v>2422</v>
      </c>
      <c r="B54" s="2223" t="str">
        <f>估价对象房地状况!C21</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64.5" thickBot="1">
      <c r="A56" s="2224" t="s">
        <v>2424</v>
      </c>
      <c r="B56" s="2225" t="str">
        <f>估价对象房地状况!C20</f>
        <v>周边有日坛公园、北京工人体育场、北京工体富国海底世界等自然人文环境，综合评价环境状况较好</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102">
      <c r="A60" s="2206" t="s">
        <v>2415</v>
      </c>
      <c r="B60" s="2218" t="str">
        <f>估价对象房地状况!C18</f>
        <v>估价对象距离地铁2号线朝阳门站约900米、距离地铁6号线东大桥站约900米，周边有75路、101路、109路、110路、139路、615路等公交通过并设站，综合评价交通便捷度较好。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5.5">
      <c r="A63" s="2206" t="s">
        <v>2419</v>
      </c>
      <c r="B63" s="2218" t="str">
        <f>估价对象房地状况!C24</f>
        <v>估价对象所属项目紧邻南营房胡同，为城市次干道</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153">
      <c r="A65" s="2206" t="s">
        <v>2422</v>
      </c>
      <c r="B65" s="2223" t="str">
        <f>估价对象房地状况!C21</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64.5" thickBot="1">
      <c r="A67" s="2224" t="s">
        <v>2424</v>
      </c>
      <c r="B67" s="2229" t="str">
        <f>估价对象房地状况!C20</f>
        <v>周边有日坛公园、北京工人体育场、北京工体富国海底世界等自然人文环境，综合评价环境状况较好</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102">
      <c r="A71" s="2206" t="s">
        <v>2415</v>
      </c>
      <c r="B71" s="2218" t="str">
        <f>估价对象房地状况!C18</f>
        <v>估价对象距离地铁2号线朝阳门站约900米、距离地铁6号线东大桥站约900米，周边有75路、101路、109路、110路、139路、615路等公交通过并设站，综合评价交通便捷度较好。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25.5">
      <c r="A73" s="2206" t="s">
        <v>2432</v>
      </c>
      <c r="B73" s="2218" t="str">
        <f>估价对象房地状况!C24</f>
        <v>估价对象所属项目紧邻南营房胡同，为城市次干道</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153">
      <c r="A74" s="2206" t="s">
        <v>2422</v>
      </c>
      <c r="B74" s="2223" t="str">
        <f>估价对象房地状况!C21</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63.75">
      <c r="A77" s="2206" t="s">
        <v>2424</v>
      </c>
      <c r="B77" s="2210" t="str">
        <f>估价对象房地状况!C20</f>
        <v>周边有日坛公园、北京工人体育场、北京工体富国海底世界等自然人文环境，综合评价环境状况较好</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700" t="s">
        <v>2437</v>
      </c>
      <c r="B90" s="3700"/>
      <c r="C90" s="3700"/>
      <c r="D90" s="3700"/>
      <c r="E90" s="3700"/>
      <c r="F90" s="3700"/>
      <c r="G90" s="3700"/>
      <c r="H90" s="3700"/>
      <c r="I90" s="3700"/>
      <c r="J90" s="3700"/>
      <c r="K90" s="2234"/>
      <c r="L90" s="2234"/>
      <c r="M90" s="2234"/>
      <c r="N90" s="2234"/>
      <c r="Q90" s="2976"/>
      <c r="R90" s="2976"/>
      <c r="S90" s="2976"/>
      <c r="T90" s="2976"/>
      <c r="U90" s="2976"/>
      <c r="V90" s="2976"/>
      <c r="W90" s="2976"/>
    </row>
    <row r="91" spans="1:33">
      <c r="A91" s="3702" t="s">
        <v>2438</v>
      </c>
      <c r="B91" s="3702"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02"/>
      <c r="B92" s="3702"/>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03"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04"/>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04"/>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04"/>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04"/>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04"/>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04"/>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05"/>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03"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04"/>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04"/>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04"/>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04"/>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04"/>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04"/>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04"/>
      <c r="B108" s="3706"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05"/>
      <c r="B109" s="3707"/>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1" t="s">
        <v>2445</v>
      </c>
      <c r="B110" s="3701"/>
      <c r="C110" s="3701"/>
      <c r="D110" s="3701"/>
      <c r="E110" s="3701"/>
      <c r="F110" s="3701"/>
      <c r="G110" s="3701"/>
      <c r="H110" s="3701"/>
      <c r="I110" s="3701"/>
      <c r="J110" s="3701"/>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2100-000000000000}">
      <formula1>"500米范围内,500-1000米,1000米以外"</formula1>
    </dataValidation>
    <dataValidation type="list" allowBlank="1" showInputMessage="1" showErrorMessage="1" sqref="C14:E14" xr:uid="{00000000-0002-0000-2100-000001000000}">
      <formula1>"有,无"</formula1>
    </dataValidation>
    <dataValidation type="list" allowBlank="1" showInputMessage="1" showErrorMessage="1" sqref="B21" xr:uid="{00000000-0002-0000-2100-000002000000}">
      <formula1>"容积率修正,楼层修正"</formula1>
    </dataValidation>
    <dataValidation type="list" allowBlank="1" showInputMessage="1" showErrorMessage="1" sqref="F17" xr:uid="{00000000-0002-0000-2100-000003000000}">
      <formula1>"与级别开发程度一致,与级别开发程度不一致"</formula1>
    </dataValidation>
    <dataValidation type="list" allowBlank="1" showInputMessage="1" showErrorMessage="1" sqref="E2" xr:uid="{00000000-0002-0000-2100-000004000000}">
      <formula1>"商业,办公,住宅,工业"</formula1>
    </dataValidation>
    <dataValidation type="list" allowBlank="1" showInputMessage="1" showErrorMessage="1" sqref="C8" xr:uid="{00000000-0002-0000-2100-000005000000}">
      <formula1>商业街名称</formula1>
    </dataValidation>
    <dataValidation type="list" allowBlank="1" showInputMessage="1" showErrorMessage="1" sqref="E3" xr:uid="{00000000-0002-0000-2100-000006000000}">
      <formula1>二级分类</formula1>
    </dataValidation>
    <dataValidation type="list" allowBlank="1" showInputMessage="1" showErrorMessage="1" sqref="C70:C78 C48:C56 C59:C67 C81:C88" xr:uid="{00000000-0002-0000-2100-000007000000}">
      <formula1>五等判定</formula1>
    </dataValidation>
    <dataValidation type="list" allowBlank="1" showInputMessage="1" showErrorMessage="1" sqref="H19" xr:uid="{00000000-0002-0000-2100-000008000000}">
      <formula1>"地价指数,季度增幅（自定义）,按公示增长率计算"</formula1>
    </dataValidation>
    <dataValidation type="list" allowBlank="1" showInputMessage="1" showErrorMessage="1" sqref="H16:O16" xr:uid="{00000000-0002-0000-2100-000009000000}">
      <formula1>七通一平</formula1>
    </dataValidation>
  </dataValidations>
  <pageMargins left="0.7" right="0.7" top="0.75" bottom="0.75" header="0.3" footer="0.3"/>
  <pageSetup paperSize="9" scale="46"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F344"/>
  <sheetViews>
    <sheetView workbookViewId="0">
      <selection sqref="A1:IV65536"/>
    </sheetView>
  </sheetViews>
  <sheetFormatPr defaultRowHeight="13.5"/>
  <cols>
    <col min="1" max="1" width="12.625" style="739" customWidth="1"/>
    <col min="2" max="2" width="10.25" style="674" customWidth="1"/>
  </cols>
  <sheetData>
    <row r="1" spans="1:6">
      <c r="A1" s="3723" t="s">
        <v>597</v>
      </c>
      <c r="B1" s="372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估价对象位于朝阳区朝外商圈，周边有悠唐购物中心、丰联广场、侨福芳草地等商业为主，商业繁华度较好。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48">
      <c r="A5" s="680" t="s">
        <v>535</v>
      </c>
      <c r="B5" s="691" t="str">
        <f>估价对象房地状况!C6</f>
        <v>估价对象距离地铁2号线朝阳门站约900米、距离地铁6号线东大桥站约900米，周边有75路、101路、109路、110路、139路、615路等公交通过并设站，综合评价交通便捷度较好。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估价对象所属项目紧邻南营房胡同，为城市次干道</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96">
      <c r="A10" s="693" t="s">
        <v>540</v>
      </c>
      <c r="B10" s="879" t="str">
        <f>估价对象房地状况!C7</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75" thickBot="1">
      <c r="A12" s="694" t="s">
        <v>542</v>
      </c>
      <c r="B12" s="695" t="str">
        <f>估价对象房地状况!C9</f>
        <v>周边有日坛公园、北京工人体育场、北京工体富国海底世界等自然人文环境，综合评价环境状况较好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48">
      <c r="A16" s="680" t="s">
        <v>535</v>
      </c>
      <c r="B16" s="681" t="str">
        <f>估价对象房地状况!C6</f>
        <v>估价对象距离地铁2号线朝阳门站约900米、距离地铁6号线东大桥站约900米，周边有75路、101路、109路、110路、139路、615路等公交通过并设站，综合评价交通便捷度较好。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估价对象所属项目紧邻南营房胡同，为城市次干道</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96">
      <c r="A21" s="680" t="s">
        <v>540</v>
      </c>
      <c r="B21" s="879" t="str">
        <f>估价对象房地状况!C7</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75" thickBot="1">
      <c r="A23" s="694" t="s">
        <v>542</v>
      </c>
      <c r="B23" s="698" t="str">
        <f>估价对象房地状况!C9</f>
        <v>周边有日坛公园、北京工人体育场、北京工体富国海底世界等自然人文环境，综合评价环境状况较好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48">
      <c r="A27" s="680" t="s">
        <v>535</v>
      </c>
      <c r="B27" s="681" t="str">
        <f>估价对象房地状况!C6</f>
        <v>估价对象距离地铁2号线朝阳门站约900米、距离地铁6号线东大桥站约900米，周边有75路、101路、109路、110路、139路、615路等公交通过并设站，综合评价交通便捷度较好。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估价对象所属项目紧邻南营房胡同，为城市次干道</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96">
      <c r="A30" s="680" t="s">
        <v>540</v>
      </c>
      <c r="B30" s="879" t="str">
        <f>估价对象房地状况!C7</f>
        <v>银行：中国农业银行、中国建设银行等金融机构；
医院：首都儿研所、朝阳区中医医院、中西医结合医院等医疗机构；
学校：芳草地国际学校、陈经伦中学、南中街民族小学等教育机构；
商业：悠唐购物中心、丰联广场、侨福芳草地等商业网点；
综上，公共配套设施较好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周边有日坛公园、北京工人体育场、北京工体富国海底世界等自然人文环境，综合评价环境状况较好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300-000000000000}">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3" t="s">
        <v>105</v>
      </c>
      <c r="B1" s="3723"/>
      <c r="C1" s="3723"/>
      <c r="D1" s="3723"/>
      <c r="E1" s="3723"/>
      <c r="F1" s="372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4" t="s">
        <v>118</v>
      </c>
      <c r="B2" s="3724"/>
      <c r="C2" s="3724"/>
      <c r="D2" s="3724"/>
      <c r="E2" s="3724"/>
      <c r="F2" s="372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2801</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2802</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2803</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2804</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2805</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2806</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2807</v>
      </c>
      <c r="B19" s="3288" t="s">
        <v>2808</v>
      </c>
      <c r="C19" s="3315" t="s">
        <v>561</v>
      </c>
      <c r="D19" s="3287"/>
      <c r="E19" s="3283" t="s">
        <v>3025</v>
      </c>
      <c r="F19" s="3316"/>
      <c r="G19" s="3316"/>
    </row>
    <row r="20" spans="1:13" ht="19.5" customHeight="1">
      <c r="A20" s="3731" t="s">
        <v>2801</v>
      </c>
      <c r="B20" s="3734" t="s">
        <v>2809</v>
      </c>
      <c r="C20" s="3289" t="s">
        <v>2810</v>
      </c>
      <c r="D20" s="3290"/>
      <c r="E20" s="3291">
        <v>1</v>
      </c>
      <c r="F20" s="3292" t="s">
        <v>2811</v>
      </c>
      <c r="G20" s="3292"/>
    </row>
    <row r="21" spans="1:13" ht="19.5" customHeight="1">
      <c r="A21" s="3732"/>
      <c r="B21" s="3730"/>
      <c r="C21" s="740" t="s">
        <v>2812</v>
      </c>
      <c r="D21" s="741"/>
      <c r="E21" s="3293">
        <v>1</v>
      </c>
      <c r="F21" s="3292" t="s">
        <v>2813</v>
      </c>
      <c r="G21" s="3292"/>
    </row>
    <row r="22" spans="1:13" ht="19.5" customHeight="1">
      <c r="A22" s="3732"/>
      <c r="B22" s="3730"/>
      <c r="C22" s="740" t="s">
        <v>2814</v>
      </c>
      <c r="D22" s="741"/>
      <c r="E22" s="3293">
        <v>0.9</v>
      </c>
      <c r="F22" s="3292" t="s">
        <v>2815</v>
      </c>
      <c r="G22" s="3292"/>
    </row>
    <row r="23" spans="1:13" ht="19.5" customHeight="1">
      <c r="A23" s="3732"/>
      <c r="B23" s="3730"/>
      <c r="C23" s="740" t="s">
        <v>2816</v>
      </c>
      <c r="D23" s="741"/>
      <c r="E23" s="3293">
        <v>0.9</v>
      </c>
      <c r="F23" s="3292" t="s">
        <v>2817</v>
      </c>
      <c r="G23" s="3292"/>
    </row>
    <row r="24" spans="1:13" ht="19.5" customHeight="1">
      <c r="A24" s="3732"/>
      <c r="B24" s="3730"/>
      <c r="C24" s="740" t="s">
        <v>2818</v>
      </c>
      <c r="D24" s="741"/>
      <c r="E24" s="3293">
        <v>0.8</v>
      </c>
      <c r="F24" s="3292" t="s">
        <v>2819</v>
      </c>
      <c r="G24" s="3292"/>
    </row>
    <row r="25" spans="1:13" ht="19.5" customHeight="1" thickBot="1">
      <c r="A25" s="3733"/>
      <c r="B25" s="3735"/>
      <c r="C25" s="3294" t="s">
        <v>2820</v>
      </c>
      <c r="D25" s="3295"/>
      <c r="E25" s="3296">
        <v>0.8</v>
      </c>
      <c r="F25" s="3292" t="s">
        <v>2821</v>
      </c>
      <c r="G25" s="3292"/>
    </row>
    <row r="26" spans="1:13" ht="19.5" customHeight="1" thickBot="1">
      <c r="A26" s="3297" t="s">
        <v>2802</v>
      </c>
      <c r="B26" s="3298" t="s">
        <v>2809</v>
      </c>
      <c r="C26" s="3299" t="s">
        <v>2822</v>
      </c>
      <c r="D26" s="3300"/>
      <c r="E26" s="3301">
        <v>1</v>
      </c>
      <c r="F26" s="3292" t="s">
        <v>2863</v>
      </c>
      <c r="G26" s="3292"/>
    </row>
    <row r="27" spans="1:13" ht="19.5" customHeight="1">
      <c r="A27" s="3736" t="s">
        <v>2806</v>
      </c>
      <c r="B27" s="3734" t="s">
        <v>2806</v>
      </c>
      <c r="C27" s="3289" t="s">
        <v>2823</v>
      </c>
      <c r="D27" s="3290"/>
      <c r="E27" s="3291">
        <v>1</v>
      </c>
      <c r="F27" s="3292" t="s">
        <v>2864</v>
      </c>
      <c r="G27" s="3292"/>
    </row>
    <row r="28" spans="1:13" ht="19.5" customHeight="1">
      <c r="A28" s="3737"/>
      <c r="B28" s="3730"/>
      <c r="C28" s="740" t="s">
        <v>2824</v>
      </c>
      <c r="D28" s="741"/>
      <c r="E28" s="3293">
        <v>1</v>
      </c>
      <c r="F28" s="3292" t="s">
        <v>2865</v>
      </c>
      <c r="G28" s="3292"/>
    </row>
    <row r="29" spans="1:13" ht="19.5" customHeight="1">
      <c r="A29" s="3737"/>
      <c r="B29" s="3730"/>
      <c r="C29" s="740" t="s">
        <v>2825</v>
      </c>
      <c r="D29" s="741"/>
      <c r="E29" s="3293">
        <v>0.8</v>
      </c>
      <c r="F29" s="3292" t="s">
        <v>2866</v>
      </c>
      <c r="G29" s="3292"/>
    </row>
    <row r="30" spans="1:13" ht="19.5" customHeight="1">
      <c r="A30" s="3737"/>
      <c r="B30" s="3730"/>
      <c r="C30" s="740" t="s">
        <v>2826</v>
      </c>
      <c r="D30" s="741"/>
      <c r="E30" s="3293">
        <v>0.8</v>
      </c>
      <c r="F30" s="3292" t="s">
        <v>2867</v>
      </c>
      <c r="G30" s="3292"/>
    </row>
    <row r="31" spans="1:13" ht="19.5" customHeight="1">
      <c r="A31" s="3737"/>
      <c r="B31" s="3730"/>
      <c r="C31" s="740" t="s">
        <v>2827</v>
      </c>
      <c r="D31" s="741"/>
      <c r="E31" s="3293">
        <v>0.8</v>
      </c>
      <c r="F31" s="3292" t="s">
        <v>2868</v>
      </c>
      <c r="G31" s="3292"/>
    </row>
    <row r="32" spans="1:13" ht="19.5" customHeight="1">
      <c r="A32" s="3737"/>
      <c r="B32" s="3730"/>
      <c r="C32" s="740" t="s">
        <v>2828</v>
      </c>
      <c r="D32" s="741"/>
      <c r="E32" s="3293">
        <v>0.7</v>
      </c>
      <c r="F32" s="3292" t="s">
        <v>2869</v>
      </c>
      <c r="G32" s="3292"/>
    </row>
    <row r="33" spans="1:7" ht="19.5" customHeight="1">
      <c r="A33" s="3737"/>
      <c r="B33" s="3730"/>
      <c r="C33" s="740" t="s">
        <v>2829</v>
      </c>
      <c r="D33" s="741"/>
      <c r="E33" s="3293">
        <v>0.8</v>
      </c>
      <c r="F33" s="3292" t="s">
        <v>2870</v>
      </c>
      <c r="G33" s="3292"/>
    </row>
    <row r="34" spans="1:7" ht="19.5" customHeight="1">
      <c r="A34" s="3737"/>
      <c r="B34" s="3730"/>
      <c r="C34" s="740" t="s">
        <v>2830</v>
      </c>
      <c r="D34" s="741"/>
      <c r="E34" s="3293">
        <v>0.6</v>
      </c>
      <c r="F34" s="3292" t="s">
        <v>2871</v>
      </c>
      <c r="G34" s="3292"/>
    </row>
    <row r="35" spans="1:7" ht="19.5" customHeight="1">
      <c r="A35" s="3737"/>
      <c r="B35" s="3730"/>
      <c r="C35" s="740" t="s">
        <v>2831</v>
      </c>
      <c r="D35" s="741"/>
      <c r="E35" s="3293">
        <v>0.2</v>
      </c>
      <c r="F35" s="3292" t="s">
        <v>2872</v>
      </c>
      <c r="G35" s="3292"/>
    </row>
    <row r="36" spans="1:7" ht="19.5" customHeight="1">
      <c r="A36" s="3737"/>
      <c r="B36" s="3730"/>
      <c r="C36" s="740" t="s">
        <v>2832</v>
      </c>
      <c r="D36" s="741"/>
      <c r="E36" s="3293">
        <v>0.2</v>
      </c>
      <c r="F36" s="3292" t="s">
        <v>2873</v>
      </c>
      <c r="G36" s="3292"/>
    </row>
    <row r="37" spans="1:7" ht="19.5" customHeight="1">
      <c r="A37" s="3737"/>
      <c r="B37" s="3728" t="s">
        <v>2833</v>
      </c>
      <c r="C37" s="740" t="s">
        <v>2834</v>
      </c>
      <c r="D37" s="741"/>
      <c r="E37" s="3293">
        <v>0.6</v>
      </c>
      <c r="F37" s="3292" t="s">
        <v>2874</v>
      </c>
      <c r="G37" s="3292"/>
    </row>
    <row r="38" spans="1:7" ht="19.5" customHeight="1">
      <c r="A38" s="3737"/>
      <c r="B38" s="3730"/>
      <c r="C38" s="740" t="s">
        <v>2835</v>
      </c>
      <c r="D38" s="741"/>
      <c r="E38" s="3293">
        <v>0.6</v>
      </c>
      <c r="F38" s="3292" t="s">
        <v>2875</v>
      </c>
      <c r="G38" s="3292"/>
    </row>
    <row r="39" spans="1:7" ht="19.5" customHeight="1" thickBot="1">
      <c r="A39" s="3738"/>
      <c r="B39" s="3735"/>
      <c r="C39" s="3294" t="s">
        <v>2836</v>
      </c>
      <c r="D39" s="3295"/>
      <c r="E39" s="3296">
        <v>0.6</v>
      </c>
      <c r="F39" s="3292" t="s">
        <v>2876</v>
      </c>
      <c r="G39" s="3292"/>
    </row>
    <row r="40" spans="1:7" ht="19.5" customHeight="1" thickBot="1">
      <c r="A40" s="3297" t="s">
        <v>2837</v>
      </c>
      <c r="B40" s="3298" t="s">
        <v>2837</v>
      </c>
      <c r="C40" s="3299" t="s">
        <v>2838</v>
      </c>
      <c r="D40" s="3300"/>
      <c r="E40" s="3301">
        <v>1</v>
      </c>
      <c r="F40" s="3292" t="s">
        <v>2877</v>
      </c>
      <c r="G40" s="3292"/>
    </row>
    <row r="41" spans="1:7" ht="19.5" customHeight="1">
      <c r="A41" s="3731" t="s">
        <v>2839</v>
      </c>
      <c r="B41" s="3734" t="s">
        <v>2840</v>
      </c>
      <c r="C41" s="3289" t="s">
        <v>2841</v>
      </c>
      <c r="D41" s="3290"/>
      <c r="E41" s="3291">
        <v>1</v>
      </c>
      <c r="F41" s="3292" t="s">
        <v>2842</v>
      </c>
      <c r="G41" s="3292"/>
    </row>
    <row r="42" spans="1:7" ht="19.5" customHeight="1">
      <c r="A42" s="3732"/>
      <c r="B42" s="3730"/>
      <c r="C42" s="740" t="s">
        <v>2843</v>
      </c>
      <c r="D42" s="741"/>
      <c r="E42" s="3293">
        <v>1</v>
      </c>
      <c r="F42" s="3292" t="s">
        <v>2844</v>
      </c>
      <c r="G42" s="3292"/>
    </row>
    <row r="43" spans="1:7" ht="19.5" customHeight="1">
      <c r="A43" s="3732"/>
      <c r="B43" s="3729"/>
      <c r="C43" s="740" t="s">
        <v>2845</v>
      </c>
      <c r="D43" s="741"/>
      <c r="E43" s="3293">
        <v>1.5</v>
      </c>
      <c r="F43" s="3292" t="s">
        <v>2846</v>
      </c>
      <c r="G43" s="3292"/>
    </row>
    <row r="44" spans="1:7" ht="19.5" customHeight="1">
      <c r="A44" s="3732"/>
      <c r="B44" s="3302" t="s">
        <v>2806</v>
      </c>
      <c r="C44" s="740" t="s">
        <v>2805</v>
      </c>
      <c r="D44" s="741"/>
      <c r="E44" s="3293">
        <v>2</v>
      </c>
      <c r="F44" s="3292" t="s">
        <v>2847</v>
      </c>
      <c r="G44" s="3292"/>
    </row>
    <row r="45" spans="1:7" ht="19.5" customHeight="1">
      <c r="A45" s="3732"/>
      <c r="B45" s="3728" t="s">
        <v>2848</v>
      </c>
      <c r="C45" s="740" t="s">
        <v>2849</v>
      </c>
      <c r="D45" s="741"/>
      <c r="E45" s="3293">
        <v>1</v>
      </c>
      <c r="F45" s="3292" t="s">
        <v>2850</v>
      </c>
      <c r="G45" s="3292"/>
    </row>
    <row r="46" spans="1:7" ht="19.5" customHeight="1">
      <c r="A46" s="3732"/>
      <c r="B46" s="3730"/>
      <c r="C46" s="740" t="s">
        <v>2851</v>
      </c>
      <c r="D46" s="741"/>
      <c r="E46" s="3293">
        <v>1</v>
      </c>
      <c r="F46" s="3292" t="s">
        <v>2852</v>
      </c>
      <c r="G46" s="3292"/>
    </row>
    <row r="47" spans="1:7" ht="19.5" customHeight="1">
      <c r="A47" s="3732"/>
      <c r="B47" s="3730"/>
      <c r="C47" s="740" t="s">
        <v>2853</v>
      </c>
      <c r="D47" s="741"/>
      <c r="E47" s="3293">
        <v>1</v>
      </c>
      <c r="F47" s="3292" t="s">
        <v>2854</v>
      </c>
      <c r="G47" s="3292"/>
    </row>
    <row r="48" spans="1:7" ht="19.5" customHeight="1">
      <c r="A48" s="3732"/>
      <c r="B48" s="3730"/>
      <c r="C48" s="740" t="s">
        <v>2855</v>
      </c>
      <c r="D48" s="741"/>
      <c r="E48" s="3293">
        <v>1</v>
      </c>
      <c r="F48" s="3292" t="s">
        <v>2856</v>
      </c>
      <c r="G48" s="3292"/>
    </row>
    <row r="49" spans="1:7" ht="19.5" customHeight="1">
      <c r="A49" s="3732"/>
      <c r="B49" s="3730"/>
      <c r="C49" s="740" t="s">
        <v>2857</v>
      </c>
      <c r="D49" s="741"/>
      <c r="E49" s="3293">
        <v>1</v>
      </c>
      <c r="F49" s="3292" t="s">
        <v>2858</v>
      </c>
      <c r="G49" s="3292"/>
    </row>
    <row r="50" spans="1:7" ht="19.5" customHeight="1">
      <c r="A50" s="3732"/>
      <c r="B50" s="3730"/>
      <c r="C50" s="740" t="s">
        <v>2859</v>
      </c>
      <c r="D50" s="741"/>
      <c r="E50" s="3293">
        <v>1</v>
      </c>
      <c r="F50" s="3292" t="s">
        <v>2860</v>
      </c>
      <c r="G50" s="3292"/>
    </row>
    <row r="51" spans="1:7" ht="19.5" customHeight="1" thickBot="1">
      <c r="A51" s="3733"/>
      <c r="B51" s="3735"/>
      <c r="C51" s="3294" t="s">
        <v>2861</v>
      </c>
      <c r="D51" s="3295"/>
      <c r="E51" s="3296">
        <v>1</v>
      </c>
      <c r="F51" s="3292" t="s">
        <v>2862</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2878</v>
      </c>
      <c r="D72" s="3302"/>
      <c r="E72" s="3308" t="s">
        <v>1</v>
      </c>
      <c r="F72" s="3302" t="s">
        <v>1</v>
      </c>
    </row>
    <row r="73" spans="1:7" ht="13.5">
      <c r="A73" s="3302">
        <v>1</v>
      </c>
      <c r="B73" s="3728" t="s">
        <v>2879</v>
      </c>
      <c r="C73" s="3283" t="s">
        <v>2880</v>
      </c>
      <c r="D73" s="3283" t="s">
        <v>2881</v>
      </c>
      <c r="E73" s="3308">
        <v>0.2</v>
      </c>
      <c r="F73" s="3302">
        <v>25</v>
      </c>
    </row>
    <row r="74" spans="1:7" ht="24">
      <c r="A74" s="3302">
        <v>2</v>
      </c>
      <c r="B74" s="3730"/>
      <c r="C74" s="3283" t="s">
        <v>2882</v>
      </c>
      <c r="D74" s="3283" t="s">
        <v>2883</v>
      </c>
      <c r="E74" s="3308">
        <v>0.2</v>
      </c>
      <c r="F74" s="3302">
        <v>25</v>
      </c>
    </row>
    <row r="75" spans="1:7" ht="24">
      <c r="A75" s="3302">
        <v>3</v>
      </c>
      <c r="B75" s="3730"/>
      <c r="C75" s="3283" t="s">
        <v>2884</v>
      </c>
      <c r="D75" s="3283" t="s">
        <v>2885</v>
      </c>
      <c r="E75" s="3308">
        <v>0.2</v>
      </c>
      <c r="F75" s="3302">
        <v>25</v>
      </c>
    </row>
    <row r="76" spans="1:7" ht="13.5">
      <c r="A76" s="3302">
        <v>4</v>
      </c>
      <c r="B76" s="3730"/>
      <c r="C76" s="3283" t="s">
        <v>2886</v>
      </c>
      <c r="D76" s="3283" t="s">
        <v>2887</v>
      </c>
      <c r="E76" s="3308">
        <v>0.15</v>
      </c>
      <c r="F76" s="3302">
        <v>20</v>
      </c>
    </row>
    <row r="77" spans="1:7" ht="24">
      <c r="A77" s="3302">
        <v>5</v>
      </c>
      <c r="B77" s="3730"/>
      <c r="C77" s="3283" t="s">
        <v>2888</v>
      </c>
      <c r="D77" s="3283" t="s">
        <v>2889</v>
      </c>
      <c r="E77" s="3308">
        <v>0.15</v>
      </c>
      <c r="F77" s="3302">
        <v>20</v>
      </c>
    </row>
    <row r="78" spans="1:7" ht="24">
      <c r="A78" s="3302">
        <v>6</v>
      </c>
      <c r="B78" s="3730"/>
      <c r="C78" s="3283" t="s">
        <v>2890</v>
      </c>
      <c r="D78" s="3283" t="s">
        <v>2891</v>
      </c>
      <c r="E78" s="3308">
        <v>0.15</v>
      </c>
      <c r="F78" s="3302">
        <v>20</v>
      </c>
    </row>
    <row r="79" spans="1:7" ht="24">
      <c r="A79" s="3302">
        <v>7</v>
      </c>
      <c r="B79" s="3730"/>
      <c r="C79" s="3283" t="s">
        <v>2892</v>
      </c>
      <c r="D79" s="3283" t="s">
        <v>2893</v>
      </c>
      <c r="E79" s="3308">
        <v>0.15</v>
      </c>
      <c r="F79" s="3302">
        <v>20</v>
      </c>
    </row>
    <row r="80" spans="1:7" ht="24">
      <c r="A80" s="3302">
        <v>8</v>
      </c>
      <c r="B80" s="3730"/>
      <c r="C80" s="3283" t="s">
        <v>2894</v>
      </c>
      <c r="D80" s="3283" t="s">
        <v>2895</v>
      </c>
      <c r="E80" s="3308">
        <v>0.1</v>
      </c>
      <c r="F80" s="3302">
        <v>15</v>
      </c>
    </row>
    <row r="81" spans="1:6" ht="24">
      <c r="A81" s="3302">
        <v>9</v>
      </c>
      <c r="B81" s="3730"/>
      <c r="C81" s="3283" t="s">
        <v>2896</v>
      </c>
      <c r="D81" s="3283" t="s">
        <v>2897</v>
      </c>
      <c r="E81" s="3308">
        <v>0.1</v>
      </c>
      <c r="F81" s="3302">
        <v>15</v>
      </c>
    </row>
    <row r="82" spans="1:6" ht="24">
      <c r="A82" s="3302">
        <v>10</v>
      </c>
      <c r="B82" s="3730"/>
      <c r="C82" s="3283" t="s">
        <v>2898</v>
      </c>
      <c r="D82" s="3283" t="s">
        <v>2899</v>
      </c>
      <c r="E82" s="3308">
        <v>0.1</v>
      </c>
      <c r="F82" s="3302">
        <v>15</v>
      </c>
    </row>
    <row r="83" spans="1:6" ht="24">
      <c r="A83" s="3302">
        <v>11</v>
      </c>
      <c r="B83" s="3730"/>
      <c r="C83" s="3283" t="s">
        <v>2900</v>
      </c>
      <c r="D83" s="3283" t="s">
        <v>2901</v>
      </c>
      <c r="E83" s="3308">
        <v>0.1</v>
      </c>
      <c r="F83" s="3302">
        <v>15</v>
      </c>
    </row>
    <row r="84" spans="1:6" ht="24">
      <c r="A84" s="3302">
        <v>12</v>
      </c>
      <c r="B84" s="3730"/>
      <c r="C84" s="3283" t="s">
        <v>2902</v>
      </c>
      <c r="D84" s="3283" t="s">
        <v>2903</v>
      </c>
      <c r="E84" s="3308">
        <v>0.1</v>
      </c>
      <c r="F84" s="3302">
        <v>15</v>
      </c>
    </row>
    <row r="85" spans="1:6" ht="13.5">
      <c r="A85" s="3302">
        <v>13</v>
      </c>
      <c r="B85" s="3730"/>
      <c r="C85" s="3283" t="s">
        <v>2904</v>
      </c>
      <c r="D85" s="3283" t="s">
        <v>2905</v>
      </c>
      <c r="E85" s="3308">
        <v>0.1</v>
      </c>
      <c r="F85" s="3302">
        <v>15</v>
      </c>
    </row>
    <row r="86" spans="1:6" ht="13.5">
      <c r="A86" s="3302">
        <v>14</v>
      </c>
      <c r="B86" s="3730"/>
      <c r="C86" s="3283" t="s">
        <v>2906</v>
      </c>
      <c r="D86" s="3283" t="s">
        <v>2907</v>
      </c>
      <c r="E86" s="3308">
        <v>0.1</v>
      </c>
      <c r="F86" s="3302">
        <v>15</v>
      </c>
    </row>
    <row r="87" spans="1:6" ht="13.5">
      <c r="A87" s="3302">
        <v>15</v>
      </c>
      <c r="B87" s="3730"/>
      <c r="C87" s="3283" t="s">
        <v>2908</v>
      </c>
      <c r="D87" s="3283" t="s">
        <v>2909</v>
      </c>
      <c r="E87" s="3308">
        <v>0.1</v>
      </c>
      <c r="F87" s="3302">
        <v>15</v>
      </c>
    </row>
    <row r="88" spans="1:6" ht="24">
      <c r="A88" s="3302">
        <v>16</v>
      </c>
      <c r="B88" s="3730"/>
      <c r="C88" s="3283" t="s">
        <v>2910</v>
      </c>
      <c r="D88" s="3283" t="s">
        <v>2911</v>
      </c>
      <c r="E88" s="3308">
        <v>0.1</v>
      </c>
      <c r="F88" s="3302">
        <v>15</v>
      </c>
    </row>
    <row r="89" spans="1:6" ht="24">
      <c r="A89" s="3302">
        <v>17</v>
      </c>
      <c r="B89" s="3729"/>
      <c r="C89" s="3283" t="s">
        <v>2912</v>
      </c>
      <c r="D89" s="3283" t="s">
        <v>2913</v>
      </c>
      <c r="E89" s="3308">
        <v>0.1</v>
      </c>
      <c r="F89" s="3302">
        <v>15</v>
      </c>
    </row>
    <row r="90" spans="1:6" ht="13.5">
      <c r="A90" s="3302">
        <v>18</v>
      </c>
      <c r="B90" s="3728" t="s">
        <v>2914</v>
      </c>
      <c r="C90" s="3283" t="s">
        <v>2915</v>
      </c>
      <c r="D90" s="3283" t="s">
        <v>2916</v>
      </c>
      <c r="E90" s="3308">
        <v>0.2</v>
      </c>
      <c r="F90" s="3302">
        <v>25</v>
      </c>
    </row>
    <row r="91" spans="1:6" ht="24">
      <c r="A91" s="3302">
        <v>19</v>
      </c>
      <c r="B91" s="3730"/>
      <c r="C91" s="3283" t="s">
        <v>2917</v>
      </c>
      <c r="D91" s="3283" t="s">
        <v>2918</v>
      </c>
      <c r="E91" s="3308">
        <v>0.2</v>
      </c>
      <c r="F91" s="3302">
        <v>25</v>
      </c>
    </row>
    <row r="92" spans="1:6" ht="13.5">
      <c r="A92" s="3302">
        <v>20</v>
      </c>
      <c r="B92" s="3730"/>
      <c r="C92" s="3283" t="s">
        <v>2919</v>
      </c>
      <c r="D92" s="3283" t="s">
        <v>2920</v>
      </c>
      <c r="E92" s="3308">
        <v>0.15</v>
      </c>
      <c r="F92" s="3302">
        <v>20</v>
      </c>
    </row>
    <row r="93" spans="1:6" ht="24">
      <c r="A93" s="3302">
        <v>21</v>
      </c>
      <c r="B93" s="3730"/>
      <c r="C93" s="3283" t="s">
        <v>2921</v>
      </c>
      <c r="D93" s="3283" t="s">
        <v>2922</v>
      </c>
      <c r="E93" s="3308">
        <v>0.15</v>
      </c>
      <c r="F93" s="3302">
        <v>20</v>
      </c>
    </row>
    <row r="94" spans="1:6" ht="24">
      <c r="A94" s="3302">
        <v>22</v>
      </c>
      <c r="B94" s="3730"/>
      <c r="C94" s="3283" t="s">
        <v>2923</v>
      </c>
      <c r="D94" s="3283" t="s">
        <v>2924</v>
      </c>
      <c r="E94" s="3308">
        <v>0.15</v>
      </c>
      <c r="F94" s="3302">
        <v>20</v>
      </c>
    </row>
    <row r="95" spans="1:6" ht="36">
      <c r="A95" s="3302">
        <v>23</v>
      </c>
      <c r="B95" s="3730"/>
      <c r="C95" s="3283" t="s">
        <v>2925</v>
      </c>
      <c r="D95" s="3283" t="s">
        <v>2926</v>
      </c>
      <c r="E95" s="3308">
        <v>0.15</v>
      </c>
      <c r="F95" s="3302">
        <v>20</v>
      </c>
    </row>
    <row r="96" spans="1:6" ht="13.5">
      <c r="A96" s="3302">
        <v>24</v>
      </c>
      <c r="B96" s="3730"/>
      <c r="C96" s="3283" t="s">
        <v>2927</v>
      </c>
      <c r="D96" s="3283" t="s">
        <v>2928</v>
      </c>
      <c r="E96" s="3308">
        <v>0.1</v>
      </c>
      <c r="F96" s="3302">
        <v>15</v>
      </c>
    </row>
    <row r="97" spans="1:6" ht="24">
      <c r="A97" s="3302">
        <v>25</v>
      </c>
      <c r="B97" s="3730"/>
      <c r="C97" s="3283" t="s">
        <v>2929</v>
      </c>
      <c r="D97" s="3283" t="s">
        <v>2930</v>
      </c>
      <c r="E97" s="3308">
        <v>0.1</v>
      </c>
      <c r="F97" s="3302">
        <v>15</v>
      </c>
    </row>
    <row r="98" spans="1:6" ht="24">
      <c r="A98" s="3302">
        <v>26</v>
      </c>
      <c r="B98" s="3730"/>
      <c r="C98" s="3283" t="s">
        <v>2931</v>
      </c>
      <c r="D98" s="3283" t="s">
        <v>2932</v>
      </c>
      <c r="E98" s="3308">
        <v>0.1</v>
      </c>
      <c r="F98" s="3302">
        <v>15</v>
      </c>
    </row>
    <row r="99" spans="1:6" ht="24">
      <c r="A99" s="3302">
        <v>27</v>
      </c>
      <c r="B99" s="3730"/>
      <c r="C99" s="3283" t="s">
        <v>2933</v>
      </c>
      <c r="D99" s="3283" t="s">
        <v>2934</v>
      </c>
      <c r="E99" s="3308">
        <v>0.1</v>
      </c>
      <c r="F99" s="3302">
        <v>15</v>
      </c>
    </row>
    <row r="100" spans="1:6" ht="24">
      <c r="A100" s="3302">
        <v>28</v>
      </c>
      <c r="B100" s="3730"/>
      <c r="C100" s="3283" t="s">
        <v>2935</v>
      </c>
      <c r="D100" s="3283" t="s">
        <v>2936</v>
      </c>
      <c r="E100" s="3308">
        <v>0.1</v>
      </c>
      <c r="F100" s="3302">
        <v>15</v>
      </c>
    </row>
    <row r="101" spans="1:6" ht="24">
      <c r="A101" s="3302">
        <v>29</v>
      </c>
      <c r="B101" s="3730"/>
      <c r="C101" s="3283" t="s">
        <v>2937</v>
      </c>
      <c r="D101" s="3283" t="s">
        <v>2938</v>
      </c>
      <c r="E101" s="3308">
        <v>0.1</v>
      </c>
      <c r="F101" s="3302">
        <v>15</v>
      </c>
    </row>
    <row r="102" spans="1:6" ht="24">
      <c r="A102" s="3302">
        <v>30</v>
      </c>
      <c r="B102" s="3730"/>
      <c r="C102" s="3283" t="s">
        <v>2939</v>
      </c>
      <c r="D102" s="3283" t="s">
        <v>2940</v>
      </c>
      <c r="E102" s="3308">
        <v>0.1</v>
      </c>
      <c r="F102" s="3302">
        <v>15</v>
      </c>
    </row>
    <row r="103" spans="1:6" ht="24">
      <c r="A103" s="3302">
        <v>31</v>
      </c>
      <c r="B103" s="3730"/>
      <c r="C103" s="3283" t="s">
        <v>2941</v>
      </c>
      <c r="D103" s="3283" t="s">
        <v>2942</v>
      </c>
      <c r="E103" s="3308">
        <v>0.1</v>
      </c>
      <c r="F103" s="3302">
        <v>15</v>
      </c>
    </row>
    <row r="104" spans="1:6" ht="24">
      <c r="A104" s="3302">
        <v>32</v>
      </c>
      <c r="B104" s="3730"/>
      <c r="C104" s="3283" t="s">
        <v>2943</v>
      </c>
      <c r="D104" s="3283" t="s">
        <v>2944</v>
      </c>
      <c r="E104" s="3308">
        <v>0.1</v>
      </c>
      <c r="F104" s="3302">
        <v>15</v>
      </c>
    </row>
    <row r="105" spans="1:6" ht="24">
      <c r="A105" s="3302">
        <v>33</v>
      </c>
      <c r="B105" s="3730"/>
      <c r="C105" s="3283" t="s">
        <v>2945</v>
      </c>
      <c r="D105" s="3283" t="s">
        <v>2946</v>
      </c>
      <c r="E105" s="3308">
        <v>0.1</v>
      </c>
      <c r="F105" s="3302">
        <v>15</v>
      </c>
    </row>
    <row r="106" spans="1:6" ht="24">
      <c r="A106" s="3302">
        <v>34</v>
      </c>
      <c r="B106" s="3729"/>
      <c r="C106" s="3283" t="s">
        <v>2947</v>
      </c>
      <c r="D106" s="3283" t="s">
        <v>2948</v>
      </c>
      <c r="E106" s="3308">
        <v>0.1</v>
      </c>
      <c r="F106" s="3302">
        <v>15</v>
      </c>
    </row>
    <row r="107" spans="1:6" ht="24">
      <c r="A107" s="3302">
        <v>35</v>
      </c>
      <c r="B107" s="3728" t="s">
        <v>2949</v>
      </c>
      <c r="C107" s="3302" t="s">
        <v>2950</v>
      </c>
      <c r="D107" s="3283" t="s">
        <v>2951</v>
      </c>
      <c r="E107" s="3308">
        <v>0.15</v>
      </c>
      <c r="F107" s="3302">
        <v>20</v>
      </c>
    </row>
    <row r="108" spans="1:6" ht="24">
      <c r="A108" s="3302">
        <v>36</v>
      </c>
      <c r="B108" s="3730"/>
      <c r="C108" s="3302" t="s">
        <v>2952</v>
      </c>
      <c r="D108" s="3283" t="s">
        <v>2953</v>
      </c>
      <c r="E108" s="3308">
        <v>0.15</v>
      </c>
      <c r="F108" s="3302">
        <v>20</v>
      </c>
    </row>
    <row r="109" spans="1:6" ht="24">
      <c r="A109" s="3302">
        <v>37</v>
      </c>
      <c r="B109" s="3730"/>
      <c r="C109" s="3302" t="s">
        <v>2954</v>
      </c>
      <c r="D109" s="3283" t="s">
        <v>2955</v>
      </c>
      <c r="E109" s="3308">
        <v>0.15</v>
      </c>
      <c r="F109" s="3302">
        <v>20</v>
      </c>
    </row>
    <row r="110" spans="1:6" ht="13.5">
      <c r="A110" s="3302">
        <v>38</v>
      </c>
      <c r="B110" s="3730"/>
      <c r="C110" s="3302" t="s">
        <v>2956</v>
      </c>
      <c r="D110" s="3283" t="s">
        <v>2957</v>
      </c>
      <c r="E110" s="3308">
        <v>0.1</v>
      </c>
      <c r="F110" s="3302">
        <v>15</v>
      </c>
    </row>
    <row r="111" spans="1:6" ht="24">
      <c r="A111" s="3302">
        <v>39</v>
      </c>
      <c r="B111" s="3730"/>
      <c r="C111" s="3302" t="s">
        <v>2958</v>
      </c>
      <c r="D111" s="3283" t="s">
        <v>2959</v>
      </c>
      <c r="E111" s="3308">
        <v>0.1</v>
      </c>
      <c r="F111" s="3302">
        <v>15</v>
      </c>
    </row>
    <row r="112" spans="1:6" ht="24">
      <c r="A112" s="3302">
        <v>40</v>
      </c>
      <c r="B112" s="3729"/>
      <c r="C112" s="3302" t="s">
        <v>2960</v>
      </c>
      <c r="D112" s="3283" t="s">
        <v>2961</v>
      </c>
      <c r="E112" s="3308">
        <v>0.1</v>
      </c>
      <c r="F112" s="3302">
        <v>15</v>
      </c>
    </row>
    <row r="113" spans="1:6" ht="24">
      <c r="A113" s="3302">
        <v>41</v>
      </c>
      <c r="B113" s="3727" t="s">
        <v>2962</v>
      </c>
      <c r="C113" s="3302" t="s">
        <v>2963</v>
      </c>
      <c r="D113" s="3283" t="s">
        <v>2964</v>
      </c>
      <c r="E113" s="3308">
        <v>0.1</v>
      </c>
      <c r="F113" s="3302">
        <v>15</v>
      </c>
    </row>
    <row r="114" spans="1:6" ht="13.5">
      <c r="A114" s="3302">
        <v>42</v>
      </c>
      <c r="B114" s="3727"/>
      <c r="C114" s="3302" t="s">
        <v>2965</v>
      </c>
      <c r="D114" s="3283" t="s">
        <v>2966</v>
      </c>
      <c r="E114" s="3308">
        <v>0.1</v>
      </c>
      <c r="F114" s="3302">
        <v>15</v>
      </c>
    </row>
    <row r="115" spans="1:6" ht="24">
      <c r="A115" s="3302">
        <v>43</v>
      </c>
      <c r="B115" s="3727"/>
      <c r="C115" s="3302" t="s">
        <v>2967</v>
      </c>
      <c r="D115" s="3283" t="s">
        <v>2968</v>
      </c>
      <c r="E115" s="3308">
        <v>0.1</v>
      </c>
      <c r="F115" s="3302">
        <v>15</v>
      </c>
    </row>
    <row r="116" spans="1:6" ht="24">
      <c r="A116" s="3302">
        <v>44</v>
      </c>
      <c r="B116" s="3728" t="s">
        <v>2969</v>
      </c>
      <c r="C116" s="3302" t="s">
        <v>2970</v>
      </c>
      <c r="D116" s="3283" t="s">
        <v>2971</v>
      </c>
      <c r="E116" s="3308">
        <v>0.1</v>
      </c>
      <c r="F116" s="3302">
        <v>15</v>
      </c>
    </row>
    <row r="117" spans="1:6" ht="24">
      <c r="A117" s="3302">
        <v>45</v>
      </c>
      <c r="B117" s="3729"/>
      <c r="C117" s="3283" t="s">
        <v>2972</v>
      </c>
      <c r="D117" s="3283" t="s">
        <v>2973</v>
      </c>
      <c r="E117" s="3308">
        <v>0.1</v>
      </c>
      <c r="F117" s="3302">
        <v>15</v>
      </c>
    </row>
    <row r="118" spans="1:6" ht="24">
      <c r="A118" s="3302">
        <v>46</v>
      </c>
      <c r="B118" s="3728" t="s">
        <v>2974</v>
      </c>
      <c r="C118" s="3302" t="s">
        <v>2975</v>
      </c>
      <c r="D118" s="3283" t="s">
        <v>2976</v>
      </c>
      <c r="E118" s="3308">
        <v>0.1</v>
      </c>
      <c r="F118" s="3302">
        <v>15</v>
      </c>
    </row>
    <row r="119" spans="1:6" ht="24">
      <c r="A119" s="3302">
        <v>47</v>
      </c>
      <c r="B119" s="3729"/>
      <c r="C119" s="3302" t="s">
        <v>2977</v>
      </c>
      <c r="D119" s="3283" t="s">
        <v>2978</v>
      </c>
      <c r="E119" s="3308">
        <v>0.1</v>
      </c>
      <c r="F119" s="3302">
        <v>15</v>
      </c>
    </row>
    <row r="120" spans="1:6" ht="24">
      <c r="A120" s="3302">
        <v>48</v>
      </c>
      <c r="B120" s="3728" t="s">
        <v>2979</v>
      </c>
      <c r="C120" s="3302" t="s">
        <v>2980</v>
      </c>
      <c r="D120" s="3283" t="s">
        <v>2981</v>
      </c>
      <c r="E120" s="3308">
        <v>0.1</v>
      </c>
      <c r="F120" s="3302">
        <v>15</v>
      </c>
    </row>
    <row r="121" spans="1:6" ht="13.5">
      <c r="A121" s="3302">
        <v>49</v>
      </c>
      <c r="B121" s="3729"/>
      <c r="C121" s="3302" t="s">
        <v>2982</v>
      </c>
      <c r="D121" s="3283" t="s">
        <v>2983</v>
      </c>
      <c r="E121" s="3308">
        <v>0.1</v>
      </c>
      <c r="F121" s="3302">
        <v>15</v>
      </c>
    </row>
    <row r="122" spans="1:6" ht="24">
      <c r="A122" s="3302">
        <v>50</v>
      </c>
      <c r="B122" s="3727" t="s">
        <v>2984</v>
      </c>
      <c r="C122" s="3302" t="s">
        <v>2985</v>
      </c>
      <c r="D122" s="3283" t="s">
        <v>2986</v>
      </c>
      <c r="E122" s="3308">
        <v>0.1</v>
      </c>
      <c r="F122" s="3302">
        <v>15</v>
      </c>
    </row>
    <row r="123" spans="1:6" ht="24">
      <c r="A123" s="3302">
        <v>51</v>
      </c>
      <c r="B123" s="3727"/>
      <c r="C123" s="3302" t="s">
        <v>2987</v>
      </c>
      <c r="D123" s="3283" t="s">
        <v>2988</v>
      </c>
      <c r="E123" s="3308">
        <v>0.1</v>
      </c>
      <c r="F123" s="3302">
        <v>15</v>
      </c>
    </row>
    <row r="124" spans="1:6" ht="24">
      <c r="A124" s="3302">
        <v>52</v>
      </c>
      <c r="B124" s="3727" t="s">
        <v>2989</v>
      </c>
      <c r="C124" s="3302" t="s">
        <v>2990</v>
      </c>
      <c r="D124" s="3283" t="s">
        <v>2991</v>
      </c>
      <c r="E124" s="3308">
        <v>0.1</v>
      </c>
      <c r="F124" s="3302">
        <v>15</v>
      </c>
    </row>
    <row r="125" spans="1:6" ht="24">
      <c r="A125" s="3302">
        <v>53</v>
      </c>
      <c r="B125" s="3727"/>
      <c r="C125" s="3302" t="s">
        <v>2992</v>
      </c>
      <c r="D125" s="3283" t="s">
        <v>2993</v>
      </c>
      <c r="E125" s="3308">
        <v>0.1</v>
      </c>
      <c r="F125" s="3302">
        <v>15</v>
      </c>
    </row>
    <row r="126" spans="1:6" ht="24">
      <c r="A126" s="3302">
        <v>54</v>
      </c>
      <c r="B126" s="3302" t="s">
        <v>2994</v>
      </c>
      <c r="C126" s="3302" t="s">
        <v>2995</v>
      </c>
      <c r="D126" s="3283" t="s">
        <v>2996</v>
      </c>
      <c r="E126" s="3308">
        <v>0.1</v>
      </c>
      <c r="F126" s="3302">
        <v>15</v>
      </c>
    </row>
    <row r="127" spans="1:6" ht="13.5">
      <c r="A127" s="3302">
        <v>55</v>
      </c>
      <c r="B127" s="3727" t="s">
        <v>2997</v>
      </c>
      <c r="C127" s="3302" t="s">
        <v>2998</v>
      </c>
      <c r="D127" s="3283" t="s">
        <v>2999</v>
      </c>
      <c r="E127" s="3308">
        <v>0.1</v>
      </c>
      <c r="F127" s="3302">
        <v>15</v>
      </c>
    </row>
    <row r="128" spans="1:6" ht="13.5">
      <c r="A128" s="3302">
        <v>56</v>
      </c>
      <c r="B128" s="3727"/>
      <c r="C128" s="3302" t="s">
        <v>3000</v>
      </c>
      <c r="D128" s="3283" t="s">
        <v>3001</v>
      </c>
      <c r="E128" s="3308">
        <v>0.1</v>
      </c>
      <c r="F128" s="3302">
        <v>15</v>
      </c>
    </row>
    <row r="129" spans="1:6" ht="24">
      <c r="A129" s="3302">
        <v>57</v>
      </c>
      <c r="B129" s="3727"/>
      <c r="C129" s="3302" t="s">
        <v>3002</v>
      </c>
      <c r="D129" s="3283" t="s">
        <v>3003</v>
      </c>
      <c r="E129" s="3308">
        <v>0.1</v>
      </c>
      <c r="F129" s="3302">
        <v>15</v>
      </c>
    </row>
    <row r="130" spans="1:6" ht="24">
      <c r="A130" s="3302">
        <v>58</v>
      </c>
      <c r="B130" s="3727" t="s">
        <v>3004</v>
      </c>
      <c r="C130" s="3302" t="s">
        <v>3005</v>
      </c>
      <c r="D130" s="3283" t="s">
        <v>3006</v>
      </c>
      <c r="E130" s="3308">
        <v>0.1</v>
      </c>
      <c r="F130" s="3302">
        <v>15</v>
      </c>
    </row>
    <row r="131" spans="1:6" ht="24">
      <c r="A131" s="3302">
        <v>59</v>
      </c>
      <c r="B131" s="3727"/>
      <c r="C131" s="3302" t="s">
        <v>3007</v>
      </c>
      <c r="D131" s="3283" t="s">
        <v>3008</v>
      </c>
      <c r="E131" s="3308">
        <v>0.1</v>
      </c>
      <c r="F131" s="3302">
        <v>15</v>
      </c>
    </row>
    <row r="132" spans="1:6" ht="24">
      <c r="A132" s="3302">
        <v>60</v>
      </c>
      <c r="B132" s="3728" t="s">
        <v>3009</v>
      </c>
      <c r="C132" s="3302" t="s">
        <v>3010</v>
      </c>
      <c r="D132" s="3283" t="s">
        <v>3011</v>
      </c>
      <c r="E132" s="3308">
        <v>0.1</v>
      </c>
      <c r="F132" s="3302">
        <v>15</v>
      </c>
    </row>
    <row r="133" spans="1:6" ht="24">
      <c r="A133" s="3302">
        <v>61</v>
      </c>
      <c r="B133" s="3729"/>
      <c r="C133" s="3302" t="s">
        <v>3012</v>
      </c>
      <c r="D133" s="3283" t="s">
        <v>3013</v>
      </c>
      <c r="E133" s="3308">
        <v>0.1</v>
      </c>
      <c r="F133" s="3302">
        <v>15</v>
      </c>
    </row>
    <row r="134" spans="1:6" ht="24">
      <c r="A134" s="3302">
        <v>62</v>
      </c>
      <c r="B134" s="3302" t="s">
        <v>3014</v>
      </c>
      <c r="C134" s="3302" t="s">
        <v>3015</v>
      </c>
      <c r="D134" s="3283" t="s">
        <v>3016</v>
      </c>
      <c r="E134" s="3308">
        <v>0.1</v>
      </c>
      <c r="F134" s="3302">
        <v>15</v>
      </c>
    </row>
    <row r="135" spans="1:6" ht="24">
      <c r="A135" s="3302">
        <v>63</v>
      </c>
      <c r="B135" s="3727" t="s">
        <v>3017</v>
      </c>
      <c r="C135" s="3302" t="s">
        <v>3018</v>
      </c>
      <c r="D135" s="3283" t="s">
        <v>3019</v>
      </c>
      <c r="E135" s="3308">
        <v>0.1</v>
      </c>
      <c r="F135" s="3302">
        <v>15</v>
      </c>
    </row>
    <row r="136" spans="1:6" ht="13.5">
      <c r="A136" s="3302">
        <v>64</v>
      </c>
      <c r="B136" s="3727"/>
      <c r="C136" s="3302" t="s">
        <v>3020</v>
      </c>
      <c r="D136" s="3283" t="s">
        <v>3021</v>
      </c>
      <c r="E136" s="3308">
        <v>0.1</v>
      </c>
      <c r="F136" s="3302">
        <v>15</v>
      </c>
    </row>
    <row r="137" spans="1:6" ht="24">
      <c r="A137" s="3302">
        <v>65</v>
      </c>
      <c r="B137" s="3302" t="s">
        <v>3022</v>
      </c>
      <c r="C137" s="3302" t="s">
        <v>3023</v>
      </c>
      <c r="D137" s="3283" t="s">
        <v>3024</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3"/>
      <c r="C2" s="3343"/>
      <c r="D2" s="3343"/>
      <c r="E2" s="3343"/>
    </row>
    <row r="3" spans="1:5" ht="13.5" customHeight="1">
      <c r="A3" s="1290"/>
      <c r="B3" s="1290"/>
      <c r="C3" s="1290"/>
      <c r="D3" s="1290"/>
      <c r="E3" s="1290"/>
    </row>
    <row r="4" spans="1:5" ht="19.5" thickBot="1">
      <c r="A4" s="3344" t="str">
        <f>IF(项目基本情况!D5="房地产市场价值","估价结果一览表（市场价值不需本页表格)","估价结果一览表")</f>
        <v>估价结果一览表</v>
      </c>
      <c r="B4" s="3344"/>
      <c r="C4" s="3344"/>
      <c r="D4" s="3344"/>
      <c r="E4" s="3344"/>
    </row>
    <row r="5" spans="1:5" ht="14.25" customHeight="1" thickTop="1">
      <c r="A5" s="1287"/>
      <c r="B5" s="1291" t="s">
        <v>562</v>
      </c>
      <c r="C5" s="3345" t="s">
        <v>593</v>
      </c>
      <c r="D5" s="3346"/>
      <c r="E5" s="1287"/>
    </row>
    <row r="6" spans="1:5" ht="14.25">
      <c r="A6" s="1287"/>
      <c r="B6" s="1292" t="str">
        <f>项目基本情况!I1</f>
        <v>北京市房地产</v>
      </c>
      <c r="C6" s="3347">
        <f>项目基本情况!C12</f>
        <v>45.57</v>
      </c>
      <c r="D6" s="3347"/>
      <c r="E6" s="1287"/>
    </row>
    <row r="7" spans="1:5" ht="14.25">
      <c r="A7" s="1287"/>
      <c r="B7" s="3341" t="s">
        <v>594</v>
      </c>
      <c r="C7" s="1293" t="str">
        <f>IF('数据-取费表'!B3="万元","总价（万元）","总价（元）")</f>
        <v>总价（元）</v>
      </c>
      <c r="D7" s="1294">
        <f ca="1">IF('数据-取费表'!E3="否",结果表!I102,'结果表 (1修多)'!I104)</f>
        <v>1180081</v>
      </c>
      <c r="E7" s="1287"/>
    </row>
    <row r="8" spans="1:5" ht="28.5">
      <c r="A8" s="1287"/>
      <c r="B8" s="3341"/>
      <c r="C8" s="1295" t="s">
        <v>924</v>
      </c>
      <c r="D8" s="1296" t="str">
        <f ca="1">IF('数据-取费表'!B3="万元",NUMBERSTRING(INT(D7*10000),2)&amp;"元整",NUMBERSTRING(INT(D7),2)&amp;"元整")</f>
        <v>壹佰壹拾捌万零捌拾壹元整</v>
      </c>
      <c r="E8" s="1287"/>
    </row>
    <row r="9" spans="1:5" ht="14.25">
      <c r="A9" s="1287"/>
      <c r="B9" s="3341"/>
      <c r="C9" s="1297" t="s">
        <v>1020</v>
      </c>
      <c r="D9" s="1294">
        <f ca="1">IF('数据-取费表'!E3="否",结果表!I103,'结果表 (1修多)'!I105)</f>
        <v>25896</v>
      </c>
      <c r="E9" s="1287"/>
    </row>
    <row r="10" spans="1:5" ht="14.25">
      <c r="A10" s="1287"/>
      <c r="B10" s="3348"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48"/>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48" t="str">
        <f>IF('数据-取费表'!E3="否",结果表!F110,'结果表 (1修多)'!F112)</f>
        <v>3.房地产抵押价值</v>
      </c>
      <c r="C15" s="1288" t="str">
        <f>C7</f>
        <v>总价（元）</v>
      </c>
      <c r="D15" s="1294">
        <f ca="1">IF('数据-取费表'!E3="否",结果表!I110,'结果表 (1修多)'!I112)</f>
        <v>1180081</v>
      </c>
      <c r="E15" s="1287"/>
    </row>
    <row r="16" spans="1:5" ht="28.5">
      <c r="A16" s="1287"/>
      <c r="B16" s="3348"/>
      <c r="C16" s="1295" t="s">
        <v>924</v>
      </c>
      <c r="D16" s="1294" t="str">
        <f ca="1">IF('数据-取费表'!B3="万元",NUMBERSTRING(INT(D15*10000),2)&amp;"元整",NUMBERSTRING(INT(D15),2)&amp;"元整")</f>
        <v>壹佰壹拾捌万零捌拾壹元整</v>
      </c>
      <c r="E16" s="1287"/>
    </row>
    <row r="17" spans="1:5" ht="14.25">
      <c r="A17" s="1287"/>
      <c r="B17" s="3348"/>
      <c r="C17" s="1297" t="s">
        <v>1020</v>
      </c>
      <c r="D17" s="1294">
        <f ca="1">IF('数据-取费表'!E3="否",结果表!I111,'结果表 (1修多)'!I113)</f>
        <v>25896</v>
      </c>
      <c r="E17" s="1287"/>
    </row>
    <row r="18" spans="1:5" ht="14.25">
      <c r="A18" s="1287"/>
      <c r="B18" s="3348" t="str">
        <f>IF('数据-取费表'!E3="否",结果表!F112,'结果表 (1修多)'!F114)</f>
        <v>——</v>
      </c>
      <c r="C18" s="1288" t="str">
        <f>C7</f>
        <v>总价（元）</v>
      </c>
      <c r="D18" s="1294" t="str">
        <f>IF('数据-取费表'!E3="否",结果表!I112,'结果表 (1修多)'!I114)</f>
        <v>——</v>
      </c>
      <c r="E18" s="1287"/>
    </row>
    <row r="19" spans="1:5" ht="14.25">
      <c r="A19" s="1287"/>
      <c r="B19" s="3348"/>
      <c r="C19" s="1295" t="s">
        <v>924</v>
      </c>
      <c r="D19" s="1294" t="e">
        <f>IF('数据-取费表'!B3="万元",NUMBERSTRING(INT(D18*10000),2)&amp;"元整",NUMBERSTRING(INT(D18),2)&amp;"元整")</f>
        <v>#VALUE!</v>
      </c>
      <c r="E19" s="1287"/>
    </row>
    <row r="20" spans="1:5" ht="14.25">
      <c r="A20" s="1287"/>
      <c r="B20" s="3348"/>
      <c r="C20" s="1297" t="s">
        <v>1020</v>
      </c>
      <c r="D20" s="1294" t="str">
        <f>IF('数据-取费表'!E3="否",结果表!I113,'结果表 (1修多)'!I115)</f>
        <v>——</v>
      </c>
      <c r="E20" s="1287"/>
    </row>
    <row r="21" spans="1:5" ht="14.25">
      <c r="A21" s="1287"/>
      <c r="B21" s="3341" t="str">
        <f>IF('数据-取费表'!E3="否",结果表!F114,'结果表 (1修多)'!F116)</f>
        <v>——</v>
      </c>
      <c r="C21" s="1293" t="str">
        <f>C7</f>
        <v>总价（元）</v>
      </c>
      <c r="D21" s="1294" t="str">
        <f>IF('数据-取费表'!E3="否",结果表!I114,'结果表 (1修多)'!I116)</f>
        <v>——</v>
      </c>
      <c r="E21" s="1287"/>
    </row>
    <row r="22" spans="1:5" ht="14.25">
      <c r="A22" s="1287"/>
      <c r="B22" s="3341"/>
      <c r="C22" s="1295" t="s">
        <v>924</v>
      </c>
      <c r="D22" s="1296" t="e">
        <f>IF('数据-取费表'!B3="万元",NUMBERSTRING(INT(D21*10000),2)&amp;"元整",NUMBERSTRING(INT(D21),2)&amp;"元整")</f>
        <v>#VALUE!</v>
      </c>
      <c r="E22" s="1287"/>
    </row>
    <row r="23" spans="1:5" ht="15" thickBot="1">
      <c r="A23" s="1287"/>
      <c r="B23" s="3342"/>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6" t="s">
        <v>1021</v>
      </c>
      <c r="C25" s="3356"/>
      <c r="D25" s="3356"/>
      <c r="E25" s="1287"/>
    </row>
    <row r="26" spans="1:5" ht="18.75" customHeight="1" thickTop="1">
      <c r="A26" s="1287"/>
      <c r="B26" s="3359" t="s">
        <v>923</v>
      </c>
      <c r="C26" s="3360"/>
      <c r="D26" s="3357" t="s">
        <v>922</v>
      </c>
      <c r="E26" s="1287"/>
    </row>
    <row r="27" spans="1:5" ht="18.75" customHeight="1">
      <c r="A27" s="1287"/>
      <c r="B27" s="3361"/>
      <c r="C27" s="3362"/>
      <c r="D27" s="3358"/>
      <c r="E27" s="1287"/>
    </row>
    <row r="28" spans="1:5" ht="14.25">
      <c r="A28" s="1287"/>
      <c r="B28" s="3349" t="s">
        <v>594</v>
      </c>
      <c r="C28" s="1304" t="s">
        <v>925</v>
      </c>
      <c r="D28" s="1305">
        <f ca="1">IF('数据-取费表'!E3="否",结果表!I102,'结果表 (1修多)'!I104)</f>
        <v>1180081</v>
      </c>
      <c r="E28" s="1287"/>
    </row>
    <row r="29" spans="1:5" ht="28.5">
      <c r="A29" s="1287"/>
      <c r="B29" s="3350"/>
      <c r="C29" s="1306" t="s">
        <v>924</v>
      </c>
      <c r="D29" s="1307" t="str">
        <f ca="1">IF('数据-取费表'!B3="万元",NUMBERSTRING(INT(D28*10000),2)&amp;"元整",NUMBERSTRING(INT(D28),2)&amp;"元整")</f>
        <v>壹佰壹拾捌万零捌拾壹元整</v>
      </c>
      <c r="E29" s="1287"/>
    </row>
    <row r="30" spans="1:5" ht="14.25">
      <c r="A30" s="1287"/>
      <c r="B30" s="3351"/>
      <c r="C30" s="1297" t="s">
        <v>927</v>
      </c>
      <c r="D30" s="1308">
        <f ca="1">IF('数据-取费表'!E3="否",结果表!I103,'结果表 (1修多)'!I105)</f>
        <v>25896</v>
      </c>
      <c r="E30" s="1287"/>
    </row>
    <row r="31" spans="1:5" ht="14.25">
      <c r="A31" s="1287"/>
      <c r="B31" s="3354" t="str">
        <f>B10</f>
        <v>2.估价师所知悉的法定优先受偿款</v>
      </c>
      <c r="C31" s="1309" t="s">
        <v>926</v>
      </c>
      <c r="D31" s="1310">
        <f>IF('数据-取费表'!E3="否",结果表!I105,'结果表 (1修多)'!I107)</f>
        <v>0</v>
      </c>
      <c r="E31" s="1287"/>
    </row>
    <row r="32" spans="1:5" ht="14.25">
      <c r="A32" s="1287"/>
      <c r="B32" s="336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2" t="str">
        <f>B15</f>
        <v>3.房地产抵押价值</v>
      </c>
      <c r="C36" s="1309" t="str">
        <f>C28</f>
        <v>总价</v>
      </c>
      <c r="D36" s="1310">
        <f ca="1">IF('数据-取费表'!E3="否",结果表!I110,'结果表 (1修多)'!I112)</f>
        <v>1180081</v>
      </c>
      <c r="E36" s="1287"/>
    </row>
    <row r="37" spans="1:5" ht="28.5">
      <c r="A37" s="1287"/>
      <c r="B37" s="3352"/>
      <c r="C37" s="1306" t="s">
        <v>924</v>
      </c>
      <c r="D37" s="1311" t="str">
        <f ca="1">IF('数据-取费表'!B3="万元",NUMBERSTRING(INT(D36*10000),2)&amp;"元整",NUMBERSTRING(INT(D36),2)&amp;"元整")</f>
        <v>壹佰壹拾捌万零捌拾壹元整</v>
      </c>
      <c r="E37" s="1287"/>
    </row>
    <row r="38" spans="1:5" ht="14.25">
      <c r="A38" s="1287"/>
      <c r="B38" s="3352"/>
      <c r="C38" s="1297" t="s">
        <v>928</v>
      </c>
      <c r="D38" s="1308">
        <f ca="1">IF('数据-取费表'!E3="否",结果表!D113,'结果表 (1修多)'!D117)</f>
        <v>25896</v>
      </c>
      <c r="E38" s="1287"/>
    </row>
    <row r="39" spans="1:5" ht="14.25">
      <c r="A39" s="1287"/>
      <c r="B39" s="3353" t="str">
        <f>B18</f>
        <v>——</v>
      </c>
      <c r="C39" s="1309" t="str">
        <f>C28</f>
        <v>总价</v>
      </c>
      <c r="D39" s="1310" t="str">
        <f>IF('数据-取费表'!E3="否",结果表!I112,'结果表 (1修多)'!I114)</f>
        <v>——</v>
      </c>
      <c r="E39" s="1287"/>
    </row>
    <row r="40" spans="1:5" ht="14.25">
      <c r="A40" s="1287"/>
      <c r="B40" s="3353"/>
      <c r="C40" s="1306" t="s">
        <v>924</v>
      </c>
      <c r="D40" s="1311" t="e">
        <f>IF('数据-取费表'!B3="万元",NUMBERSTRING(INT(D39*10000),2)&amp;"元整",NUMBERSTRING(INT(D39),2)&amp;"元整")</f>
        <v>#VALUE!</v>
      </c>
      <c r="E40" s="1287"/>
    </row>
    <row r="41" spans="1:5" ht="14.25">
      <c r="A41" s="1287"/>
      <c r="B41" s="3353"/>
      <c r="C41" s="1297" t="s">
        <v>928</v>
      </c>
      <c r="D41" s="1308" t="str">
        <f>IF('数据-取费表'!E3="否",结果表!D115,'结果表 (1修多)'!D119)</f>
        <v>——</v>
      </c>
      <c r="E41" s="1287"/>
    </row>
    <row r="42" spans="1:5" ht="14.25">
      <c r="A42" s="1287"/>
      <c r="B42" s="3352" t="str">
        <f>B21</f>
        <v>——</v>
      </c>
      <c r="C42" s="1309" t="str">
        <f>C28</f>
        <v>总价</v>
      </c>
      <c r="D42" s="1310" t="str">
        <f>IF('数据-取费表'!E3="否",结果表!I114,'结果表 (1修多)'!I116)</f>
        <v>——</v>
      </c>
      <c r="E42" s="1287"/>
    </row>
    <row r="43" spans="1:5" ht="14.25">
      <c r="A43" s="1287"/>
      <c r="B43" s="3354"/>
      <c r="C43" s="1306" t="s">
        <v>924</v>
      </c>
      <c r="D43" s="1312" t="e">
        <f>IF('数据-取费表'!B3="万元",NUMBERSTRING(INT(D42*10000),2)&amp;"元整",NUMBERSTRING(INT(D42),2)&amp;"元整")</f>
        <v>#VALUE!</v>
      </c>
      <c r="E43" s="1287"/>
    </row>
    <row r="44" spans="1:5" ht="15" thickBot="1">
      <c r="A44" s="1287"/>
      <c r="B44" s="3355"/>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rgb="FF92D050"/>
  </sheetPr>
  <dimension ref="A1:AH124"/>
  <sheetViews>
    <sheetView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4" t="s">
        <v>782</v>
      </c>
      <c r="C1" s="3744"/>
      <c r="D1" s="3744"/>
      <c r="E1" s="3744"/>
      <c r="F1" s="3744"/>
      <c r="G1" s="3743" t="s">
        <v>783</v>
      </c>
      <c r="H1" s="3743"/>
      <c r="I1" s="3743"/>
      <c r="J1" s="3743"/>
      <c r="K1" s="3743"/>
      <c r="L1" s="3743"/>
      <c r="N1" s="3743" t="s">
        <v>784</v>
      </c>
      <c r="O1" s="3743"/>
      <c r="P1" s="3743"/>
      <c r="Q1" s="3743"/>
      <c r="S1" s="3743" t="s">
        <v>785</v>
      </c>
      <c r="T1" s="3743"/>
      <c r="U1" s="3743"/>
      <c r="V1" s="3743"/>
      <c r="X1" s="3742" t="s">
        <v>786</v>
      </c>
      <c r="Y1" s="3743"/>
      <c r="Z1" s="3743"/>
      <c r="AA1" s="3743"/>
      <c r="AB1" s="3743"/>
      <c r="AD1" s="3742" t="s">
        <v>787</v>
      </c>
      <c r="AE1" s="3743"/>
      <c r="AF1" s="3743"/>
      <c r="AG1" s="3743"/>
      <c r="AH1" s="3743"/>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2798</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2797</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2796</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2795</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2794</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3">
        <v>2022</v>
      </c>
      <c r="H9" s="2289">
        <v>1</v>
      </c>
      <c r="I9" s="3077">
        <v>0.89</v>
      </c>
      <c r="J9" s="3077">
        <v>0.44</v>
      </c>
      <c r="K9" s="3077">
        <v>0.96</v>
      </c>
      <c r="L9" s="3078">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2793</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2647</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2646</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2645</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40">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40"/>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40"/>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9"/>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45">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40"/>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40"/>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9"/>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5">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40"/>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40"/>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41"/>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9">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40"/>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40"/>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41"/>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9">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40"/>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40"/>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41"/>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6">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7"/>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7"/>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8"/>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9">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40"/>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40"/>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41"/>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9">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40">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40">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41">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9">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40">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40">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41">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9">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40">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40">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41">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9">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40">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40">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41">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9">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40">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40">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41">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9">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40">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40">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41">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9">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40">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40">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41">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9">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40">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40">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41">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9">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40">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40">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41">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9">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40">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40">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41">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44810</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7"/>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7"/>
      <c r="B21" s="1209" t="s">
        <v>2640</v>
      </c>
      <c r="C21" s="1218">
        <v>43697</v>
      </c>
      <c r="D21" s="3068">
        <v>4.25</v>
      </c>
      <c r="E21" s="3068">
        <f t="shared" si="0"/>
        <v>4.25</v>
      </c>
      <c r="F21" s="3068">
        <f t="shared" si="1"/>
        <v>4.25</v>
      </c>
      <c r="G21" s="3068">
        <f t="shared" si="2"/>
        <v>4.25</v>
      </c>
      <c r="H21" s="3068">
        <v>4.8499999999999996</v>
      </c>
      <c r="I21" s="3068"/>
      <c r="J21" s="3068"/>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0" t="str">
        <f>IF(项目基本情况!D5="房地产市场价值","估价结果一览表","结果表-2")</f>
        <v>结果表-2</v>
      </c>
      <c r="B1" s="3370"/>
      <c r="C1" s="3370"/>
      <c r="D1" s="3370"/>
      <c r="E1" s="3370"/>
      <c r="F1" s="3370"/>
      <c r="G1" s="3370"/>
      <c r="H1" s="3370"/>
      <c r="I1" s="3370"/>
    </row>
    <row r="2" spans="1:9" ht="30" customHeight="1" thickTop="1">
      <c r="A2" s="3371" t="s">
        <v>1022</v>
      </c>
      <c r="B2" s="3371" t="s">
        <v>1023</v>
      </c>
      <c r="C2" s="3371" t="s">
        <v>1024</v>
      </c>
      <c r="D2" s="3371" t="str">
        <f>IF('数据-取费表'!E3="否",结果表!D119,'结果表 (1修多)'!D123)</f>
        <v>出让国有建设用地使用权价值</v>
      </c>
      <c r="E2" s="3371"/>
      <c r="F2" s="3371" t="s">
        <v>1025</v>
      </c>
      <c r="G2" s="3371"/>
      <c r="H2" s="3371" t="s">
        <v>1026</v>
      </c>
      <c r="I2" s="3371"/>
    </row>
    <row r="3" spans="1:9" ht="15">
      <c r="A3" s="3366"/>
      <c r="B3" s="3366"/>
      <c r="C3" s="3366"/>
      <c r="D3" s="776" t="s">
        <v>1027</v>
      </c>
      <c r="E3" s="776" t="s">
        <v>1028</v>
      </c>
      <c r="F3" s="776" t="s">
        <v>1027</v>
      </c>
      <c r="G3" s="776" t="s">
        <v>1029</v>
      </c>
      <c r="H3" s="776" t="s">
        <v>1027</v>
      </c>
      <c r="I3" s="776" t="s">
        <v>1029</v>
      </c>
    </row>
    <row r="4" spans="1:9" ht="46.5" customHeight="1">
      <c r="A4" s="776" t="str">
        <f>项目基本情况!I1</f>
        <v>北京市房地产</v>
      </c>
      <c r="B4" s="776">
        <f>结果表!B121</f>
        <v>45.57</v>
      </c>
      <c r="C4" s="776">
        <f>结果表!C121</f>
        <v>0</v>
      </c>
      <c r="D4" s="776">
        <f ca="1">IF('数据-取费表'!E3="否",结果表!D121,'结果表 (1修多)'!D125)</f>
        <v>854392</v>
      </c>
      <c r="E4" s="776">
        <f ca="1">IF('数据-取费表'!E3="否",结果表!E121,'结果表 (1修多)'!E125)</f>
        <v>18749</v>
      </c>
      <c r="F4" s="776">
        <f ca="1">IF('数据-取费表'!E3="否",结果表!F121,'结果表 (1修多)'!F125)</f>
        <v>325689</v>
      </c>
      <c r="G4" s="776">
        <f ca="1">IF('数据-取费表'!E3="否",结果表!G121,'结果表 (1修多)'!G125)</f>
        <v>7147</v>
      </c>
      <c r="H4" s="776">
        <f ca="1">IF('数据-取费表'!E3="否",结果表!H121,'结果表 (1修多)'!H125)</f>
        <v>1180081</v>
      </c>
      <c r="I4" s="776">
        <f ca="1">IF('数据-取费表'!E3="否",结果表!I121,'结果表 (1修多)'!I125)</f>
        <v>25896</v>
      </c>
    </row>
    <row r="5" spans="1:9" ht="15">
      <c r="A5" s="3366" t="s">
        <v>1030</v>
      </c>
      <c r="B5" s="3366"/>
      <c r="C5" s="3366"/>
      <c r="D5" s="3364" t="str">
        <f ca="1">IF('数据-取费表'!E3="否",结果表!D122,'结果表 (1修多)'!D126)</f>
        <v>捌拾伍万肆仟叁佰玖拾贰元整</v>
      </c>
      <c r="E5" s="3364"/>
      <c r="F5" s="3364" t="str">
        <f ca="1">IF('数据-取费表'!E3="否",结果表!F122,'结果表 (1修多)'!F126)</f>
        <v>叁拾贰万伍仟陆佰捌拾玖元整</v>
      </c>
      <c r="G5" s="3364"/>
      <c r="H5" s="3364" t="str">
        <f ca="1">IF('数据-取费表'!E3="否",结果表!H122,'结果表 (1修多)'!H126)</f>
        <v>壹佰壹拾捌万零捌拾壹元整</v>
      </c>
      <c r="I5" s="3364"/>
    </row>
    <row r="6" spans="1:9" ht="15.75">
      <c r="A6" s="3365" t="str">
        <f>IF('数据-取费表'!E3="否",结果表!A123,'结果表 (1修多)'!A127)</f>
        <v>估价师所知悉的法定优先受偿款</v>
      </c>
      <c r="B6" s="3365"/>
      <c r="C6" s="3365"/>
      <c r="D6" s="3365">
        <f>IF('数据-取费表'!E3="否",结果表!D123,'结果表 (1修多)'!D127)</f>
        <v>0</v>
      </c>
      <c r="E6" s="3365"/>
      <c r="F6" s="3365"/>
      <c r="G6" s="3365"/>
      <c r="H6" s="3365"/>
      <c r="I6" s="3365"/>
    </row>
    <row r="7" spans="1:9" ht="15">
      <c r="A7" s="3366" t="s">
        <v>1030</v>
      </c>
      <c r="B7" s="3366"/>
      <c r="C7" s="3366"/>
      <c r="D7" s="3367">
        <f>IF('数据-取费表'!E3="否",结果表!D124,'结果表 (1修多)'!D128)</f>
        <v>0</v>
      </c>
      <c r="E7" s="3368"/>
      <c r="F7" s="3368"/>
      <c r="G7" s="3368"/>
      <c r="H7" s="3368"/>
      <c r="I7" s="3369"/>
    </row>
    <row r="8" spans="1:9" ht="15.75">
      <c r="A8" s="3365" t="str">
        <f>IF('数据-取费表'!E3="否",结果表!A125,'结果表 (1修多)'!A129)</f>
        <v>房地产抵押价值</v>
      </c>
      <c r="B8" s="3365"/>
      <c r="C8" s="3365"/>
      <c r="D8" s="3365">
        <f ca="1">IF('数据-取费表'!E3="否",结果表!D125,'结果表 (1修多)'!D129)</f>
        <v>1180081</v>
      </c>
      <c r="E8" s="3365"/>
      <c r="F8" s="3365"/>
      <c r="G8" s="3365"/>
      <c r="H8" s="3365"/>
      <c r="I8" s="3365"/>
    </row>
    <row r="9" spans="1:9" ht="15">
      <c r="A9" s="3366" t="s">
        <v>1030</v>
      </c>
      <c r="B9" s="3366"/>
      <c r="C9" s="3366"/>
      <c r="D9" s="3364">
        <f ca="1">IF('数据-取费表'!E3="否",结果表!D126,'结果表 (1修多)'!D130)</f>
        <v>25896</v>
      </c>
      <c r="E9" s="3364"/>
      <c r="F9" s="3364"/>
      <c r="G9" s="3364"/>
      <c r="H9" s="3364"/>
      <c r="I9" s="3364"/>
    </row>
    <row r="10" spans="1:9" ht="15.75">
      <c r="A10" s="3365" t="str">
        <f>IF('数据-取费表'!E3="否",结果表!A127,'结果表 (1修多)'!A131)</f>
        <v/>
      </c>
      <c r="B10" s="3365"/>
      <c r="C10" s="3365"/>
      <c r="D10" s="3365" t="str">
        <f>IF('数据-取费表'!E3="否",结果表!D127,'结果表 (1修多)'!D130)</f>
        <v>——</v>
      </c>
      <c r="E10" s="3365"/>
      <c r="F10" s="3365"/>
      <c r="G10" s="3365"/>
      <c r="H10" s="3365"/>
      <c r="I10" s="3365"/>
    </row>
    <row r="11" spans="1:9" ht="15">
      <c r="A11" s="3366" t="s">
        <v>1030</v>
      </c>
      <c r="B11" s="3366"/>
      <c r="C11" s="3366"/>
      <c r="D11" s="3364" t="str">
        <f>IF('数据-取费表'!E3="否",结果表!D128,'结果表 (1修多)'!D132)</f>
        <v>——</v>
      </c>
      <c r="E11" s="3364"/>
      <c r="F11" s="3364"/>
      <c r="G11" s="3364"/>
      <c r="H11" s="3364"/>
      <c r="I11" s="3364"/>
    </row>
    <row r="12" spans="1:9" ht="15.75">
      <c r="A12" s="3365" t="str">
        <f>IF('数据-取费表'!E3="否",结果表!A129,'结果表 (1修多)'!A133)</f>
        <v/>
      </c>
      <c r="B12" s="3365"/>
      <c r="C12" s="3365"/>
      <c r="D12" s="3365" t="str">
        <f>IF('数据-取费表'!E3="否",结果表!D129,'结果表 (1修多)'!D133)</f>
        <v>——</v>
      </c>
      <c r="E12" s="3365"/>
      <c r="F12" s="3365"/>
      <c r="G12" s="3365"/>
      <c r="H12" s="3365"/>
      <c r="I12" s="3365"/>
    </row>
    <row r="13" spans="1:9" ht="15.75" thickBot="1">
      <c r="A13" s="3372" t="s">
        <v>1030</v>
      </c>
      <c r="B13" s="3372"/>
      <c r="C13" s="3372"/>
      <c r="D13" s="3373">
        <f>IF('数据-取费表'!E3="否",结果表!D130,'结果表 (1修多)'!D134)</f>
        <v>0</v>
      </c>
      <c r="E13" s="3373"/>
      <c r="F13" s="3373"/>
      <c r="G13" s="3373"/>
      <c r="H13" s="3373"/>
      <c r="I13" s="3373"/>
    </row>
    <row r="14" spans="1:9" ht="15" thickTop="1">
      <c r="A14" s="3374" t="str">
        <f>IF('数据-取费表'!E3="否",结果表!A131,'结果表 (1修多)'!A135)</f>
        <v>单位：平方米、元、元/平方米（币种：人民币）</v>
      </c>
      <c r="B14" s="3374"/>
      <c r="C14" s="3374"/>
      <c r="D14" s="3374"/>
      <c r="E14" s="3374"/>
      <c r="F14" s="3374"/>
      <c r="G14" s="3374"/>
      <c r="H14" s="3374"/>
      <c r="I14" s="3374"/>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9" t="s">
        <v>1043</v>
      </c>
      <c r="B1" s="3379"/>
      <c r="C1" s="3379"/>
      <c r="D1" s="3379"/>
    </row>
    <row r="2" spans="1:4" ht="18">
      <c r="A2" s="3378" t="s">
        <v>1032</v>
      </c>
      <c r="B2" s="3378"/>
      <c r="C2" s="3378"/>
      <c r="D2" s="3378"/>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8" t="s">
        <v>1037</v>
      </c>
      <c r="B7" s="3378"/>
      <c r="C7" s="3378"/>
      <c r="D7" s="3378"/>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5" t="s">
        <v>2496</v>
      </c>
      <c r="B12" s="3377"/>
      <c r="C12" s="3377"/>
      <c r="D12" s="3377"/>
    </row>
    <row r="13" spans="1:4" ht="15.75">
      <c r="A13" s="33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7"/>
      <c r="C13" s="3377"/>
      <c r="D13" s="3377"/>
    </row>
    <row r="14" spans="1:4" ht="30" customHeight="1">
      <c r="A14" s="3375" t="str">
        <f>IF(项目基本情况!D4="抵押","3.抵押双方在办理抵押登记手续时，应使用本公司出具的正式《不动产估价报告书》，特提醒报告使用者注意。","——")</f>
        <v>——</v>
      </c>
      <c r="B14" s="3377"/>
      <c r="C14" s="3377"/>
      <c r="D14" s="3377"/>
    </row>
    <row r="15" spans="1:4" ht="15.75" customHeight="1">
      <c r="A15" s="3375" t="str">
        <f>IF(项目基本情况!D4="抵押","4.本次评估估价师所知悉的法定优先受偿款情况说明如下：","——")</f>
        <v>——</v>
      </c>
      <c r="B15" s="3377"/>
      <c r="C15" s="3377"/>
      <c r="D15" s="3377"/>
    </row>
    <row r="16" spans="1:4" ht="75" customHeight="1">
      <c r="A16" s="3375" t="str">
        <f>IF(项目基本情况!D4="抵押",CONCATENATE(项目基本情况!J13,项目基本情况!J14,项目基本情况!J15),"——")</f>
        <v>——</v>
      </c>
      <c r="B16" s="3375"/>
      <c r="C16" s="3375"/>
      <c r="D16" s="3375"/>
    </row>
    <row r="17" spans="1:4" ht="63.75" customHeight="1">
      <c r="A17" s="3376" t="s">
        <v>1045</v>
      </c>
      <c r="B17" s="3376"/>
      <c r="C17" s="3376"/>
      <c r="D17" s="3376"/>
    </row>
    <row r="18" spans="1:4" ht="15.75" customHeight="1">
      <c r="A18" s="3375" t="str">
        <f>IF(项目基本情况!D4="抵押",结果表!L106,"——")</f>
        <v>——</v>
      </c>
      <c r="B18" s="3375"/>
      <c r="C18" s="3375"/>
      <c r="D18" s="3375"/>
    </row>
    <row r="19" spans="1:4" ht="46.5" customHeight="1">
      <c r="A19" s="33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5"/>
      <c r="C19" s="3375"/>
      <c r="D19" s="3375"/>
    </row>
    <row r="20" spans="1:4" ht="15">
      <c r="A20" s="3376" t="s">
        <v>2497</v>
      </c>
      <c r="B20" s="3376"/>
      <c r="C20" s="3376"/>
      <c r="D20" s="3376"/>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5" t="s">
        <v>1124</v>
      </c>
      <c r="B15" s="3380" t="s">
        <v>1125</v>
      </c>
      <c r="C15" s="3381"/>
    </row>
    <row r="16" spans="1:7" ht="14.25">
      <c r="A16" s="3386"/>
      <c r="B16" s="3380" t="s">
        <v>1126</v>
      </c>
      <c r="C16" s="3381"/>
    </row>
    <row r="17" spans="1:3" ht="14.25">
      <c r="A17" s="3386"/>
      <c r="B17" s="3380" t="s">
        <v>1127</v>
      </c>
      <c r="C17" s="3381"/>
    </row>
    <row r="18" spans="1:3" ht="14.25">
      <c r="A18" s="3387"/>
      <c r="B18" s="3382" t="s">
        <v>1128</v>
      </c>
      <c r="C18" s="3381"/>
    </row>
    <row r="19" spans="1:3" ht="14.25">
      <c r="A19" s="1340" t="s">
        <v>1129</v>
      </c>
      <c r="B19" s="1341"/>
      <c r="C19" s="1342"/>
    </row>
    <row r="20" spans="1:3" ht="14.25">
      <c r="A20" s="3383" t="s">
        <v>1130</v>
      </c>
      <c r="B20" s="3382" t="s">
        <v>1131</v>
      </c>
      <c r="C20" s="3381"/>
    </row>
    <row r="21" spans="1:3" ht="14.25">
      <c r="A21" s="3383"/>
      <c r="B21" s="3382" t="s">
        <v>1132</v>
      </c>
      <c r="C21" s="3381"/>
    </row>
    <row r="22" spans="1:3" ht="14.25">
      <c r="A22" s="3383"/>
      <c r="B22" s="3382" t="s">
        <v>1133</v>
      </c>
      <c r="C22" s="3381"/>
    </row>
    <row r="23" spans="1:3" ht="14.25">
      <c r="A23" s="3383"/>
      <c r="B23" s="3384" t="s">
        <v>1134</v>
      </c>
      <c r="C23" s="1343" t="s">
        <v>1135</v>
      </c>
    </row>
    <row r="24" spans="1:3" ht="14.25">
      <c r="A24" s="3383"/>
      <c r="B24" s="3384"/>
      <c r="C24" s="1343" t="s">
        <v>1136</v>
      </c>
    </row>
    <row r="25" spans="1:3" ht="14.25">
      <c r="A25" s="3383"/>
      <c r="B25" s="3384"/>
      <c r="C25" s="1343" t="s">
        <v>1137</v>
      </c>
    </row>
    <row r="26" spans="1:3" ht="14.25">
      <c r="A26" s="3383"/>
      <c r="B26" s="3384"/>
      <c r="C26" s="1343" t="s">
        <v>1138</v>
      </c>
    </row>
    <row r="27" spans="1:3" ht="14.25">
      <c r="A27" s="3383"/>
      <c r="B27" s="3384"/>
      <c r="C27" s="1343" t="s">
        <v>1139</v>
      </c>
    </row>
    <row r="28" spans="1:3" ht="14.25">
      <c r="A28" s="3383"/>
      <c r="B28" s="3384"/>
      <c r="C28" s="1343" t="s">
        <v>1140</v>
      </c>
    </row>
    <row r="29" spans="1:3" ht="14.25">
      <c r="A29" s="3383"/>
      <c r="B29" s="3384"/>
      <c r="C29" s="1343" t="s">
        <v>1141</v>
      </c>
    </row>
    <row r="30" spans="1:3" ht="14.25">
      <c r="A30" s="3383"/>
      <c r="B30" s="3384"/>
      <c r="C30" s="1343" t="s">
        <v>1142</v>
      </c>
    </row>
    <row r="31" spans="1:3" ht="14.25">
      <c r="A31" s="3383"/>
      <c r="B31" s="338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44854</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t="str">
        <f ca="1">IF(C11&lt;B2,"已过期",1120070131)</f>
        <v>已过期</v>
      </c>
      <c r="C11" s="2988">
        <v>44849</v>
      </c>
      <c r="D11" s="2998" t="str">
        <f t="shared" ca="1" si="0"/>
        <v>郑燚（注册号：已过期）</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2799</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8" t="s">
        <v>582</v>
      </c>
      <c r="B17" s="3388"/>
      <c r="C17" s="3388"/>
      <c r="D17" s="3388"/>
      <c r="E17" s="3388"/>
      <c r="F17" s="3388"/>
      <c r="G17" s="3388"/>
      <c r="H17" s="3388"/>
    </row>
    <row r="18" spans="1:8" ht="24" customHeight="1">
      <c r="A18" s="3389" t="s">
        <v>583</v>
      </c>
      <c r="B18" s="3389"/>
      <c r="C18" s="3389"/>
      <c r="D18" s="2987"/>
      <c r="E18" s="3390" t="s">
        <v>584</v>
      </c>
      <c r="F18" s="3389"/>
      <c r="G18" s="3389"/>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2800</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2788</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本次估价的“房地产价值”是指在正常市场情况下，在价值时点2022年9月6日，估价对象规划用途为，假定未设立法定优先受偿款下的房地产市场价值。</v>
      </c>
    </row>
    <row r="54" spans="1:4">
      <c r="A54" s="3391"/>
      <c r="B54" s="9" t="s">
        <v>1280</v>
      </c>
      <c r="C54" s="9" t="s">
        <v>1281</v>
      </c>
    </row>
    <row r="55" spans="1:4">
      <c r="A55" s="3391"/>
      <c r="B55" s="9" t="s">
        <v>1282</v>
      </c>
      <c r="C55" s="9" t="s">
        <v>1283</v>
      </c>
    </row>
    <row r="56" spans="1:4">
      <c r="A56" s="3391"/>
      <c r="B56" s="9" t="s">
        <v>1284</v>
      </c>
      <c r="C56" s="9" t="s">
        <v>1285</v>
      </c>
    </row>
    <row r="57" spans="1:4">
      <c r="A57" s="339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161</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案例</vt:lpstr>
      <vt:lpstr>Sheet1</vt:lpstr>
      <vt:lpstr>Sheet4</vt:lpstr>
      <vt:lpstr>拍卖案例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2022-10-20T02:04:33Z</dcterms:modified>
</cp:coreProperties>
</file>