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报告-诺德中心\"/>
    </mc:Choice>
  </mc:AlternateContent>
  <bookViews>
    <workbookView xWindow="0" yWindow="0" windowWidth="19200" windowHeight="10710" tabRatio="899" firstSheet="3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案例（1）" sheetId="82"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N20" i="1" l="1"/>
  <c r="I48" i="34"/>
  <c r="G48" i="34"/>
  <c r="E48" i="34"/>
  <c r="F10" i="79"/>
  <c r="AA10" i="79"/>
  <c r="D90" i="79"/>
  <c r="B89"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B91" i="79"/>
  <c r="F28" i="79"/>
  <c r="AA28" i="79"/>
  <c r="D109" i="79"/>
  <c r="F36" i="79"/>
  <c r="AA36" i="79"/>
  <c r="D112" i="79"/>
  <c r="E112" i="79"/>
  <c r="F112" i="79"/>
  <c r="G112" i="79"/>
  <c r="N6" i="1"/>
  <c r="C37" i="79"/>
  <c r="F37" i="79"/>
  <c r="AA37" i="79"/>
  <c r="F38" i="79"/>
  <c r="AA38" i="79"/>
  <c r="F39" i="79"/>
  <c r="AA39" i="79"/>
  <c r="D118" i="79"/>
  <c r="F40" i="79"/>
  <c r="AA40" i="79"/>
  <c r="F41" i="79"/>
  <c r="AA41" i="79"/>
  <c r="D124" i="79"/>
  <c r="F43" i="79"/>
  <c r="AA43" i="79"/>
  <c r="D126" i="79"/>
  <c r="F44" i="79"/>
  <c r="AA44" i="79"/>
  <c r="R48" i="79"/>
  <c r="D3" i="4"/>
  <c r="B2" i="1"/>
  <c r="C7" i="79"/>
  <c r="E7" i="79"/>
  <c r="C59" i="79"/>
  <c r="D59" i="79"/>
  <c r="E59" i="79"/>
  <c r="F59" i="79"/>
  <c r="G59" i="79"/>
  <c r="H59" i="79"/>
  <c r="I59" i="79"/>
  <c r="J59" i="79"/>
  <c r="K59" i="79"/>
  <c r="L59" i="79"/>
  <c r="M59" i="79"/>
  <c r="N59" i="79"/>
  <c r="O59" i="79"/>
  <c r="F7" i="79"/>
  <c r="AA7" i="79"/>
  <c r="F8" i="79"/>
  <c r="AA8" i="79"/>
  <c r="C64" i="79"/>
  <c r="F9" i="79"/>
  <c r="AA9" i="79"/>
  <c r="F11" i="79"/>
  <c r="AA11" i="79"/>
  <c r="D78" i="79"/>
  <c r="F15" i="79"/>
  <c r="AA15" i="79"/>
  <c r="F19" i="6"/>
  <c r="C34" i="79"/>
  <c r="F34" i="79"/>
  <c r="AA34" i="79"/>
  <c r="F42" i="79"/>
  <c r="AA42"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8" i="79"/>
  <c r="G7" i="79"/>
  <c r="H7" i="79"/>
  <c r="AB7" i="79"/>
  <c r="H8" i="79"/>
  <c r="AB8" i="79"/>
  <c r="H9" i="79"/>
  <c r="AB9" i="79"/>
  <c r="H11" i="79"/>
  <c r="AB11" i="79"/>
  <c r="H15" i="79"/>
  <c r="AB15" i="79"/>
  <c r="H34" i="79"/>
  <c r="AB34" i="79"/>
  <c r="H42" i="79"/>
  <c r="AB42"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I7" i="79"/>
  <c r="J7" i="79"/>
  <c r="AC7" i="79"/>
  <c r="J8" i="79"/>
  <c r="AC8" i="79"/>
  <c r="J9" i="79"/>
  <c r="AC9" i="79"/>
  <c r="J11" i="79"/>
  <c r="AC11" i="79"/>
  <c r="J15" i="79"/>
  <c r="AC15" i="79"/>
  <c r="J34" i="79"/>
  <c r="AC34" i="79"/>
  <c r="J42" i="79"/>
  <c r="AC42" i="79"/>
  <c r="V49" i="79"/>
  <c r="R50" i="79"/>
  <c r="C50" i="79"/>
  <c r="U6" i="1"/>
  <c r="C19" i="6"/>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Y6" i="1"/>
  <c r="F13" i="67"/>
  <c r="C13" i="67"/>
  <c r="F37" i="67"/>
  <c r="C37" i="67"/>
  <c r="F38" i="67"/>
  <c r="C38" i="67"/>
  <c r="C30" i="67"/>
  <c r="C39" i="67"/>
  <c r="F42" i="67"/>
  <c r="F40" i="67"/>
  <c r="F15" i="4"/>
  <c r="F6" i="1"/>
  <c r="L48" i="67"/>
  <c r="M47" i="67"/>
  <c r="B24" i="1"/>
  <c r="J50" i="67"/>
  <c r="J51" i="67"/>
  <c r="J53" i="67"/>
  <c r="F1" i="67"/>
  <c r="AE6" i="1"/>
  <c r="F41" i="67"/>
  <c r="C40" i="67"/>
  <c r="M6" i="67"/>
  <c r="M8" i="67"/>
  <c r="M7" i="67"/>
  <c r="M9" i="67"/>
  <c r="J6" i="67"/>
  <c r="M11" i="67"/>
  <c r="J10" i="67"/>
  <c r="J5" i="67"/>
  <c r="J26" i="67"/>
  <c r="J29" i="67"/>
  <c r="J60" i="67"/>
  <c r="L46" i="67"/>
  <c r="D2" i="67"/>
  <c r="B3" i="67"/>
  <c r="C20" i="81"/>
  <c r="B89" i="34"/>
  <c r="D90" i="34"/>
  <c r="F27" i="34"/>
  <c r="AA27" i="34"/>
  <c r="B93" i="34"/>
  <c r="F29" i="34"/>
  <c r="AA29" i="34"/>
  <c r="B95" i="34"/>
  <c r="F30" i="34"/>
  <c r="AA30" i="34"/>
  <c r="B97" i="34"/>
  <c r="F31" i="34"/>
  <c r="AA31" i="34"/>
  <c r="B99" i="34"/>
  <c r="F32" i="34"/>
  <c r="AA32" i="34"/>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E90" i="34"/>
  <c r="H27" i="34"/>
  <c r="AB27" i="34"/>
  <c r="H29" i="34"/>
  <c r="AB29" i="34"/>
  <c r="H30" i="34"/>
  <c r="AB30" i="34"/>
  <c r="H31" i="34"/>
  <c r="AB31" i="34"/>
  <c r="H32" i="34"/>
  <c r="AB32"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27" i="34"/>
  <c r="AC27" i="34"/>
  <c r="J29" i="34"/>
  <c r="AC29" i="34"/>
  <c r="J30" i="34"/>
  <c r="AC30" i="34"/>
  <c r="J31" i="34"/>
  <c r="AC31" i="34"/>
  <c r="J32" i="34"/>
  <c r="AC32"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81"/>
  <c r="C17" i="81"/>
  <c r="D17" i="81"/>
  <c r="C18" i="81"/>
  <c r="D18" i="81"/>
  <c r="G20" i="81"/>
  <c r="R24" i="31"/>
  <c r="B25" i="31"/>
  <c r="D3" i="31"/>
  <c r="D4" i="31"/>
  <c r="B24" i="31"/>
  <c r="C25" i="31"/>
  <c r="E25" i="31"/>
  <c r="G25" i="31"/>
  <c r="I25" i="31"/>
  <c r="K25" i="31"/>
  <c r="M25" i="31"/>
  <c r="O25" i="31"/>
  <c r="Q25" i="31"/>
  <c r="R25" i="31"/>
  <c r="S25" i="31"/>
  <c r="B26" i="31"/>
  <c r="C26" i="31"/>
  <c r="E26" i="31"/>
  <c r="G26" i="31"/>
  <c r="I26" i="31"/>
  <c r="K26" i="31"/>
  <c r="M26" i="31"/>
  <c r="O26" i="31"/>
  <c r="Q26" i="31"/>
  <c r="R26" i="31"/>
  <c r="S26" i="31"/>
  <c r="B27" i="31"/>
  <c r="B7" i="4"/>
  <c r="BB5" i="3"/>
  <c r="BB10" i="3"/>
  <c r="BC10" i="3"/>
  <c r="BD10" i="3"/>
  <c r="BE10" i="3"/>
  <c r="BF10" i="3"/>
  <c r="BG10" i="3"/>
  <c r="BH10" i="3"/>
  <c r="BI10" i="3"/>
  <c r="BJ10" i="3"/>
  <c r="BK10" i="3"/>
  <c r="BC5" i="3"/>
  <c r="BD5" i="3"/>
  <c r="BE5" i="3"/>
  <c r="BF5" i="3"/>
  <c r="BG5" i="3"/>
  <c r="BH5" i="3"/>
  <c r="BI5" i="3"/>
  <c r="BJ5" i="3"/>
  <c r="BK5" i="3"/>
  <c r="E8" i="6"/>
  <c r="F27" i="6"/>
  <c r="S24" i="31"/>
  <c r="C27" i="31"/>
  <c r="Q27" i="31"/>
  <c r="E27" i="31"/>
  <c r="G27" i="31"/>
  <c r="I27" i="31"/>
  <c r="K27" i="31"/>
  <c r="M27" i="31"/>
  <c r="O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8" i="31"/>
  <c r="M28"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AC5" i="3"/>
  <c r="BP5" i="3"/>
  <c r="BN5" i="3"/>
  <c r="G29"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<sst xmlns="http://schemas.openxmlformats.org/spreadsheetml/2006/main" count="8128" uniqueCount="3170">
  <si>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</si>
  <si>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</si>
  <si>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</si>
  <si>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</si>
  <si>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</si>
  <si>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</si>
  <si>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</si>
  <si>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</si>
  <si>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</si>
  <si>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</si>
  <si>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</si>
  <si>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</si>
  <si>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</si>
  <si>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</si>
  <si>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</si>
  <si>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</si>
  <si>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</si>
  <si>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</si>
  <si>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</si>
  <si>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</si>
  <si>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</si>
  <si>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</si>
  <si>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</si>
  <si>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</si>
  <si>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</si>
  <si>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</si>
  <si>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</si>
  <si>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</si>
  <si>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</si>
  <si>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</si>
  <si>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</si>
  <si>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</si>
  <si>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</si>
  <si>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</si>
  <si>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</si>
  <si>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</si>
  <si>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</si>
  <si>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</si>
  <si>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</si>
  <si>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</si>
  <si>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</si>
  <si>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</si>
  <si>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</si>
  <si>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</si>
  <si>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</si>
  <si>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</si>
  <si>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</si>
  <si>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</si>
  <si>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</si>
  <si>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</si>
  <si>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</si>
  <si>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</si>
  <si>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</si>
  <si>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</si>
  <si>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</si>
  <si>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</si>
  <si>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</si>
  <si>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</si>
  <si>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</si>
  <si>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</si>
  <si>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</si>
  <si>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</si>
  <si>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</si>
  <si>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</si>
  <si>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</si>
  <si>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</si>
  <si>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</si>
  <si>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</si>
  <si>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</si>
  <si>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</si>
  <si>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</si>
  <si>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</si>
  <si>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</si>
  <si>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</si>
  <si>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</si>
  <si>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</si>
  <si>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</si>
  <si>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</si>
  <si>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</si>
  <si>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</si>
  <si>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</si>
  <si>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</si>
  <si>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</si>
  <si>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</si>
  <si>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</si>
  <si>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</si>
  <si>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</si>
  <si>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</si>
  <si>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</si>
  <si>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</si>
  <si>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</si>
  <si>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</si>
  <si>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</si>
  <si>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</si>
  <si>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</si>
  <si>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</si>
  <si>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</si>
  <si>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</si>
  <si>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</si>
  <si>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</si>
  <si>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</si>
  <si>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</si>
  <si>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</si>
  <si>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</si>
  <si>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</si>
  <si>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</si>
  <si>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</si>
  <si>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</si>
  <si>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</si>
  <si>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</si>
  <si>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</si>
  <si>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</si>
  <si>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</si>
  <si>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</si>
  <si>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</si>
  <si>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</si>
  <si>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</si>
  <si>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</si>
  <si>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</si>
  <si>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</si>
  <si>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</si>
  <si>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</si>
  <si>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</si>
  <si>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</si>
  <si>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</si>
  <si>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</si>
  <si>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</si>
  <si>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</si>
  <si>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</si>
  <si>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</si>
  <si>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</si>
  <si>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</si>
  <si>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</si>
  <si>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</si>
  <si>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</si>
  <si>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</si>
  <si>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</si>
  <si>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</si>
  <si>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</si>
  <si>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</si>
  <si>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</si>
  <si>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</si>
  <si>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</si>
  <si>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</si>
  <si>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</si>
  <si>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</si>
  <si>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</si>
  <si>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</si>
  <si>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</si>
  <si>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</si>
  <si>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</si>
  <si>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</si>
  <si>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</si>
  <si>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</si>
  <si>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</si>
  <si>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</si>
  <si>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</si>
  <si>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</si>
  <si>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</si>
  <si>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</si>
  <si>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</si>
  <si>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</si>
  <si>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</si>
  <si>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</si>
  <si>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</si>
  <si>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</si>
  <si>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</si>
  <si>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</si>
  <si>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</si>
  <si>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</si>
  <si>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</si>
  <si>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</si>
  <si>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</si>
  <si>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</si>
  <si>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</si>
  <si>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</si>
  <si>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</si>
  <si>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</si>
  <si>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</si>
  <si>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</si>
  <si>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</si>
  <si>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</si>
  <si>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</si>
  <si>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</si>
  <si>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</si>
  <si>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</si>
  <si>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</si>
  <si>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</si>
  <si>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</si>
  <si>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</si>
  <si>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</si>
  <si>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</si>
  <si>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</si>
  <si>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</si>
  <si>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</si>
  <si>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</si>
  <si>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</si>
  <si>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</si>
  <si>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</si>
  <si>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</si>
  <si>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</si>
  <si>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</si>
  <si>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</si>
  <si>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</si>
  <si>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</si>
  <si>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</si>
  <si>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</si>
  <si>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</si>
  <si>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</si>
  <si>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</si>
  <si>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</si>
  <si>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</si>
  <si>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</si>
  <si>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</si>
  <si>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</si>
  <si>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</si>
  <si>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</si>
  <si>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</si>
  <si>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</si>
  <si>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</si>
  <si>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</si>
  <si>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</si>
  <si>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</si>
  <si>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</si>
  <si>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</si>
  <si>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</si>
  <si>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</si>
  <si>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</si>
  <si>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</si>
  <si>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</si>
  <si>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</si>
  <si>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</si>
  <si>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</si>
  <si>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</si>
  <si>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</si>
  <si>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</si>
  <si>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</si>
  <si>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</si>
  <si>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</si>
  <si>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</si>
  <si>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</si>
  <si>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</si>
  <si>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</si>
  <si>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</si>
  <si>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</si>
  <si>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</si>
  <si>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</si>
  <si>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</si>
  <si>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</si>
  <si>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</si>
  <si>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</si>
  <si>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</si>
  <si>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</si>
  <si>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</si>
  <si>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</si>
  <si>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</si>
  <si>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</si>
  <si>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</si>
  <si>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</si>
  <si>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</si>
  <si>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</si>
  <si>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</si>
  <si>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</si>
  <si>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</si>
  <si>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</si>
  <si>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</si>
  <si>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</si>
  <si>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</si>
  <si>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</si>
  <si>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</si>
  <si>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</si>
  <si>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</si>
  <si>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</si>
  <si>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</si>
  <si>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</si>
  <si>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</si>
  <si>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</si>
  <si>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</si>
  <si>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</si>
  <si>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</si>
  <si>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</si>
  <si>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</si>
  <si>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</si>
  <si>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</si>
  <si>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</si>
  <si>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</si>
  <si>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</si>
  <si>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</si>
  <si>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</si>
  <si>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</si>
  <si>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</si>
  <si>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</si>
  <si>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</si>
  <si>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</si>
  <si>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</si>
  <si>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</si>
  <si>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</si>
  <si>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</si>
  <si>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</si>
  <si>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</si>
  <si>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</si>
  <si>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</si>
  <si>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</si>
  <si>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</si>
  <si>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</si>
  <si>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</si>
  <si>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</si>
  <si>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</si>
  <si>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</si>
  <si>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</si>
  <si>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</si>
  <si>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</si>
  <si>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</si>
  <si>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</si>
  <si>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</si>
  <si>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</si>
  <si>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</si>
  <si>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</si>
  <si>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</si>
  <si>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</si>
  <si>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</si>
  <si>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</si>
  <si>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</si>
  <si>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</si>
  <si>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</si>
  <si>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</si>
  <si>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</si>
  <si>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</si>
  <si>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</si>
  <si>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</si>
  <si>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</si>
  <si>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</si>
  <si>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</si>
  <si>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</si>
  <si>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</si>
  <si>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</si>
  <si>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</si>
  <si>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</si>
  <si>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</si>
  <si>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</si>
  <si>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</si>
  <si>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</si>
  <si>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</si>
  <si>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</si>
  <si>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</si>
  <si>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</si>
  <si>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</si>
  <si>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</si>
  <si>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</si>
  <si>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</si>
  <si>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</si>
  <si>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</si>
  <si>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</si>
  <si>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</si>
  <si>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</si>
  <si>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</si>
  <si>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</si>
  <si>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</si>
  <si>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</si>
  <si>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</si>
  <si>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</si>
  <si>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</si>
  <si>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</si>
  <si>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</si>
  <si>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</si>
  <si>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</si>
  <si>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</si>
  <si>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</si>
  <si>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</si>
  <si>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</si>
  <si>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</si>
  <si>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</si>
  <si>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</si>
  <si>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</si>
  <si>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</si>
  <si>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</si>
  <si>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</si>
  <si>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</si>
  <si>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</si>
  <si>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</si>
  <si>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</si>
  <si>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</si>
  <si>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</si>
  <si>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</si>
  <si>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</si>
  <si>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</si>
  <si>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</si>
  <si>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</si>
  <si>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</si>
  <si>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</si>
  <si>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</si>
  <si>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</si>
  <si>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</si>
  <si>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</si>
  <si>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</si>
  <si>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</si>
  <si>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</si>
  <si>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</si>
  <si>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</si>
  <si>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</si>
  <si>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</si>
  <si>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</si>
  <si>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</si>
  <si>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</si>
  <si>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</si>
  <si>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</si>
  <si>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</si>
  <si>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</si>
  <si>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</si>
  <si>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</si>
  <si>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</si>
  <si>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</si>
  <si>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</si>
  <si>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</si>
  <si>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</si>
  <si>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</si>
  <si>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</si>
  <si>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</si>
  <si>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</si>
  <si>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</si>
  <si>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</si>
  <si>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</si>
  <si>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</si>
  <si>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</si>
  <si>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</si>
  <si>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</si>
  <si>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</si>
  <si>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</si>
  <si>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</si>
  <si>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</si>
  <si>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</si>
  <si>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</si>
  <si>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</si>
  <si>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</si>
  <si>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</si>
  <si>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</si>
  <si>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</si>
  <si>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</si>
  <si>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</si>
  <si>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</si>
  <si>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</si>
  <si>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</si>
  <si>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</si>
  <si>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</si>
  <si>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</si>
  <si>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</si>
  <si>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</si>
  <si>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</si>
  <si>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</si>
  <si>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</si>
  <si>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</si>
  <si>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</si>
  <si>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</si>
  <si>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</si>
  <si>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</si>
  <si>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</si>
  <si>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</si>
  <si>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</si>
  <si>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</si>
  <si>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</si>
  <si>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</si>
  <si>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</si>
  <si>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</si>
  <si>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</si>
  <si>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</si>
  <si>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</si>
  <si>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</si>
  <si>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</si>
  <si>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</si>
  <si>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</si>
  <si>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</si>
  <si>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</si>
  <si>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</si>
  <si>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</si>
  <si>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</si>
  <si>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</si>
  <si>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</si>
  <si>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</si>
  <si>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</si>
  <si>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</si>
  <si>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</si>
  <si>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</si>
  <si>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</si>
  <si>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</si>
  <si>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</si>
  <si>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</si>
  <si>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</si>
  <si>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</si>
  <si>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</si>
  <si>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</si>
  <si>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</si>
  <si>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</si>
  <si>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</si>
  <si>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</si>
  <si>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</si>
  <si>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</si>
  <si>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</si>
  <si>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</si>
  <si>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</si>
  <si>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</si>
  <si>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</si>
  <si>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</si>
  <si>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</si>
  <si>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</si>
  <si>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</si>
  <si>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</si>
  <si>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</si>
  <si>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</si>
  <si>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</si>
  <si>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</si>
  <si>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</si>
  <si>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</si>
  <si>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</si>
  <si>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</si>
  <si>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</si>
  <si>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</si>
  <si>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</si>
  <si>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</si>
  <si>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</si>
  <si>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</si>
  <si>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</si>
  <si>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</si>
  <si>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</si>
  <si>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</si>
  <si>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</si>
  <si>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</si>
  <si>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</si>
  <si>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</si>
  <si>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</si>
  <si>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</si>
  <si>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</si>
  <si>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</si>
  <si>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</si>
  <si>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</si>
  <si>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</si>
  <si>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</si>
  <si>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</si>
  <si>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</si>
  <si>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</si>
  <si>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</si>
  <si>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</si>
  <si>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</si>
  <si>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</si>
  <si>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</si>
  <si>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</si>
  <si>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</si>
  <si>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</si>
  <si>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</si>
  <si>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</si>
  <si>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</si>
  <si>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</si>
  <si>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</si>
  <si>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</si>
  <si>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</si>
  <si>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</si>
  <si>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</si>
  <si>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</si>
  <si>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</si>
  <si>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</si>
  <si>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</si>
  <si>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</si>
  <si>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</si>
  <si>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</si>
  <si>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</si>
  <si>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</si>
  <si>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</si>
  <si>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</si>
  <si>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</si>
  <si>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</si>
  <si>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</si>
  <si>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</si>
  <si>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</si>
  <si>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</si>
  <si>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</si>
  <si>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</si>
  <si>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</si>
  <si>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</si>
  <si>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</si>
  <si>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</si>
  <si>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</si>
  <si>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</si>
  <si>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</si>
  <si>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</si>
  <si>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</si>
  <si>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</si>
  <si>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</si>
  <si>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</si>
  <si>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</si>
  <si>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</si>
  <si>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</si>
  <si>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</si>
  <si>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</si>
  <si>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</si>
  <si>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</si>
  <si>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</si>
  <si>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</si>
  <si>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</si>
  <si>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</si>
  <si>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</si>
  <si>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</si>
  <si>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</si>
  <si>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</si>
  <si>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</si>
  <si>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</si>
  <si>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</si>
  <si>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</si>
  <si>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</si>
  <si>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</si>
  <si>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</si>
  <si>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</si>
  <si>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</si>
  <si>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</si>
  <si>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</si>
  <si>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</si>
  <si>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</si>
  <si>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</si>
  <si>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</si>
  <si>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</si>
  <si>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</si>
  <si>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</si>
  <si>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</si>
  <si>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</si>
  <si>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</si>
  <si>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</si>
  <si>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</si>
  <si>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</si>
  <si>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</si>
  <si>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</si>
  <si>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</si>
  <si>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</si>
  <si>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</si>
  <si>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</si>
  <si>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</si>
  <si>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</si>
  <si>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</si>
  <si>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</si>
  <si>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</si>
  <si>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</si>
  <si>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</si>
  <si>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</si>
  <si>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</si>
  <si>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</si>
  <si>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</si>
  <si>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</si>
  <si>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</si>
  <si>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</si>
  <si>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</si>
  <si>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</si>
  <si>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</si>
  <si>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</si>
  <si>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</si>
  <si>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</si>
  <si>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</si>
  <si>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</si>
  <si>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</si>
  <si>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</si>
  <si>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</si>
  <si>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</si>
  <si>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</si>
  <si>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</si>
  <si>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</si>
  <si>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</si>
  <si>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</si>
  <si>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</si>
  <si>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</si>
  <si>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</si>
  <si>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</si>
  <si>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</si>
  <si>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</si>
  <si>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</si>
  <si>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</si>
  <si>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</si>
  <si>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</si>
  <si>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</si>
  <si>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</si>
  <si>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</si>
  <si>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</si>
  <si>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</si>
  <si>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</si>
  <si>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</si>
  <si>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</si>
  <si>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</si>
  <si>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</si>
  <si>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</si>
  <si>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</si>
  <si>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</si>
  <si>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</si>
  <si>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</si>
  <si>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</si>
  <si>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</si>
  <si>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</si>
  <si>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</si>
  <si>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</si>
  <si>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</si>
  <si>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</si>
  <si>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</si>
  <si>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</si>
  <si>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</si>
  <si>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</si>
  <si>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</si>
  <si>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</si>
  <si>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</si>
  <si>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</si>
  <si>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</si>
  <si>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</si>
  <si>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</si>
  <si>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</si>
  <si>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</si>
  <si>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</si>
  <si>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</si>
  <si>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</si>
  <si>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</si>
  <si>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</si>
  <si>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</si>
  <si>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</si>
  <si>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</si>
  <si>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</si>
  <si>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</si>
  <si>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</si>
  <si>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</si>
  <si>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</si>
  <si>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</si>
  <si>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</si>
  <si>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</si>
  <si>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</si>
  <si>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</si>
  <si>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</si>
  <si>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</si>
  <si>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</si>
  <si>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</si>
  <si>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</si>
  <si>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</si>
  <si>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</si>
  <si>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</si>
  <si>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</si>
  <si>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</si>
  <si>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</si>
  <si>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</si>
  <si>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</si>
  <si>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</si>
  <si>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</si>
  <si>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</si>
  <si>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</si>
  <si>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</si>
  <si>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</si>
  <si>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</si>
  <si>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</si>
  <si>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</si>
  <si>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</si>
  <si>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</si>
  <si>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</si>
  <si>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</si>
  <si>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</si>
  <si>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</si>
  <si>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</si>
  <si>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</si>
  <si>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</si>
  <si>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</si>
  <si>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</si>
  <si>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</si>
  <si>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</si>
  <si>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</si>
  <si>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</si>
  <si>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</si>
  <si>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</si>
  <si>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</si>
  <si>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</si>
  <si>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</si>
  <si>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</si>
  <si>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</si>
  <si>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</si>
  <si>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</si>
  <si>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</si>
  <si>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</si>
  <si>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</si>
  <si>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</si>
  <si>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</si>
  <si>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</si>
  <si>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</si>
  <si>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</si>
  <si>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</si>
  <si>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</si>
  <si>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</si>
  <si>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</si>
  <si>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</si>
  <si>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</si>
  <si>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</si>
  <si>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</si>
  <si>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</si>
  <si>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</si>
  <si>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</si>
  <si>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</si>
  <si>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</si>
  <si>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</si>
  <si>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</si>
  <si>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</si>
  <si>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</si>
  <si>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</si>
  <si>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</si>
  <si>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</si>
  <si>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</si>
  <si>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</si>
  <si>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</si>
  <si>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</si>
  <si>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</si>
  <si>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</si>
  <si>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</si>
  <si>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</si>
  <si>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</si>
  <si>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</si>
  <si>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</si>
  <si>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</si>
  <si>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</si>
  <si>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</si>
  <si>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</si>
  <si>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</si>
  <si>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</si>
  <si>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</si>
  <si>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</si>
  <si>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</si>
  <si>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</si>
  <si>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</si>
  <si>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</si>
  <si>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</si>
  <si>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</si>
  <si>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</si>
  <si>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</si>
  <si>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</si>
  <si>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</si>
  <si>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</si>
  <si>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</si>
  <si>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</si>
  <si>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</si>
  <si>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</si>
  <si>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</si>
  <si>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</si>
  <si>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</si>
  <si>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</si>
  <si>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</si>
  <si>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</si>
  <si>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</si>
  <si>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</si>
  <si>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</si>
  <si>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</si>
  <si>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</si>
  <si>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</si>
  <si>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</si>
  <si>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</si>
  <si>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</si>
  <si>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</si>
  <si>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</si>
  <si>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</si>
  <si>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</si>
  <si>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</si>
  <si>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</si>
  <si>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</si>
  <si>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</si>
  <si>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</si>
  <si>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</si>
  <si>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</si>
  <si>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</si>
  <si>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</si>
  <si>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</si>
  <si>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</si>
  <si>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</si>
  <si>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</si>
  <si>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</si>
  <si>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</si>
  <si>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</si>
  <si>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</si>
  <si>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</si>
  <si>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</si>
  <si>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</si>
  <si>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</si>
  <si>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</si>
  <si>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</si>
  <si>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</si>
  <si>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</si>
  <si>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</si>
  <si>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</si>
  <si>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</si>
  <si>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</si>
  <si>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</si>
  <si>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</si>
  <si>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</si>
  <si>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</si>
  <si>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</si>
  <si>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</si>
  <si>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</si>
  <si>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</si>
  <si>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</si>
  <si>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</si>
  <si>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</si>
  <si>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</si>
  <si>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</si>
  <si>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</si>
  <si>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</si>
  <si>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</si>
  <si>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</si>
  <si>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</si>
  <si>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</si>
  <si>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</si>
  <si>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</si>
  <si>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</si>
  <si>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</si>
  <si>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</si>
  <si>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</si>
  <si>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</si>
  <si>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</si>
  <si>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</si>
  <si>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</si>
  <si>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</si>
  <si>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</si>
  <si>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</si>
  <si>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</si>
  <si>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</si>
  <si>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</si>
  <si>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</si>
  <si>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</si>
  <si>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</si>
  <si>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</si>
  <si>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</si>
  <si>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</si>
  <si>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</si>
  <si>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</si>
  <si>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</si>
  <si>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</si>
  <si>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</si>
  <si>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</si>
  <si>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</si>
  <si>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</si>
  <si>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</si>
  <si>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</si>
  <si>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</si>
  <si>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</si>
  <si>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</si>
  <si>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</si>
  <si>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</si>
  <si>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</si>
  <si>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</si>
  <si>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</si>
  <si>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</si>
  <si>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</si>
  <si>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</si>
  <si>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</si>
  <si>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</si>
  <si>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</si>
  <si>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</si>
  <si>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</si>
  <si>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</si>
  <si>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</si>
  <si>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</si>
  <si>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</si>
  <si>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</si>
  <si>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</si>
  <si>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</si>
  <si>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</si>
  <si>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</si>
  <si>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</si>
  <si>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</si>
  <si>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</si>
  <si>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</si>
  <si>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</si>
  <si>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</si>
  <si>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</si>
  <si>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</si>
  <si>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</si>
  <si>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</si>
  <si>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</si>
  <si>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</si>
  <si>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</si>
  <si>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</si>
  <si>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</si>
  <si>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</si>
  <si>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</si>
  <si>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</si>
  <si>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</si>
  <si>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</si>
  <si>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</si>
  <si>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</si>
  <si>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</si>
  <si>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</si>
  <si>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</si>
  <si>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</si>
  <si>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</si>
  <si>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</si>
  <si>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</si>
  <si>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</si>
  <si>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</si>
  <si>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</si>
  <si>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</si>
  <si>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</si>
  <si>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</si>
  <si>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</si>
  <si>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</si>
  <si>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</si>
  <si>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</si>
  <si>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</si>
  <si>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</si>
  <si>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</si>
  <si>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</si>
  <si>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</si>
  <si>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</si>
  <si>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</si>
  <si>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</si>
  <si>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</si>
  <si>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</si>
  <si>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</si>
  <si>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</si>
  <si>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</si>
  <si>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</si>
  <si>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</si>
  <si>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</si>
  <si>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</si>
  <si>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</si>
  <si>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</si>
  <si>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</si>
  <si>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</si>
  <si>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</si>
  <si>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</si>
  <si>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</si>
  <si>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</si>
  <si>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</si>
  <si>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</si>
  <si>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</si>
  <si>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</si>
  <si>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</si>
  <si>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</si>
  <si>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</si>
  <si>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</si>
  <si>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</si>
  <si>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</si>
  <si>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</si>
  <si>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</si>
  <si>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</si>
  <si>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</si>
  <si>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</si>
  <si>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</si>
  <si>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</si>
  <si>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</si>
  <si>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</si>
  <si>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</si>
  <si>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</si>
  <si>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</si>
  <si>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</si>
  <si>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</si>
  <si>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</si>
  <si>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</si>
  <si>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</si>
  <si>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</si>
  <si>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</si>
  <si>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</si>
  <si>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</si>
  <si>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</si>
  <si>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</si>
  <si>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</si>
  <si>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</si>
  <si>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</si>
  <si>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</si>
  <si>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</si>
  <si>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</si>
  <si>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</si>
  <si>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</si>
  <si>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</si>
  <si>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</si>
  <si>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</si>
  <si>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</si>
  <si>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</si>
  <si>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</si>
  <si>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</si>
  <si>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</si>
  <si>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</si>
  <si>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</si>
  <si>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</si>
  <si>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</si>
  <si>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</si>
  <si>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</si>
  <si>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</si>
  <si>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</si>
  <si>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</si>
  <si>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</si>
  <si>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</si>
  <si>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</si>
  <si>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</si>
  <si>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</si>
  <si>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</si>
  <si>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</si>
  <si>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</si>
  <si>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</si>
  <si>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</si>
  <si>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</si>
  <si>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</si>
  <si>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</si>
  <si>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</si>
  <si>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</si>
  <si>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</si>
  <si>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</si>
  <si>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</si>
  <si>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</si>
  <si>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</si>
  <si>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</si>
  <si>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</si>
  <si>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</si>
  <si>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</si>
  <si>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</si>
  <si>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</si>
  <si>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</si>
  <si>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</si>
  <si>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</si>
  <si>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</si>
  <si>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</si>
  <si>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</si>
  <si>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</si>
  <si>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</si>
  <si>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</si>
  <si>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</si>
  <si>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</si>
  <si>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</si>
  <si>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</si>
  <si>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</si>
  <si>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</si>
  <si>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</si>
  <si>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</si>
  <si>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</si>
  <si>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</si>
  <si>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</si>
  <si>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</si>
  <si>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</si>
  <si>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</si>
  <si>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</si>
  <si>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</si>
  <si>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</si>
  <si>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</si>
  <si>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</si>
  <si>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</si>
  <si>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</si>
  <si>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</si>
  <si>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</si>
  <si>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</si>
  <si>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</si>
  <si>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</si>
  <si>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</si>
  <si>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</si>
  <si>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</si>
  <si>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</si>
  <si>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</si>
  <si>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</si>
  <si>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</si>
  <si>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</si>
  <si>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</si>
  <si>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</si>
  <si>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</si>
  <si>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</si>
  <si>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</si>
  <si>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</si>
  <si>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</si>
  <si>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</si>
  <si>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</si>
  <si>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</si>
  <si>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</si>
  <si>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</si>
  <si>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</si>
  <si>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</si>
  <si>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</si>
  <si>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</si>
  <si>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</si>
  <si>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</si>
  <si>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</si>
  <si>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</si>
  <si>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</si>
  <si>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</si>
  <si>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</si>
  <si>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</si>
  <si>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</si>
  <si>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</si>
  <si>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</si>
  <si>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</si>
  <si>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</si>
  <si>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</si>
  <si>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</si>
  <si>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</si>
  <si>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</si>
  <si>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</si>
  <si>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</si>
  <si>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</si>
  <si>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</si>
  <si>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</si>
  <si>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</si>
  <si>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</si>
  <si>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</si>
  <si>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</si>
  <si>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</si>
  <si>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</si>
  <si>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</si>
  <si>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</si>
  <si>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</si>
  <si>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</si>
  <si>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</si>
  <si>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</si>
  <si>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</si>
  <si>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</si>
  <si>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</si>
  <si>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</si>
  <si>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</si>
  <si>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</si>
  <si>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</si>
  <si>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</si>
  <si>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</si>
  <si>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</si>
  <si>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</si>
  <si>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</si>
  <si>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</si>
  <si>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</si>
  <si>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</si>
  <si>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</si>
  <si>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</si>
  <si>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</si>
  <si>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</si>
  <si>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</si>
  <si>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</si>
  <si>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</si>
  <si>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</si>
  <si>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</si>
  <si>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</si>
  <si>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</si>
  <si>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</si>
  <si>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</si>
  <si>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</si>
  <si>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</si>
  <si>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</si>
  <si>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</si>
  <si>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</si>
  <si>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</si>
  <si>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</si>
  <si>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</si>
  <si>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</si>
  <si>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</si>
  <si>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</si>
  <si>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</si>
  <si>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</si>
  <si>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</si>
  <si>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</si>
  <si>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</si>
  <si>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</si>
  <si>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</si>
  <si>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</si>
  <si>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</si>
  <si>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</si>
  <si>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</si>
  <si>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</si>
  <si>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</si>
  <si>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</si>
  <si>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</si>
  <si>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</si>
  <si>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</si>
  <si>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</si>
  <si>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</si>
  <si>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</si>
  <si>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</si>
  <si>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</si>
  <si>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</si>
  <si>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</si>
  <si>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</si>
  <si>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</si>
  <si>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</si>
  <si>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</si>
  <si>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</si>
  <si>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</si>
  <si>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</si>
  <si>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</si>
  <si>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</si>
  <si>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</si>
  <si>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</si>
  <si>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</si>
  <si>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</si>
  <si>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</si>
  <si>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</si>
  <si>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</si>
  <si>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</si>
  <si>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</si>
  <si>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</si>
  <si>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</si>
  <si>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</si>
  <si>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</si>
  <si>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</si>
  <si>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</si>
  <si>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</si>
  <si>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</si>
  <si>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</si>
  <si>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</si>
  <si>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</si>
  <si>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</si>
  <si>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</si>
  <si>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</si>
  <si>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</si>
  <si>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</si>
  <si>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</si>
  <si>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</si>
  <si>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</si>
  <si>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</si>
  <si>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</si>
  <si>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</si>
  <si>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</si>
  <si>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</si>
  <si>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</si>
  <si>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</si>
  <si>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</si>
  <si>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</si>
  <si>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</si>
  <si>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</si>
  <si>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</si>
  <si>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</si>
  <si>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</si>
  <si>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</si>
  <si>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</si>
  <si>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</si>
  <si>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</si>
  <si>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</si>
  <si>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</si>
  <si>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</si>
  <si>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</si>
  <si>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</si>
  <si>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</si>
  <si>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</si>
  <si>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</si>
  <si>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</si>
  <si>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</si>
  <si>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</si>
  <si>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</si>
  <si>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</si>
  <si>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</si>
  <si>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</si>
  <si>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</si>
  <si>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</si>
  <si>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</si>
  <si>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</si>
  <si>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</si>
  <si>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</si>
  <si>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</si>
  <si>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</si>
  <si>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</si>
  <si>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</si>
  <si>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</si>
  <si>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</si>
  <si>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</si>
  <si>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</si>
  <si>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</si>
  <si>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</si>
  <si>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</si>
  <si>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</si>
  <si>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</si>
  <si>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</si>
  <si>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</si>
  <si>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</si>
  <si>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</si>
  <si>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</si>
  <si>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</si>
  <si>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</si>
  <si>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</si>
  <si>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</si>
  <si>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</si>
  <si>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</si>
  <si>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</si>
  <si>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</si>
  <si>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</si>
  <si>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</si>
  <si>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</si>
  <si>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</si>
  <si>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</si>
  <si>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</si>
  <si>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</si>
  <si>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</si>
  <si>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</si>
  <si>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</si>
  <si>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</si>
  <si>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</si>
  <si>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</si>
  <si>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</si>
  <si>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</si>
  <si>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</si>
  <si>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</si>
  <si>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</si>
  <si>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</si>
  <si>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</si>
  <si>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</si>
  <si>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</si>
  <si>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</si>
  <si>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</si>
  <si>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</si>
  <si>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</si>
  <si>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</si>
  <si>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</si>
  <si>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</si>
  <si>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</si>
  <si>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</si>
  <si>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</si>
  <si>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</si>
  <si>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</si>
  <si>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</si>
  <si>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</si>
  <si>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</si>
  <si>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</si>
  <si>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</si>
  <si>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</si>
  <si>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</si>
  <si>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</si>
  <si>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</si>
  <si>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</si>
  <si>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</si>
  <si>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</si>
  <si>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</si>
  <si>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</si>
  <si>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</si>
  <si>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</si>
  <si>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</si>
  <si>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</si>
  <si>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</si>
  <si>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</si>
  <si>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</si>
  <si>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</si>
  <si>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</si>
  <si>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</si>
  <si>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</si>
  <si>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</si>
  <si>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</si>
  <si>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</si>
  <si>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</si>
  <si>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</si>
  <si>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</si>
  <si>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</si>
  <si>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</si>
  <si>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</si>
  <si>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</si>
  <si>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</si>
  <si>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</si>
  <si>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</si>
  <si>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</si>
  <si>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</si>
  <si>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</si>
  <si>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</si>
  <si>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</si>
  <si>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</si>
  <si>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</si>
  <si>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</si>
  <si>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</si>
  <si>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</si>
  <si>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</si>
  <si>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</si>
  <si>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</si>
  <si>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</si>
  <si>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</si>
  <si>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</si>
  <si>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</si>
  <si>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</si>
  <si>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</si>
  <si>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</si>
  <si>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</si>
  <si>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</si>
  <si>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</si>
  <si>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</si>
  <si>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</si>
  <si>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</si>
  <si>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</si>
  <si>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</si>
  <si>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</si>
  <si>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</si>
  <si>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</si>
  <si>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</si>
  <si>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</si>
  <si>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</si>
  <si>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</si>
  <si>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</si>
  <si>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</si>
  <si>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</si>
  <si>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</si>
  <si>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</si>
  <si>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</si>
  <si>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</si>
  <si>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</si>
  <si>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</si>
  <si>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</si>
  <si>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</si>
  <si>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</si>
  <si>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</si>
  <si>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</si>
  <si>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</si>
  <si>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</si>
  <si>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</si>
  <si>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</si>
  <si>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</si>
  <si>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</si>
  <si>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</si>
  <si>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</si>
  <si>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</si>
  <si>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</si>
  <si>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</si>
  <si>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</si>
  <si>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</si>
  <si>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</si>
  <si>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</si>
  <si>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</si>
  <si>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</si>
  <si>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</si>
  <si>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</si>
  <si>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</si>
  <si>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</si>
  <si>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</si>
  <si>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</si>
  <si>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</si>
  <si>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</si>
  <si>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</si>
  <si>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</si>
  <si>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</si>
  <si>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</si>
  <si>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</si>
  <si>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</si>
  <si>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</si>
  <si>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</si>
  <si>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</si>
  <si>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</si>
  <si>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</si>
  <si>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</si>
  <si>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</si>
  <si>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</si>
  <si>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</si>
  <si>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</si>
  <si>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</si>
  <si>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</si>
  <si>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</si>
  <si>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</si>
  <si>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</si>
  <si>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</si>
  <si>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</si>
  <si>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</si>
  <si>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</si>
  <si>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</si>
  <si>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</si>
  <si>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</si>
  <si>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</si>
  <si>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</si>
  <si>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</si>
  <si>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</si>
  <si>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</si>
  <si>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</si>
  <si>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</si>
  <si>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</si>
  <si>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</si>
  <si>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</si>
  <si>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</si>
  <si>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</si>
  <si>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</si>
  <si>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</si>
  <si>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</si>
  <si>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</si>
  <si>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</si>
  <si>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</si>
  <si>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</si>
  <si>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</si>
  <si>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</si>
  <si>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</si>
  <si>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</si>
  <si>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</si>
  <si>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</si>
  <si>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</si>
  <si>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</si>
  <si>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</si>
  <si>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</si>
  <si>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</si>
  <si>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</si>
  <si>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</si>
  <si>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</si>
  <si>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</si>
  <si>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</si>
  <si>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</si>
  <si>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</si>
  <si>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</si>
  <si>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</si>
  <si>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</si>
  <si>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</si>
  <si>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</si>
  <si>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</si>
  <si>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</si>
  <si>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</si>
  <si>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</si>
  <si>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</si>
  <si>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</si>
  <si>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</si>
  <si>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</si>
  <si>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</si>
  <si>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</si>
  <si>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</si>
  <si>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</si>
  <si>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</si>
  <si>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</si>
  <si>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</si>
  <si>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</si>
  <si>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</si>
  <si>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</si>
  <si>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</si>
  <si>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</si>
  <si>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</si>
  <si>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</si>
  <si>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</si>
  <si>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</si>
  <si>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</si>
  <si>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</si>
  <si>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</si>
  <si>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</si>
  <si>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</si>
  <si>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</si>
  <si>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</si>
  <si>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</si>
  <si>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</si>
  <si>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</si>
  <si>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</si>
  <si>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</si>
  <si>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</si>
  <si>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</si>
  <si>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</si>
  <si>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</si>
  <si>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</si>
  <si>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</si>
  <si>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</si>
  <si>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</si>
  <si>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</si>
  <si>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</si>
  <si>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</si>
  <si>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</si>
  <si>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</si>
  <si>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</si>
  <si>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</si>
  <si>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</si>
  <si>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</si>
  <si>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</si>
  <si>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</si>
  <si>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</si>
  <si>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</si>
  <si>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</si>
  <si>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</si>
  <si>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</si>
  <si>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</si>
  <si>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</si>
  <si>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</si>
  <si>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</si>
  <si>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</si>
  <si>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</si>
  <si>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</si>
  <si>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</si>
  <si>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</si>
  <si>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</si>
  <si>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</si>
  <si>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</si>
  <si>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</si>
  <si>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</si>
  <si>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</si>
  <si>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</si>
  <si>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</si>
  <si>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</si>
  <si>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</si>
  <si>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</si>
  <si>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</si>
  <si>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</si>
  <si>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</si>
  <si>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</si>
  <si>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</si>
  <si>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</si>
  <si>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</si>
  <si>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</si>
  <si>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</si>
  <si>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</si>
  <si>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</si>
  <si>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</si>
  <si>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</si>
  <si>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</si>
  <si>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</si>
  <si>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</si>
  <si>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</si>
  <si>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</si>
  <si>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</si>
  <si>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</si>
  <si>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</si>
  <si>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</si>
  <si>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</si>
  <si>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</si>
  <si>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</si>
  <si>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</si>
  <si>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</si>
  <si>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</si>
  <si>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</si>
  <si>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</si>
  <si>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</si>
  <si>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</si>
  <si>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</si>
  <si>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</si>
  <si>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</si>
  <si>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</si>
  <si>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</si>
  <si>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</si>
  <si>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</si>
  <si>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</si>
  <si>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</si>
  <si>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</si>
  <si>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</si>
  <si>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</si>
  <si>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</si>
  <si>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</si>
  <si>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</si>
  <si>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</si>
  <si>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</si>
  <si>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</si>
  <si>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</si>
  <si>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</si>
  <si>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</si>
  <si>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</si>
  <si>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</si>
  <si>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</si>
  <si>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</si>
  <si>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</si>
  <si>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</si>
  <si>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</si>
  <si>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</si>
  <si>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</si>
  <si>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</si>
  <si>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</si>
  <si>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</si>
  <si>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</si>
  <si>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</si>
  <si>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</si>
  <si>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</si>
  <si>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</si>
  <si>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</si>
  <si>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</si>
  <si>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</si>
  <si>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</si>
  <si>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</si>
  <si>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</si>
  <si>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</si>
  <si>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</si>
  <si>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</si>
  <si>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</si>
  <si>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</si>
  <si>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</si>
  <si>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</si>
  <si>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</si>
  <si>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</si>
  <si>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</si>
  <si>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</si>
  <si>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</si>
  <si>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</si>
  <si>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</si>
  <si>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</si>
  <si>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</si>
  <si>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</si>
  <si>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</si>
  <si>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</si>
  <si>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</si>
  <si>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</si>
  <si>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</si>
  <si>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</si>
  <si>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</si>
  <si>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</si>
  <si>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</si>
  <si>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</si>
  <si>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</si>
  <si>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</si>
  <si>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</si>
  <si>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</si>
  <si>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</si>
  <si>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</si>
  <si>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</si>
  <si>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</si>
  <si>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</si>
  <si>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</si>
  <si>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</si>
  <si>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</si>
  <si>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</si>
  <si>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</si>
  <si>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</si>
  <si>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</si>
  <si>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</si>
  <si>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</si>
  <si>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</si>
  <si>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</si>
  <si>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</si>
  <si>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</si>
  <si>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</si>
  <si>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</si>
  <si>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</si>
  <si>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</si>
  <si>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</si>
  <si>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</si>
  <si>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</si>
  <si>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</si>
  <si>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</si>
  <si>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</si>
  <si>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</si>
  <si>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</si>
  <si>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</si>
  <si>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</si>
  <si>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</si>
  <si>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</si>
  <si>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</si>
  <si>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</si>
  <si>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</si>
  <si>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</si>
  <si>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</si>
  <si>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</si>
  <si>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</si>
  <si>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</si>
  <si>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</si>
  <si>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</si>
  <si>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</si>
  <si>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</si>
  <si>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</si>
  <si>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</si>
  <si>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</si>
  <si>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</si>
  <si>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</si>
  <si>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</si>
  <si>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</si>
  <si>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</si>
  <si>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</si>
  <si>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</si>
  <si>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</si>
  <si>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</si>
  <si>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</si>
  <si>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</si>
  <si>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</si>
  <si>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</si>
  <si>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</si>
  <si>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</si>
  <si>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</si>
  <si>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</si>
  <si>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</si>
  <si>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</si>
  <si>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</si>
  <si>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</si>
  <si>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</si>
  <si>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</si>
  <si>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</si>
  <si>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</si>
  <si>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</si>
  <si>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</si>
  <si>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</si>
  <si>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</si>
  <si>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</si>
  <si>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</si>
  <si>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</si>
  <si>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</si>
  <si>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</si>
  <si>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</si>
  <si>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</si>
  <si>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</si>
  <si>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</si>
  <si>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</si>
  <si>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</si>
  <si>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</si>
  <si>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</si>
  <si>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</si>
  <si>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</si>
  <si>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</si>
  <si>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</si>
  <si>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</si>
  <si>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</si>
  <si>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</si>
  <si>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</si>
  <si>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</si>
  <si>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</si>
  <si>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</si>
  <si>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</si>
  <si>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</si>
  <si>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</si>
  <si>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</si>
  <si>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</si>
  <si>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</si>
  <si>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</si>
  <si>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</si>
  <si>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</si>
  <si>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</si>
  <si>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</si>
  <si>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</si>
  <si>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</si>
  <si>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</si>
  <si>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</si>
  <si>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</si>
  <si>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</si>
  <si>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</si>
  <si>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</si>
  <si>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</si>
  <si>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</si>
  <si>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</si>
  <si>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</si>
  <si>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</si>
  <si>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</si>
  <si>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</si>
  <si>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</si>
  <si>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</si>
  <si>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</si>
  <si>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</si>
  <si>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</si>
  <si>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</si>
  <si>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</si>
  <si>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</si>
  <si>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</si>
  <si>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</si>
  <si>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</si>
  <si>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</si>
  <si>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</si>
  <si>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</si>
  <si>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</si>
  <si>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</si>
  <si>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</si>
  <si>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</si>
  <si>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</si>
  <si>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</si>
  <si>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</si>
  <si>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</si>
  <si>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</si>
  <si>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</si>
  <si>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</si>
  <si>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</si>
  <si>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</si>
  <si>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</si>
  <si>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</si>
  <si>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</si>
  <si>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</si>
  <si>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</si>
  <si>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</si>
  <si>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</si>
  <si>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</si>
  <si>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</si>
  <si>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</si>
  <si>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</si>
  <si>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</si>
  <si>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</si>
  <si>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</si>
  <si>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</si>
  <si>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</si>
  <si>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</si>
  <si>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</si>
  <si>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</si>
  <si>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</si>
  <si>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</si>
  <si>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</si>
  <si>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</si>
  <si>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</si>
  <si>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</si>
  <si>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</si>
  <si>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</si>
  <si>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</si>
  <si>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</si>
  <si>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</si>
  <si>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</si>
  <si>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</si>
  <si>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</si>
  <si>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</si>
  <si>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</si>
  <si>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</si>
  <si>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</si>
  <si>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</si>
  <si>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</si>
  <si>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</si>
  <si>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</si>
  <si>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</si>
  <si>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</si>
  <si>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</si>
  <si>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</si>
  <si>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</si>
  <si>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</si>
  <si>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</si>
  <si>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</si>
  <si>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</si>
  <si>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</si>
  <si>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</si>
  <si>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</si>
  <si>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</si>
  <si>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</si>
  <si>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</si>
  <si>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</si>
  <si>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</si>
  <si>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</si>
  <si>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</si>
  <si>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</si>
  <si>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</si>
  <si>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</si>
  <si>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</si>
  <si>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</si>
  <si>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</si>
  <si>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</si>
  <si>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</si>
  <si>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</si>
  <si>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</si>
  <si>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</si>
  <si>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</si>
  <si>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</si>
  <si>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</si>
  <si>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</si>
  <si>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</si>
  <si>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</si>
  <si>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</si>
  <si>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</si>
  <si>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</si>
  <si>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</si>
  <si>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</si>
  <si>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</si>
  <si>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</si>
  <si>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</si>
  <si>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</si>
  <si>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</si>
  <si>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</si>
  <si>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</si>
  <si>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</si>
  <si>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</si>
  <si>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</si>
  <si>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</si>
  <si>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</si>
  <si>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</si>
  <si>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</si>
  <si>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</si>
  <si>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</si>
  <si>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</si>
  <si>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</si>
  <si>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</si>
  <si>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</si>
  <si>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</si>
  <si>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</si>
  <si>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</si>
  <si>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</si>
  <si>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</si>
  <si>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</si>
  <si>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</si>
  <si>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</si>
  <si>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</si>
  <si>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</si>
  <si>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</si>
  <si>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</si>
  <si>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</si>
  <si>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</si>
  <si>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</si>
  <si>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</si>
  <si>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</si>
  <si>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</si>
  <si>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</si>
  <si>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</si>
  <si>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</si>
  <si>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</si>
  <si>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</si>
  <si>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</si>
  <si>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</si>
  <si>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</si>
  <si>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</si>
  <si>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</si>
  <si>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</si>
  <si>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</si>
  <si>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</si>
  <si>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</si>
  <si>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</si>
  <si>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</si>
  <si>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</si>
  <si>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</si>
  <si>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</si>
  <si>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</si>
  <si>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</si>
  <si>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</si>
  <si>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</si>
  <si>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</si>
  <si>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</si>
  <si>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</si>
  <si>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</si>
  <si>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</si>
  <si>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</si>
  <si>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</si>
  <si>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</si>
  <si>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</si>
  <si>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</si>
  <si>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</si>
  <si>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</si>
  <si>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</si>
  <si>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</si>
  <si>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</si>
  <si>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</si>
  <si>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</si>
  <si>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</si>
  <si>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</si>
  <si>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</si>
  <si>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</si>
  <si>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</si>
  <si>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</si>
  <si>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</si>
  <si>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</si>
  <si>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</si>
  <si>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</si>
  <si>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</si>
  <si>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</si>
  <si>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</si>
  <si>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</si>
  <si>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</si>
  <si>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</si>
  <si>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</si>
  <si>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</si>
  <si>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</si>
  <si>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</si>
  <si>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</si>
  <si>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</si>
  <si>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</si>
  <si>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</si>
  <si>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</si>
  <si>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</si>
  <si>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</si>
  <si>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</si>
  <si>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</si>
  <si>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</si>
  <si>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</si>
  <si>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</si>
  <si>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</si>
  <si>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</si>
  <si>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</si>
  <si>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</si>
  <si>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</si>
  <si>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</si>
  <si>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</si>
  <si>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</si>
  <si>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</si>
  <si>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</si>
  <si>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</si>
  <si>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</si>
  <si>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</si>
  <si>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</si>
  <si>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</si>
  <si>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</si>
  <si>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</si>
  <si>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</si>
  <si>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</si>
  <si>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</si>
  <si>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</si>
  <si>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</si>
  <si>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</si>
  <si>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</si>
  <si>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</si>
  <si>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</si>
  <si>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</si>
  <si>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</si>
  <si>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</si>
  <si>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</si>
  <si>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</si>
  <si>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</si>
  <si>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</si>
  <si>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</si>
  <si>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</si>
  <si>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</si>
  <si>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</si>
  <si>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</si>
  <si>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</si>
  <si>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</si>
  <si>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</si>
  <si>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</si>
  <si>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</si>
  <si>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</si>
  <si>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</si>
  <si>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</si>
  <si>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</si>
  <si>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</si>
  <si>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</si>
  <si>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</si>
  <si>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</si>
  <si>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</si>
  <si>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</si>
  <si>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</si>
  <si>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</si>
  <si>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</si>
  <si>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</si>
  <si>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</si>
  <si>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</si>
  <si>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</si>
  <si>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</si>
  <si>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</si>
  <si>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</si>
  <si>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</si>
  <si>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</si>
  <si>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</si>
  <si>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</si>
  <si>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</si>
  <si>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</si>
  <si>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</si>
  <si>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</si>
  <si>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</si>
  <si>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</si>
  <si>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</si>
  <si>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</si>
  <si>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</si>
  <si>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</si>
  <si>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</si>
  <si>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</si>
  <si>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</si>
  <si>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</si>
  <si>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</si>
  <si>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</si>
  <si>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</si>
  <si>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</si>
  <si>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</si>
  <si>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</si>
  <si>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</si>
  <si>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</si>
  <si>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</si>
  <si>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</si>
  <si>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</si>
  <si>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</si>
  <si>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</si>
  <si>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</si>
  <si>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</si>
  <si>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</si>
  <si>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</si>
  <si>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</si>
  <si>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</si>
  <si>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</si>
  <si>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</si>
  <si>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</si>
  <si>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</si>
  <si>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</si>
  <si>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</si>
  <si>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</si>
  <si>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</si>
  <si>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</si>
  <si>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</si>
  <si>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</si>
  <si>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</si>
  <si>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</si>
  <si>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</si>
  <si>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</si>
  <si>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</si>
  <si>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</si>
  <si>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</si>
  <si>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</si>
  <si>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</si>
  <si>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</si>
  <si>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</si>
  <si>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</si>
  <si>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</si>
  <si>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</si>
  <si>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</si>
  <si>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</si>
  <si>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</si>
  <si>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</si>
  <si>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</si>
  <si>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</si>
  <si>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</si>
  <si>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</si>
  <si>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</si>
  <si>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</si>
  <si>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</si>
  <si>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</si>
  <si>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</si>
  <si>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</si>
  <si>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</si>
  <si>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</si>
  <si>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</si>
  <si>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</si>
  <si>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</si>
  <si>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</si>
  <si>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</si>
  <si>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</si>
  <si>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</si>
  <si>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</si>
  <si>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</si>
  <si>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</si>
  <si>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</si>
  <si>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</si>
  <si>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</si>
  <si>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</si>
  <si>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</si>
  <si>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</si>
  <si>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</si>
  <si>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</si>
  <si>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</si>
  <si>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</si>
  <si>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</si>
  <si>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</si>
  <si>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</si>
  <si>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</si>
  <si>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</si>
  <si>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</si>
  <si>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</si>
  <si>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</si>
  <si>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</si>
  <si>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</si>
  <si>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</si>
  <si>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</si>
  <si>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</si>
  <si>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</si>
  <si>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</si>
  <si>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</si>
  <si>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</si>
  <si>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</si>
  <si>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</si>
  <si>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</si>
  <si>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</si>
  <si>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</si>
  <si>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</si>
  <si>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</si>
  <si>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</si>
  <si>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</si>
  <si>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</si>
  <si>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</si>
  <si>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</si>
  <si>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</si>
  <si>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</si>
  <si>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</si>
  <si>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</si>
  <si>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</si>
  <si>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</si>
  <si>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</si>
  <si>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</si>
  <si>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</si>
  <si>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</si>
  <si>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</si>
  <si>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</si>
  <si>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</si>
  <si>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</si>
  <si>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</si>
  <si>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</si>
  <si>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</si>
  <si>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</si>
  <si>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</si>
  <si>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</si>
  <si>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</si>
  <si>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</si>
  <si>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</si>
  <si>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</si>
  <si>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</si>
  <si>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</si>
  <si>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</si>
  <si>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</si>
  <si>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</si>
  <si>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</si>
  <si>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</si>
  <si>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</si>
  <si>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</si>
  <si>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</si>
  <si>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</si>
  <si>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</si>
  <si>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</si>
  <si>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</si>
  <si>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</si>
  <si>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</si>
  <si>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</si>
  <si>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</si>
  <si>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</si>
  <si>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</si>
  <si>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</si>
  <si>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</si>
  <si>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</si>
  <si>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</si>
  <si>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</si>
  <si>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</si>
  <si>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</si>
  <si>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</si>
  <si>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</si>
  <si>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</si>
  <si>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</si>
  <si>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</si>
  <si>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</si>
  <si>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</si>
  <si>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</si>
  <si>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</si>
  <si>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</si>
  <si>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</si>
  <si>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</si>
  <si>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</si>
  <si>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</si>
  <si>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</si>
  <si>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</si>
  <si>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</si>
  <si>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</si>
  <si>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</si>
  <si>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</si>
  <si>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</si>
  <si>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</si>
  <si>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</si>
  <si>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</si>
  <si>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</si>
  <si>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</si>
  <si>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</si>
  <si>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</si>
  <si>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</si>
  <si>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</si>
  <si>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</si>
  <si>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</si>
  <si>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</si>
  <si>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</si>
  <si>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</si>
  <si>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</si>
  <si>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</si>
  <si>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</si>
  <si>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</si>
  <si>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</si>
  <si>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</si>
  <si>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</si>
  <si>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</si>
  <si>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</si>
  <si>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</si>
  <si>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</si>
  <si>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</si>
  <si>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</si>
  <si>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</si>
  <si>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</si>
  <si>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</si>
  <si>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</si>
  <si>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</si>
  <si>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</si>
  <si>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</si>
  <si>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</si>
  <si>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</si>
  <si>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</si>
  <si>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</si>
  <si>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</si>
  <si>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</si>
  <si>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</si>
  <si>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</si>
  <si>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</si>
  <si>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</si>
  <si>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</si>
  <si>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</si>
  <si>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</si>
  <si>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</si>
  <si>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</si>
  <si>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</si>
  <si>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</si>
  <si>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</si>
  <si>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</si>
  <si>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</si>
  <si>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</si>
  <si>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</si>
  <si>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</si>
  <si>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</si>
  <si>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</si>
  <si>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</si>
  <si>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</si>
  <si>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</si>
  <si>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</si>
  <si>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</si>
  <si>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</si>
  <si>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</si>
  <si>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</si>
  <si>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</si>
  <si>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</si>
  <si>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</si>
  <si>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</si>
  <si>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</si>
  <si>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</si>
  <si>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</si>
  <si>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</si>
  <si>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</si>
  <si>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</si>
  <si>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</si>
  <si>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</si>
  <si>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</si>
  <si>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</si>
  <si>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</si>
  <si>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</si>
  <si>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</si>
  <si>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</si>
  <si>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</si>
  <si>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</si>
  <si>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</si>
  <si>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</si>
  <si>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</si>
  <si>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</si>
  <si>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</si>
  <si>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</si>
  <si>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</si>
  <si>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</si>
  <si>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</si>
  <si>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</si>
  <si>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</si>
  <si>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</si>
  <si>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</si>
  <si>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</si>
  <si>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</si>
  <si>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</si>
  <si>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</si>
  <si>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</si>
  <si>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</si>
  <si>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</si>
  <si>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</si>
  <si>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</si>
  <si>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</si>
  <si>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</si>
  <si>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</si>
  <si>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</si>
  <si>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</si>
  <si>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</si>
  <si>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</si>
  <si>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</si>
  <si>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</si>
  <si>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</si>
  <si>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</si>
  <si>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</si>
  <si>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</si>
  <si>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</si>
  <si>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</si>
  <si>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</si>
  <si>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</si>
  <si>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</si>
  <si>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</si>
  <si>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</si>
  <si>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</si>
  <si>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</si>
  <si>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</si>
  <si>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</si>
  <si>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</si>
  <si>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</si>
  <si>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</si>
  <si>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</si>
  <si>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</si>
  <si>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</si>
  <si>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</si>
  <si>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</si>
  <si>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</si>
  <si>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</si>
  <si>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</si>
  <si>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</si>
  <si>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</si>
  <si>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</si>
  <si>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</si>
  <si>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</si>
  <si>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</si>
  <si>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</si>
  <si>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</si>
  <si>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</si>
  <si>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</si>
  <si>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</si>
  <si>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</si>
  <si>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</si>
  <si>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</si>
  <si>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</si>
  <si>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</si>
  <si>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</si>
  <si>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</si>
  <si>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</si>
  <si>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</si>
  <si>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</si>
  <si>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</si>
  <si>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</si>
  <si>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</si>
  <si>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</si>
  <si>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</si>
  <si>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</si>
  <si>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</si>
  <si>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</si>
  <si>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</si>
  <si>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</si>
  <si>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</si>
  <si>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</si>
  <si>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</si>
  <si>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</si>
  <si>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</si>
  <si>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</si>
  <si>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</si>
  <si>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</si>
  <si>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</si>
  <si>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</si>
  <si>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</si>
  <si>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</si>
  <si>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</si>
  <si>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</si>
  <si>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</si>
  <si>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</si>
  <si>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</si>
  <si>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</si>
  <si>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</si>
  <si>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</si>
  <si>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</si>
  <si>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</si>
  <si>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</si>
  <si>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</si>
  <si>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</si>
  <si>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</si>
  <si>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</si>
  <si>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</si>
  <si>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</si>
  <si>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</si>
  <si>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</si>
  <si>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</si>
  <si>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</si>
  <si>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</si>
  <si>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</si>
  <si>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</si>
  <si>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</si>
  <si>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</si>
  <si>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</si>
  <si>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</si>
  <si>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</si>
  <si>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</si>
  <si>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</si>
  <si>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</si>
  <si>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</si>
  <si>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</si>
  <si>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</si>
  <si>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</si>
  <si>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</si>
  <si>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</si>
  <si>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</si>
  <si>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</si>
  <si>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</si>
  <si>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</si>
  <si>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</si>
  <si>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</si>
  <si>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</si>
  <si>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</si>
  <si>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</si>
  <si>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</si>
  <si>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</si>
  <si>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</si>
  <si>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</si>
  <si>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</si>
  <si>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</si>
  <si>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</si>
  <si>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</si>
  <si>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</si>
  <si>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</si>
  <si>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</si>
  <si>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</si>
  <si>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</si>
  <si>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</si>
  <si>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</si>
  <si>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</si>
  <si>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</si>
  <si>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</si>
  <si>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</si>
  <si>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</si>
  <si>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</si>
  <si>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</si>
  <si>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</si>
  <si>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</si>
  <si>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</si>
  <si>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</si>
  <si>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</si>
  <si>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</si>
  <si>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</si>
  <si>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</si>
  <si>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</si>
  <si>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</si>
  <si>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</si>
  <si>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</si>
  <si>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</si>
  <si>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</si>
  <si>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</si>
  <si>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</si>
  <si>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</si>
  <si>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</si>
  <si>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</si>
  <si>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</si>
  <si>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</si>
  <si>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</si>
  <si>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</si>
  <si>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</si>
  <si>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</si>
  <si>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</si>
  <si>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</si>
  <si>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</si>
  <si>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</si>
  <si>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</si>
  <si>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</si>
  <si>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</si>
  <si>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</si>
  <si>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</si>
  <si>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</si>
  <si>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</si>
  <si>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</si>
  <si>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</si>
  <si>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</si>
  <si>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</si>
  <si>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</si>
  <si>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</si>
  <si>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</si>
  <si>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</si>
  <si>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</si>
  <si>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</si>
  <si>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</si>
  <si>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</si>
  <si>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</si>
  <si>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</si>
  <si>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</si>
  <si>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</si>
  <si>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</si>
  <si>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</si>
  <si>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</si>
  <si>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</si>
  <si>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</si>
  <si>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</si>
  <si>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</si>
  <si>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</si>
  <si>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</si>
  <si>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</si>
  <si>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</si>
  <si>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</si>
  <si>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</si>
  <si>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</si>
  <si>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</si>
  <si>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</si>
  <si>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</si>
  <si>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</si>
  <si>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</si>
  <si>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</si>
  <si>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</si>
  <si>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</si>
  <si>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</si>
  <si>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</si>
  <si>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</si>
  <si>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</si>
  <si>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</si>
  <si>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</si>
  <si>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</si>
  <si>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</si>
  <si>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</si>
  <si>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</si>
  <si>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</si>
  <si>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</si>
  <si>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</si>
  <si>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</si>
  <si>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</si>
  <si>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</si>
  <si>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</si>
  <si>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</si>
  <si>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</si>
  <si>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</si>
  <si>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</si>
  <si>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</si>
  <si>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</si>
  <si>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</si>
  <si>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</si>
  <si>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</si>
  <si>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</si>
  <si>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</si>
  <si>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</si>
  <si>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</si>
  <si>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</si>
  <si>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</si>
  <si>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</si>
  <si>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</si>
  <si>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</si>
  <si>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</si>
  <si>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</si>
  <si>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</si>
  <si>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</si>
  <si>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</si>
  <si>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</si>
  <si>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</si>
  <si>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</si>
  <si>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</si>
  <si>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</si>
  <si>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</si>
  <si>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</si>
  <si>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</si>
  <si>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</si>
  <si>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</si>
  <si>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</si>
  <si>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</si>
  <si>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</si>
  <si>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</si>
  <si>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</si>
  <si>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</si>
  <si>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</si>
  <si>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</si>
  <si>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</si>
  <si>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</si>
  <si>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</si>
  <si>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</si>
  <si>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</si>
  <si>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</si>
  <si>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</si>
  <si>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</si>
  <si>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</si>
  <si>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</si>
  <si>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</si>
  <si>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</si>
  <si>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</si>
  <si>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</si>
  <si>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</si>
  <si>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</si>
  <si>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</si>
  <si>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</si>
  <si>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</si>
  <si>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</si>
  <si>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</si>
  <si>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</si>
  <si>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</si>
  <si>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</si>
  <si>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</si>
  <si>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</si>
  <si>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</si>
  <si>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</si>
  <si>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</si>
  <si>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</si>
  <si>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</si>
  <si>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</si>
  <si>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</si>
  <si>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</si>
  <si>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</si>
  <si>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</si>
  <si>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</si>
  <si>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</si>
  <si>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</si>
  <si>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</si>
  <si>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</si>
  <si>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</si>
  <si>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</si>
  <si>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</si>
  <si>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</si>
  <si>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</si>
  <si>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</si>
  <si>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</si>
  <si>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</si>
  <si>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</si>
  <si>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</si>
  <si>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</si>
  <si>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</si>
  <si>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</si>
  <si>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</si>
  <si>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</si>
  <si>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</si>
  <si>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</si>
  <si>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</si>
  <si>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</si>
  <si>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</si>
  <si>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</si>
  <si>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</si>
  <si>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</si>
  <si>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</si>
  <si>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</si>
  <si>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</si>
  <si>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</si>
  <si>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</si>
  <si>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</si>
  <si>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</si>
  <si>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</si>
  <si>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</si>
  <si>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</si>
  <si>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</si>
  <si>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</si>
  <si>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</si>
  <si>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</si>
  <si>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</si>
  <si>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</si>
  <si>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</si>
  <si>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</si>
  <si>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</si>
  <si>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</si>
  <si>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</si>
  <si>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</si>
  <si>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</si>
  <si>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</si>
  <si>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</si>
  <si>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</si>
  <si>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</si>
  <si>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</si>
  <si>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</si>
  <si>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</si>
  <si>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</si>
  <si>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</si>
  <si>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</si>
  <si>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</si>
  <si>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</si>
  <si>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</si>
  <si>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</si>
  <si>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</si>
  <si>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</si>
  <si>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</si>
  <si>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</si>
  <si>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</si>
  <si>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</si>
  <si>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</si>
  <si>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</si>
  <si>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</si>
  <si>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</si>
  <si>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</si>
  <si>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</si>
  <si>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</si>
  <si>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</si>
  <si>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</si>
  <si>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</si>
  <si>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</si>
  <si>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</si>
  <si>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</si>
  <si>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</si>
  <si>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</si>
  <si>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</si>
  <si>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</si>
  <si>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</si>
  <si>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</si>
  <si>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</si>
  <si>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</si>
  <si>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</si>
  <si>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</si>
  <si>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</si>
  <si>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</si>
  <si>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</si>
  <si>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</si>
  <si>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</si>
  <si>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</si>
  <si>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</si>
  <si>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</si>
  <si>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</si>
  <si>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</si>
  <si>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</si>
  <si>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</si>
  <si>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</si>
  <si>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</si>
  <si>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</si>
  <si>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</si>
  <si>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</si>
  <si>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</si>
  <si>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</si>
  <si>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</si>
  <si>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</si>
  <si>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</si>
  <si>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</si>
  <si>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</si>
  <si>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</si>
  <si>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</si>
  <si>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</si>
  <si>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</si>
  <si>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</si>
  <si>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</si>
  <si>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</si>
  <si>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</si>
  <si>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</si>
  <si>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</si>
  <si>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</si>
  <si>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</si>
  <si>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</si>
  <si>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</si>
  <si>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</si>
  <si>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</si>
  <si>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</si>
  <si>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</si>
  <si>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</si>
  <si>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</si>
  <si>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</si>
  <si>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</si>
  <si>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</si>
  <si>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</si>
  <si>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</si>
  <si>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</si>
  <si>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</si>
  <si>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</si>
  <si>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</si>
  <si>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</si>
  <si>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</si>
  <si>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</si>
  <si>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</si>
  <si>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</si>
  <si>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</si>
  <si>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</si>
  <si>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</si>
  <si>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</si>
  <si>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</si>
  <si>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</si>
  <si>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</si>
  <si>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</si>
  <si>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</si>
  <si>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</si>
  <si>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</si>
  <si>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</si>
  <si>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</si>
  <si>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</si>
  <si>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</si>
  <si>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</si>
  <si>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</si>
  <si>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</si>
  <si>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</si>
  <si>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</si>
  <si>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</si>
  <si>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</si>
  <si>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</si>
  <si>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</si>
  <si>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</si>
  <si>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</si>
  <si>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</si>
  <si>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</si>
  <si>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</si>
  <si>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</si>
  <si>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</si>
  <si>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</si>
  <si>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</si>
  <si>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</si>
  <si>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</si>
  <si>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</si>
  <si>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</si>
  <si>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</si>
  <si>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</si>
  <si>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</si>
  <si>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</si>
  <si>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</si>
  <si>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</si>
  <si>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</si>
  <si>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</si>
  <si>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</si>
  <si>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</si>
  <si>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</si>
  <si>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</si>
  <si>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</si>
  <si>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</si>
  <si>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</si>
  <si>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</si>
  <si>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</si>
  <si>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</si>
  <si>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</si>
  <si>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</si>
  <si>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</si>
  <si>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</si>
  <si>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</si>
  <si>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</si>
  <si>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</si>
  <si>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</si>
  <si>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</si>
  <si>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</si>
  <si>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</si>
  <si>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</si>
  <si>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</si>
  <si>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</si>
  <si>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</si>
  <si>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</si>
  <si>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</si>
  <si>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</si>
  <si>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</si>
  <si>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</si>
  <si>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</si>
  <si>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</si>
  <si>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</si>
  <si>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</si>
  <si>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</si>
  <si>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</si>
  <si>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</si>
  <si>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</si>
  <si>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</si>
  <si>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</si>
  <si>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</si>
  <si>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</si>
  <si>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</si>
  <si>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</si>
  <si>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</si>
  <si>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</si>
  <si>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</si>
  <si>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</si>
  <si>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</si>
  <si>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</si>
  <si>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</si>
  <si>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</si>
  <si>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</si>
  <si>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</si>
  <si>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</si>
  <si>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</si>
  <si>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</si>
  <si>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</si>
  <si>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</si>
  <si>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</si>
  <si>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</si>
  <si>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</si>
  <si>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</si>
  <si>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</si>
  <si>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</si>
  <si>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</si>
  <si>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</si>
  <si>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</si>
  <si>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</si>
  <si>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</si>
  <si>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</si>
  <si>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</si>
  <si>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</si>
  <si>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</si>
  <si>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</si>
  <si>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</si>
  <si>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</si>
  <si>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</si>
  <si>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</si>
  <si>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</si>
  <si>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</si>
  <si>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</si>
  <si>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</si>
  <si>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</si>
  <si>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</si>
  <si>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</si>
  <si>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</si>
  <si>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</si>
  <si>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</si>
  <si>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</si>
  <si>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</si>
  <si>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</si>
  <si>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</si>
  <si>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</si>
  <si>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</si>
  <si>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</si>
  <si>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</si>
  <si>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</si>
  <si>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</si>
  <si>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</si>
  <si>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</si>
  <si>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</si>
  <si>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</si>
  <si>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</si>
  <si>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</si>
  <si>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</si>
  <si>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</si>
  <si>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</si>
  <si>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</si>
  <si>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</si>
  <si>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</si>
  <si>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</si>
  <si>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</si>
  <si>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</si>
  <si>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</si>
  <si>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</si>
  <si>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</si>
  <si>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</si>
  <si>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</si>
  <si>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</si>
  <si>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</si>
  <si>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</si>
  <si>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</si>
  <si>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</si>
  <si>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</si>
  <si>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</si>
  <si>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</si>
  <si>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城市次干道——五圈路</t>
    <phoneticPr fontId="32" type="noConversion"/>
  </si>
  <si>
    <t>丰台南四环西路128号院</t>
    <phoneticPr fontId="3" type="noConversion"/>
  </si>
  <si>
    <t>城市次干道——五圈路</t>
    <phoneticPr fontId="32" type="noConversion"/>
  </si>
  <si>
    <t>丰台西南四环汽车博物馆东路</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</si>
  <si>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</si>
  <si>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</si>
  <si>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</si>
  <si>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</si>
  <si>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</si>
  <si>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</si>
  <si>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</si>
  <si>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</si>
  <si>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</si>
  <si>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</si>
  <si>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</si>
  <si>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</si>
  <si>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</si>
  <si>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</si>
  <si>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</si>
  <si>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</si>
  <si>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</si>
  <si>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</si>
  <si>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</si>
  <si>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</si>
  <si>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</si>
  <si>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</si>
  <si>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</si>
  <si>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</si>
  <si>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</si>
  <si>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</si>
  <si>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</si>
  <si>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</si>
  <si>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</si>
  <si>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</si>
  <si>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</si>
  <si>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</si>
  <si>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</si>
  <si>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</si>
  <si>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</si>
  <si>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</si>
  <si>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</si>
  <si>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</si>
  <si>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东旭国际</t>
    <phoneticPr fontId="3" type="noConversion"/>
  </si>
  <si>
    <t>丰台万达</t>
    <phoneticPr fontId="3" type="noConversion"/>
  </si>
  <si>
    <t>金茂广场</t>
    <phoneticPr fontId="3" type="noConversion"/>
  </si>
  <si>
    <t>诺德中心三期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</si>
</sst>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24</xdr:row>
      <xdr:rowOff>133350</xdr:rowOff>
    </xdr:from>
    <xdr:to>
      <xdr:col>8</xdr:col>
      <xdr:colOff>95250</xdr:colOff>
      <xdr:row>48</xdr:row>
      <xdr:rowOff>9525</xdr:rowOff>
    </xdr:to>
    <xdr:pic>
      <xdr:nvPicPr>
        <xdr:cNvPr id="2" name="图片 1" descr="C:\Documents and Settings\Administrator\Application Data\Tencent\Users\2416965547\QQ\WinTemp\RichOle\L%IOC~G$J1@{NDWND7`O(M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4248150"/>
          <a:ext cx="515302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295275</xdr:colOff>
      <xdr:row>1</xdr:row>
      <xdr:rowOff>19050</xdr:rowOff>
    </xdr:from>
    <xdr:to>
      <xdr:col>15</xdr:col>
      <xdr:colOff>666750</xdr:colOff>
      <xdr:row>24</xdr:row>
      <xdr:rowOff>57150</xdr:rowOff>
    </xdr:to>
    <xdr:pic>
      <xdr:nvPicPr>
        <xdr:cNvPr id="3" name="图片 2" descr="C:\Documents and Settings\Administrator\Application Data\Tencent\Users\2416965547\QQ\WinTemp\RichOle\]E8}KXRM1K2VNB@6IUP3Q(I.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1675" y="190500"/>
          <a:ext cx="517207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xdr:row>
      <xdr:rowOff>19050</xdr:rowOff>
    </xdr:from>
    <xdr:to>
      <xdr:col>8</xdr:col>
      <xdr:colOff>19050</xdr:colOff>
      <xdr:row>24</xdr:row>
      <xdr:rowOff>85725</xdr:rowOff>
    </xdr:to>
    <xdr:pic>
      <xdr:nvPicPr>
        <xdr:cNvPr id="4" name="图片 3" descr="C:\Documents and Settings\Administrator\Application Data\Tencent\Users\2416965547\QQ\WinTemp\RichOle\WS$H3OKT]IGR2FEKZHBDB~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90500"/>
          <a:ext cx="521017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371475</xdr:colOff>
      <xdr:row>24</xdr:row>
      <xdr:rowOff>152400</xdr:rowOff>
    </xdr:from>
    <xdr:to>
      <xdr:col>16</xdr:col>
      <xdr:colOff>104775</xdr:colOff>
      <xdr:row>47</xdr:row>
      <xdr:rowOff>152400</xdr:rowOff>
    </xdr:to>
    <xdr:pic>
      <xdr:nvPicPr>
        <xdr:cNvPr id="5" name="图片 4" descr="C:\Documents and Settings\Administrator\Application Data\Tencent\Users\2416965547\QQ\WinTemp\RichOle\SZKOQAY0[WWL7}4F@5A`~%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7875" y="4267200"/>
          <a:ext cx="5219700"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48</xdr:row>
      <xdr:rowOff>6867</xdr:rowOff>
    </xdr:from>
    <xdr:to>
      <xdr:col>15</xdr:col>
      <xdr:colOff>303414</xdr:colOff>
      <xdr:row>74</xdr:row>
      <xdr:rowOff>113684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8236467"/>
          <a:ext cx="10285614" cy="4564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5"/>
  <cols>
    <col min="1" max="1" width="35.6328125" style="1582" customWidth="1"/>
    <col min="2" max="2" width="81" style="1599" customWidth="1"/>
    <col min="3" max="16384" width="9" style="1597"/>
  </cols>
  <sheetData>
    <row r="1" spans="1:2" s="1585" customFormat="1" ht="16" thickBot="1">
      <c r="A1" s="1584" t="s">
        <v>1215</v>
      </c>
      <c r="B1" s="1583" t="s">
        <v>1294</v>
      </c>
    </row>
    <row r="2" spans="1:2" s="1588" customFormat="1" ht="15.5"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5.5" thickBot="1">
      <c r="A5" s="1592" t="s">
        <v>1219</v>
      </c>
      <c r="B5" s="1593" t="str">
        <f>'预评函-封皮'!B49</f>
        <v>康正预评字号</v>
      </c>
    </row>
    <row r="6" spans="1:2" s="1588" customFormat="1" ht="15.5"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2020年3月18日（评估专业人员实地查勘之日）</v>
      </c>
    </row>
    <row r="13" spans="1:2" s="1591" customFormat="1">
      <c r="A13" s="1589" t="s">
        <v>1223</v>
      </c>
      <c r="B13" s="1590" t="str">
        <f>'预评函-1'!A18</f>
        <v>本次估价的“房地产价值”是指在正常市场情况下，在价值时点2020年3月18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5" thickBot="1">
      <c r="A18" s="1592" t="s">
        <v>1228</v>
      </c>
      <c r="B18" s="1593" t="str">
        <f>'预评函-1'!A24</f>
        <v>本次评估采用的主估价方法为基准地价系数修正法和基准地价系数修正法。</v>
      </c>
    </row>
    <row r="19" spans="1:2" s="1588" customFormat="1" ht="15.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3107</v>
      </c>
    </row>
    <row r="21" spans="1:2" s="1591" customFormat="1">
      <c r="A21" s="1589" t="s">
        <v>1231</v>
      </c>
      <c r="B21" s="1590">
        <f ca="1">'预评函-2'!D7</f>
        <v>40409</v>
      </c>
    </row>
    <row r="22" spans="1:2" s="1591" customFormat="1">
      <c r="A22" s="1589" t="s">
        <v>1232</v>
      </c>
      <c r="B22" s="1590" t="str">
        <f ca="1">'预评函-2'!D6</f>
        <v>叁仟壹佰零柒万元整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3107</v>
      </c>
    </row>
    <row r="31" spans="1:2" s="1591" customFormat="1">
      <c r="A31" s="1589" t="s">
        <v>1270</v>
      </c>
      <c r="B31" s="1590">
        <f ca="1">'预评函-2'!D15</f>
        <v>40409</v>
      </c>
    </row>
    <row r="32" spans="1:2" s="1591" customFormat="1">
      <c r="A32" s="1589" t="s">
        <v>1237</v>
      </c>
      <c r="B32" s="1590" t="str">
        <f ca="1">'预评函-2'!D14</f>
        <v>叁仟壹佰零柒万元整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ht="30">
      <c r="A42" s="1589" t="s">
        <v>1284</v>
      </c>
      <c r="B42" s="1590" t="str">
        <f>'预评函-3'!B2</f>
        <v>建筑面积</v>
      </c>
    </row>
    <row r="43" spans="1:2" s="1591" customFormat="1">
      <c r="A43" s="1589" t="s">
        <v>1285</v>
      </c>
      <c r="B43" s="1590">
        <f>'预评函-3'!B4</f>
        <v>768.88</v>
      </c>
    </row>
    <row r="44" spans="1:2" s="1591" customFormat="1" ht="30">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5" thickBot="1">
      <c r="A57" s="1592" t="s">
        <v>1293</v>
      </c>
      <c r="B57" s="1593" t="str">
        <f>'预评函-3'!A6</f>
        <v>估价师知悉的法定优先受偿款</v>
      </c>
    </row>
    <row r="58" spans="1:2" s="1588" customFormat="1" ht="15.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5" thickBot="1">
      <c r="A69" s="1592" t="s">
        <v>1255</v>
      </c>
      <c r="B69" s="1594">
        <f>'预评函-4'!C31</f>
        <v>42551</v>
      </c>
    </row>
    <row r="70" spans="1:2" ht="15.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5" thickBot="1">
      <c r="A73" s="1592" t="s">
        <v>1259</v>
      </c>
      <c r="B73" s="1593">
        <f ca="1">'预评函-4'!B5</f>
        <v>0</v>
      </c>
    </row>
    <row r="74" spans="1:2" ht="15.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
  <cols>
    <col min="1" max="1" width="13.453125" style="2021" customWidth="1"/>
    <col min="2" max="2" width="23.26953125" style="1972" customWidth="1"/>
    <col min="3" max="3" width="13" style="2016" customWidth="1"/>
    <col min="4" max="4" width="5.7265625" style="2013" customWidth="1"/>
    <col min="5" max="5" width="7.08984375" style="2013" customWidth="1"/>
    <col min="6" max="6" width="10.6328125" style="2013" customWidth="1"/>
    <col min="7" max="7" width="7.453125" style="2013" customWidth="1"/>
    <col min="8" max="8" width="9" style="2016" customWidth="1"/>
    <col min="9" max="9" width="11.6328125" style="2016" customWidth="1"/>
    <col min="10" max="10" width="9" style="2016" customWidth="1"/>
    <col min="11" max="19" width="9" style="2013" customWidth="1"/>
    <col min="20" max="23" width="9" style="2016" customWidth="1"/>
    <col min="24" max="24" width="21.08984375" style="1972" customWidth="1"/>
    <col min="25" max="16384" width="9" style="1972"/>
  </cols>
  <sheetData>
    <row r="1" spans="1:23" s="2010" customFormat="1" ht="2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3158</v>
      </c>
      <c r="B18" s="2011" t="s">
        <v>3147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90625" style="2029" customWidth="1"/>
    <col min="2" max="2" width="12.6328125" style="2029" customWidth="1"/>
    <col min="3" max="3" width="11.453125" style="2029" customWidth="1"/>
    <col min="4" max="4" width="11.08984375" style="2029" customWidth="1"/>
    <col min="5" max="6" width="10" style="2029" customWidth="1"/>
    <col min="7" max="7" width="10.7265625" style="2029" customWidth="1"/>
    <col min="8" max="8" width="10" style="2029" customWidth="1"/>
    <col min="9" max="9" width="11.0898437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48" t="str">
        <f>IF(B10="北京市","北京市",C10)&amp;F10&amp;IF(结果表!G1="在建","出让国有建设用地使用权及在建建筑物",IF(结果表!G1="土地","出让国有建设用地使用权",))&amp;B9&amp;"预评估"</f>
        <v>北京市丰台区汽车博物馆东路1号房地产抵押价值预评估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43908</v>
      </c>
      <c r="C3" s="2034" t="s">
        <v>1773</v>
      </c>
      <c r="D3" s="2033">
        <f>B3</f>
        <v>43908</v>
      </c>
      <c r="E3" s="2023"/>
      <c r="F3" s="2023"/>
      <c r="G3" s="2023"/>
      <c r="H3" s="2023"/>
      <c r="I3" s="2023"/>
      <c r="J3" s="2023"/>
      <c r="K3" s="2024"/>
      <c r="L3" s="2025"/>
      <c r="M3" s="2025"/>
      <c r="N3" s="2026"/>
      <c r="O3" s="2027"/>
      <c r="P3" s="2026"/>
      <c r="Q3" s="2026"/>
      <c r="R3" s="2026"/>
      <c r="S3" s="2028"/>
    </row>
    <row r="4" spans="1:19" ht="18" customHeight="1" thickBot="1">
      <c r="A4" s="2035" t="s">
        <v>1774</v>
      </c>
      <c r="B4" s="2036" t="s">
        <v>3152</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3043</v>
      </c>
      <c r="C8" s="2050"/>
      <c r="D8" s="3051" t="s">
        <v>1779</v>
      </c>
      <c r="E8" s="2051" t="s">
        <v>3044</v>
      </c>
      <c r="F8" s="2052"/>
      <c r="G8" s="2023"/>
      <c r="H8" s="2023"/>
      <c r="I8" s="2023"/>
      <c r="J8" s="2039"/>
      <c r="K8" s="2040"/>
      <c r="L8" s="2025"/>
      <c r="M8" s="2025"/>
      <c r="N8" s="2026"/>
      <c r="O8" s="2027"/>
      <c r="P8" s="2026"/>
      <c r="Q8" s="2026"/>
      <c r="R8" s="2026"/>
    </row>
    <row r="9" spans="1:19" ht="18" customHeight="1" thickBot="1">
      <c r="A9" s="2037" t="s">
        <v>1780</v>
      </c>
      <c r="B9" s="2053" t="s">
        <v>3044</v>
      </c>
      <c r="C9" s="2054"/>
      <c r="D9" s="3052"/>
      <c r="E9" s="2053" t="s">
        <v>70</v>
      </c>
      <c r="F9" s="2055"/>
      <c r="G9" s="2056"/>
      <c r="H9" s="2056"/>
      <c r="I9" s="2056"/>
      <c r="J9" s="2039"/>
      <c r="K9" s="2048"/>
      <c r="L9" s="2025"/>
      <c r="M9" s="2025"/>
      <c r="N9" s="2026"/>
      <c r="O9" s="2027"/>
      <c r="P9" s="2026"/>
      <c r="Q9" s="2026"/>
      <c r="R9" s="2026"/>
    </row>
    <row r="10" spans="1:19" ht="18" customHeight="1" thickTop="1">
      <c r="A10" s="2057" t="s">
        <v>1781</v>
      </c>
      <c r="B10" s="2058" t="s">
        <v>3045</v>
      </c>
      <c r="C10" s="2059"/>
      <c r="D10" s="2043"/>
      <c r="E10" s="2060" t="s">
        <v>1782</v>
      </c>
      <c r="F10" s="3003" t="s">
        <v>3154</v>
      </c>
      <c r="G10" s="2061"/>
      <c r="H10" s="2062"/>
      <c r="I10" s="2043"/>
      <c r="J10" s="2039"/>
      <c r="K10" s="2048"/>
      <c r="L10" s="2025"/>
      <c r="M10" s="2025"/>
      <c r="N10" s="2026"/>
      <c r="O10" s="2027"/>
      <c r="P10" s="2026"/>
      <c r="Q10" s="2026"/>
      <c r="R10" s="2026"/>
    </row>
    <row r="11" spans="1:19" ht="18" customHeight="1">
      <c r="A11" s="2063" t="s">
        <v>1783</v>
      </c>
      <c r="B11" s="2064" t="s">
        <v>3046</v>
      </c>
      <c r="C11" s="3001"/>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3047</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59241</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42</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58" t="s">
        <v>3048</v>
      </c>
      <c r="C16" s="3059"/>
      <c r="D16" s="3060"/>
      <c r="E16" s="2078" t="s">
        <v>1796</v>
      </c>
      <c r="F16" s="3061" t="s">
        <v>3155</v>
      </c>
      <c r="G16" s="3062"/>
      <c r="H16" s="3062"/>
      <c r="I16" s="3063"/>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64" t="s">
        <v>3156</v>
      </c>
      <c r="F17" s="3065"/>
      <c r="G17" s="3065"/>
      <c r="H17" s="3065"/>
      <c r="I17" s="3066"/>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67" t="s">
        <v>1802</v>
      </c>
      <c r="F18" s="3068"/>
      <c r="G18" s="3068"/>
      <c r="H18" s="3068"/>
      <c r="I18" s="3069"/>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3049</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54" t="s">
        <v>1807</v>
      </c>
      <c r="C20" s="3055"/>
      <c r="D20" s="3056" t="s">
        <v>1808</v>
      </c>
      <c r="E20" s="3057"/>
      <c r="F20" s="2090"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3050</v>
      </c>
      <c r="C21" s="2092" t="s">
        <v>3051</v>
      </c>
      <c r="D21" s="2093"/>
      <c r="E21" s="2094"/>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71" t="s">
        <v>1817</v>
      </c>
      <c r="B27" s="2057" t="s">
        <v>1818</v>
      </c>
      <c r="C27" s="2112" t="s">
        <v>3052</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71"/>
      <c r="B28" s="2032" t="s">
        <v>1819</v>
      </c>
      <c r="C28" s="2114" t="s">
        <v>3053</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1820</v>
      </c>
      <c r="C29" s="2117" t="s">
        <v>3049</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1821</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1822</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3055</v>
      </c>
      <c r="C34" s="2126" t="s">
        <v>3056</v>
      </c>
      <c r="D34" s="2126" t="s">
        <v>3060</v>
      </c>
      <c r="E34" s="2126" t="s">
        <v>3057</v>
      </c>
      <c r="F34" s="2126" t="s">
        <v>3058</v>
      </c>
      <c r="G34" s="2126" t="s">
        <v>3059</v>
      </c>
      <c r="H34" s="2126"/>
      <c r="I34" s="2039"/>
      <c r="J34" s="2039"/>
      <c r="K34" s="1793">
        <f>COUNTIF(B34:H34,"——")</f>
        <v>0</v>
      </c>
      <c r="L34" s="2067" t="s">
        <v>1824</v>
      </c>
      <c r="M34" s="2067" t="s">
        <v>1825</v>
      </c>
      <c r="N34" s="2067" t="s">
        <v>1826</v>
      </c>
      <c r="O34" s="2067" t="s">
        <v>1827</v>
      </c>
      <c r="P34" s="2067" t="s">
        <v>1828</v>
      </c>
      <c r="Q34" s="2067" t="s">
        <v>1829</v>
      </c>
      <c r="R34" s="2067" t="s">
        <v>1830</v>
      </c>
      <c r="S34" s="3070" t="s">
        <v>1831</v>
      </c>
      <c r="T34" s="2127" t="str">
        <f>NUMBERSTRING(7-K34,1)&amp;"通"</f>
        <v>七通</v>
      </c>
      <c r="U34" s="2026"/>
      <c r="V34" s="2026"/>
    </row>
    <row r="35" spans="1:22" ht="18" customHeight="1">
      <c r="A35" s="2128"/>
      <c r="B35" s="3077" t="s">
        <v>1832</v>
      </c>
      <c r="C35" s="3077"/>
      <c r="D35" s="3077"/>
      <c r="E35" s="307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0"/>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90625" defaultRowHeight="14"/>
  <cols>
    <col min="1" max="1" width="10.6328125" style="2152" customWidth="1"/>
    <col min="2" max="2" width="11.453125" style="2152" customWidth="1"/>
    <col min="3" max="3" width="13.26953125" style="2152" customWidth="1"/>
    <col min="4" max="4" width="9.08984375" style="2152" customWidth="1"/>
    <col min="5" max="6" width="10" style="2215" customWidth="1"/>
    <col min="7" max="8" width="10" style="2152" customWidth="1"/>
    <col min="9" max="9" width="10.6328125" style="2152" customWidth="1"/>
    <col min="10" max="10" width="9.453125" style="2152" customWidth="1"/>
    <col min="11" max="11" width="11" style="2152" customWidth="1"/>
    <col min="12" max="14" width="9.453125" style="2152" customWidth="1"/>
    <col min="15" max="15" width="9.90625" style="2152" customWidth="1"/>
    <col min="16" max="16" width="9.7265625" style="2152" customWidth="1"/>
    <col min="17" max="17" width="9.36328125" style="2152" customWidth="1"/>
    <col min="18" max="18" width="9.26953125" style="2152" customWidth="1"/>
    <col min="19" max="19" width="10.90625" style="2152" customWidth="1"/>
    <col min="20" max="21" width="10.7265625" style="2152" customWidth="1"/>
    <col min="22" max="22" width="10.90625" style="2152" customWidth="1"/>
    <col min="23" max="27" width="10.7265625" style="2152" customWidth="1"/>
    <col min="28" max="28" width="10.90625" style="2152" customWidth="1"/>
    <col min="29" max="29" width="11" style="2152" bestFit="1" customWidth="1"/>
    <col min="30" max="30" width="10" style="2152" bestFit="1" customWidth="1"/>
    <col min="31" max="31" width="9.7265625" style="2152" customWidth="1"/>
    <col min="32" max="46" width="9.453125" style="2152" customWidth="1"/>
    <col min="47" max="47" width="18.08984375" style="2152" customWidth="1"/>
    <col min="48" max="50" width="9.7265625" style="2152" customWidth="1"/>
    <col min="51" max="55" width="10.453125" style="2152" bestFit="1" customWidth="1"/>
    <col min="56" max="56" width="9.453125" style="2152" bestFit="1" customWidth="1"/>
    <col min="57" max="63" width="9.08984375" style="2152" bestFit="1" customWidth="1"/>
    <col min="64" max="64" width="9.453125" style="2152" bestFit="1" customWidth="1"/>
    <col min="65" max="65" width="9.08984375" style="2152" bestFit="1" customWidth="1"/>
    <col min="66" max="66" width="9.453125" style="2152" bestFit="1" customWidth="1"/>
    <col min="67" max="69" width="9.08984375" style="2152" bestFit="1" customWidth="1"/>
    <col min="70" max="70" width="9.453125" style="2152" bestFit="1" customWidth="1"/>
    <col min="71" max="71" width="9" style="2152" customWidth="1"/>
    <col min="72" max="72" width="9.08984375" style="2152" bestFit="1" customWidth="1"/>
    <col min="73" max="16384" width="8.90625" style="2152"/>
  </cols>
  <sheetData>
    <row r="1" spans="1:72" ht="21">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6">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6">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6">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3">
      <c r="A9" s="2175"/>
      <c r="B9" s="2175"/>
      <c r="C9" s="2175"/>
      <c r="D9" s="2175"/>
      <c r="E9" s="2175"/>
      <c r="F9" s="2175"/>
      <c r="G9" s="1290"/>
      <c r="H9" s="2183" t="s">
        <v>1888</v>
      </c>
      <c r="I9" s="2184" t="s">
        <v>3062</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3">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3">
      <c r="A11" s="2175"/>
      <c r="B11" s="2175"/>
      <c r="C11" s="2175"/>
      <c r="D11" s="2175"/>
      <c r="E11" s="2175"/>
      <c r="F11" s="2175"/>
      <c r="G11" s="1290"/>
      <c r="H11" s="2192"/>
      <c r="I11" s="2195" t="s">
        <v>3157</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3160</v>
      </c>
      <c r="D13" s="2206" t="s">
        <v>3061</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3161</v>
      </c>
      <c r="D14" s="2206" t="s">
        <v>3061</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3162</v>
      </c>
      <c r="D15" s="2206" t="s">
        <v>3061</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3163</v>
      </c>
      <c r="D16" s="2206" t="s">
        <v>3061</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5">
      <c r="A3" s="3078"/>
      <c r="B3" s="3078"/>
      <c r="C3" s="3078"/>
      <c r="D3" s="3079"/>
      <c r="E3" s="3079"/>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6953125" defaultRowHeight="14"/>
  <cols>
    <col min="1" max="1" width="12.08984375" style="2219" customWidth="1"/>
    <col min="2" max="2" width="10.26953125" style="2219" customWidth="1"/>
    <col min="3" max="3" width="18.453125" style="2219" customWidth="1"/>
    <col min="4" max="4" width="11.6328125" style="2219" customWidth="1"/>
    <col min="5" max="5" width="13.36328125" style="2219" customWidth="1"/>
    <col min="6" max="8" width="11.453125" style="2219" customWidth="1"/>
    <col min="9" max="9" width="11.08984375" style="2219" customWidth="1"/>
    <col min="10" max="10" width="3.08984375" style="2219" customWidth="1"/>
    <col min="11" max="16" width="10" style="2219" customWidth="1"/>
    <col min="17" max="17" width="2.6328125" style="2219" customWidth="1"/>
    <col min="18" max="18" width="9.36328125" style="2219" bestFit="1" customWidth="1"/>
    <col min="19" max="19" width="10.453125" style="2219" bestFit="1" customWidth="1"/>
    <col min="20" max="16384" width="9.26953125" style="2219"/>
  </cols>
  <sheetData>
    <row r="1" spans="1:16" ht="18">
      <c r="A1" s="2218" t="s">
        <v>1927</v>
      </c>
      <c r="B1" s="1390"/>
      <c r="C1" s="1390"/>
      <c r="D1" s="1390"/>
      <c r="E1" s="1390"/>
      <c r="F1" s="1390"/>
      <c r="G1" s="1390"/>
      <c r="H1" s="1390"/>
      <c r="I1" s="1390"/>
      <c r="J1" s="1390"/>
      <c r="K1" s="1390"/>
      <c r="L1" s="1390"/>
      <c r="M1" s="1390"/>
      <c r="N1" s="1390"/>
      <c r="O1" s="1390"/>
      <c r="P1" s="1390"/>
    </row>
    <row r="2" spans="1:16">
      <c r="A2" s="3089" t="s">
        <v>1928</v>
      </c>
      <c r="B2" s="3089"/>
      <c r="C2" s="3089"/>
      <c r="D2" s="966" t="s">
        <v>1904</v>
      </c>
      <c r="E2" s="2220" t="s">
        <v>1905</v>
      </c>
      <c r="F2" s="1390"/>
      <c r="G2" s="2221"/>
      <c r="H2" s="2222"/>
      <c r="I2" s="2223" t="s">
        <v>1929</v>
      </c>
      <c r="J2" s="1390"/>
      <c r="K2" s="1390"/>
      <c r="L2" s="1390"/>
      <c r="M2" s="1390"/>
      <c r="N2" s="1425"/>
      <c r="O2" s="1390"/>
      <c r="P2" s="1390"/>
    </row>
    <row r="3" spans="1:16" ht="14.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4.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c r="A7" s="3086"/>
      <c r="B7" s="3087"/>
      <c r="C7" s="3088"/>
      <c r="D7" s="2224" t="s">
        <v>1904</v>
      </c>
      <c r="E7" s="2229" t="s">
        <v>1911</v>
      </c>
      <c r="F7" s="1390"/>
      <c r="G7" s="2221" t="s">
        <v>1912</v>
      </c>
      <c r="H7" s="64"/>
      <c r="I7" s="420">
        <v>5.4</v>
      </c>
      <c r="J7" s="1390"/>
      <c r="K7" s="1390"/>
      <c r="L7" s="1390"/>
      <c r="M7" s="1390"/>
      <c r="N7" s="1390"/>
      <c r="O7" s="1390"/>
      <c r="P7" s="1390"/>
    </row>
    <row r="8" spans="1:16">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c r="A9" s="2231"/>
      <c r="B9" s="2232"/>
      <c r="C9" s="48" t="s">
        <v>1916</v>
      </c>
      <c r="D9" s="48">
        <f t="shared" si="0"/>
        <v>0</v>
      </c>
      <c r="E9" s="52">
        <v>0</v>
      </c>
      <c r="F9" s="1390"/>
      <c r="G9" s="2230"/>
      <c r="H9" s="2230"/>
      <c r="I9" s="1390"/>
      <c r="J9" s="1390"/>
      <c r="K9" s="1390"/>
      <c r="L9" s="1390"/>
      <c r="M9" s="1390"/>
      <c r="N9" s="1390"/>
      <c r="O9" s="1390"/>
      <c r="P9" s="1390"/>
    </row>
    <row r="10" spans="1:16">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4.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4.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c r="A20" s="2256"/>
      <c r="B20" s="50" t="s">
        <v>1950</v>
      </c>
      <c r="C20" s="2996" t="s">
        <v>3148</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4.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4.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I25" sqref="I25"/>
      <selection pane="topRight" activeCell="I25" sqref="I25"/>
      <selection pane="bottomLeft" activeCell="I25" sqref="I25"/>
      <selection pane="bottomRight" activeCell="N20" sqref="N20"/>
    </sheetView>
  </sheetViews>
  <sheetFormatPr defaultColWidth="13.7265625" defaultRowHeight="12.5"/>
  <cols>
    <col min="1" max="1" width="20.90625" style="2338" customWidth="1"/>
    <col min="2" max="2" width="12" style="2268" customWidth="1"/>
    <col min="3" max="3" width="10.7265625" style="2268" customWidth="1"/>
    <col min="4" max="4" width="9.08984375" style="2339" customWidth="1"/>
    <col min="5" max="5" width="15" style="2268" bestFit="1" customWidth="1"/>
    <col min="6" max="10" width="8.90625" style="2268" customWidth="1"/>
    <col min="11" max="12" width="12.36328125" style="2182" customWidth="1"/>
    <col min="13" max="13" width="8.6328125" style="2268" customWidth="1"/>
    <col min="14" max="14" width="11.90625" style="2268" customWidth="1"/>
    <col min="15" max="15" width="8.453125" style="2268" customWidth="1"/>
    <col min="16" max="17" width="10.90625" style="2268" customWidth="1"/>
    <col min="18" max="19" width="12.453125" style="2268" customWidth="1"/>
    <col min="20" max="20" width="12.08984375" style="2268" customWidth="1"/>
    <col min="21" max="21" width="7.453125" style="2268" customWidth="1"/>
    <col min="22" max="22" width="6.36328125" style="2268" customWidth="1"/>
    <col min="23" max="30" width="6.7265625" style="2268" customWidth="1"/>
    <col min="31" max="31" width="8" style="2268" customWidth="1"/>
    <col min="32" max="34" width="7.26953125" style="2268" customWidth="1"/>
    <col min="35" max="39" width="8" style="2268" customWidth="1"/>
    <col min="40" max="40" width="13.7265625" style="2267"/>
    <col min="41" max="41" width="11.6328125" style="2267" customWidth="1"/>
    <col min="42" max="42" width="9.7265625" style="2267" customWidth="1"/>
    <col min="43" max="67" width="13.7265625" style="2267"/>
    <col min="68" max="16384" width="13.7265625" style="2268"/>
  </cols>
  <sheetData>
    <row r="1" spans="1:67" ht="18"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1958</v>
      </c>
      <c r="B2" s="1264">
        <f>项目基本情况!D3</f>
        <v>43908</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4.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3">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3064</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59241</v>
      </c>
      <c r="F6" s="72">
        <f>SUMIF(项目基本情况!D$12:I$12,C6,项目基本情况!D$15:I$15)</f>
        <v>42</v>
      </c>
      <c r="G6" s="73">
        <f>IF(ISERROR(ROUND(POWER(1+H6,D6-F6)*(POWER(1+H6,F6)-1)/(POWER(1+H6,D6)-1),3)),0,ROUND(POWER(1+H6,D6-F6)*(POWER(1+H6,F6)-1)/(POWER(1+H6,D6)-1),3))</f>
        <v>0.94699999999999995</v>
      </c>
      <c r="H6" s="801">
        <v>4.4999999999999998E-2</v>
      </c>
      <c r="I6" s="2997">
        <v>5.5E-2</v>
      </c>
      <c r="J6" s="74">
        <v>0.08</v>
      </c>
      <c r="K6" s="1249">
        <f>SUMIF('数据-汇总表'!C$19:C$33,A6,'数据-汇总表'!E$19:E$33)</f>
        <v>264.85000000000002</v>
      </c>
      <c r="L6" s="2998">
        <v>4000</v>
      </c>
      <c r="M6" s="75">
        <f t="shared" ref="M6:M14" si="0">ROUND(K6*L6/10000,0)</f>
        <v>106</v>
      </c>
      <c r="N6" s="800">
        <f>N20</f>
        <v>0.9</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4.5</v>
      </c>
      <c r="V6" s="79">
        <v>0.03</v>
      </c>
      <c r="W6" s="79">
        <v>0.1</v>
      </c>
      <c r="X6" s="1259"/>
      <c r="Y6" s="80">
        <f>N6</f>
        <v>0.9</v>
      </c>
      <c r="Z6" s="81"/>
      <c r="AA6" s="74"/>
      <c r="AB6" s="74"/>
      <c r="AC6" s="1259"/>
      <c r="AD6" s="82"/>
      <c r="AE6" s="1260">
        <f ca="1">IF(AN6="",0,SUMIF(INDIRECT("'"&amp;AN6&amp;"'"&amp;"!E:E"),$AE$5,INDIRECT("'"&amp;AN6&amp;"'"&amp;"!F:F")))</f>
        <v>42</v>
      </c>
      <c r="AF6" s="1802"/>
      <c r="AG6" s="147">
        <f>IF(AF6="",0,AE6-AF6)</f>
        <v>0</v>
      </c>
      <c r="AH6" s="83"/>
      <c r="AI6" s="85">
        <v>365</v>
      </c>
      <c r="AJ6" s="86"/>
      <c r="AK6" s="87">
        <v>1.4999999999999999E-2</v>
      </c>
      <c r="AL6" s="88">
        <v>1.5E-3</v>
      </c>
      <c r="AM6" s="89">
        <v>0.01</v>
      </c>
      <c r="AN6" s="2302" t="s">
        <v>3149</v>
      </c>
      <c r="AO6" s="55">
        <f ca="1">SUMIF(INDIRECT("'"&amp;AN6&amp;"'"&amp;"!A:A"),"总价",INDIRECT("'"&amp;AN6&amp;"'"&amp;"!B:B"))</f>
        <v>752</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4.5" thickBot="1">
      <c r="A16" s="2306" t="s">
        <v>2006</v>
      </c>
      <c r="B16" s="97"/>
      <c r="C16" s="1004"/>
      <c r="D16" s="2307"/>
      <c r="E16" s="97"/>
      <c r="F16" s="97"/>
      <c r="G16" s="98">
        <f>ROUND(SUMPRODUCT(G6:G13,K6:K13)/SUMPRODUCT((G6:G13&gt;0)*(K6:K13)),3)</f>
        <v>0.94699999999999995</v>
      </c>
      <c r="H16" s="99">
        <f>ROUND(SUMPRODUCT(H6:H13,K6:K13)/SUMPRODUCT((H6:H13&gt;0)*(K6:K13)),3)</f>
        <v>4.4999999999999998E-2</v>
      </c>
      <c r="I16" s="100"/>
      <c r="J16" s="100"/>
      <c r="K16" s="101">
        <f>SUM(K6:K15)</f>
        <v>768.88</v>
      </c>
      <c r="L16" s="102">
        <f>ROUND(M16*10000/SUM(K6:K14),0)</f>
        <v>1379</v>
      </c>
      <c r="M16" s="102">
        <f>SUM(M6:M14)</f>
        <v>106</v>
      </c>
      <c r="N16" s="103">
        <f>ROUND(SUMPRODUCT(M6:M14,N6:N14)/M16,3)</f>
        <v>0.9</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4.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
      <c r="A20" s="2310" t="s">
        <v>2010</v>
      </c>
      <c r="B20" s="113">
        <v>2</v>
      </c>
      <c r="C20" s="2270" t="s">
        <v>2011</v>
      </c>
      <c r="D20" s="2271"/>
      <c r="E20" s="2270"/>
      <c r="F20" s="2270"/>
      <c r="G20" s="2270"/>
      <c r="H20" s="2270"/>
      <c r="I20" s="2270"/>
      <c r="J20" s="2270"/>
      <c r="K20" s="168"/>
      <c r="L20" s="168"/>
      <c r="M20" s="1579"/>
      <c r="N20" s="1579">
        <f>ROUND(1-(2020-2014)/60,2)</f>
        <v>0.9</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4.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4.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5">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8.5">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9"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8">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8">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8.5"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4.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5">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4.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4.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5">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4.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I6" sqref="I6"/>
    </sheetView>
  </sheetViews>
  <sheetFormatPr defaultColWidth="9" defaultRowHeight="14"/>
  <cols>
    <col min="1" max="1" width="9.453125" style="2362" customWidth="1"/>
    <col min="2" max="2" width="24.453125" style="2409" customWidth="1"/>
    <col min="3" max="3" width="24.453125" style="2408" customWidth="1"/>
    <col min="4" max="4" width="2.6328125" style="2408" customWidth="1"/>
    <col min="5" max="5" width="5.90625" style="2408" customWidth="1"/>
    <col min="6" max="6" width="27" style="2409" customWidth="1"/>
    <col min="7" max="7" width="27" style="2410" customWidth="1"/>
    <col min="8" max="8" width="11.90625" style="2388" customWidth="1"/>
    <col min="9" max="9" width="16.7265625" style="2389" customWidth="1"/>
    <col min="10" max="10" width="2.6328125" style="2388" customWidth="1"/>
    <col min="11" max="11" width="11.90625" style="2388" customWidth="1"/>
    <col min="12" max="12" width="16.7265625" style="2389" customWidth="1"/>
    <col min="13" max="13" width="2.6328125" style="2388" customWidth="1"/>
    <col min="14" max="14" width="11.90625" style="2388" customWidth="1"/>
    <col min="15" max="15" width="16.7265625" style="2389" customWidth="1"/>
    <col min="16" max="16" width="2.6328125" style="2388" customWidth="1"/>
    <col min="17" max="17" width="11.90625" style="2388" customWidth="1"/>
    <col min="18" max="18" width="16.7265625" style="2390" customWidth="1"/>
    <col min="19" max="29" width="9" style="2361"/>
    <col min="30" max="16384" width="9" style="2362"/>
  </cols>
  <sheetData>
    <row r="1" spans="1:29" s="2355" customFormat="1" ht="18.5"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4.5" thickBot="1">
      <c r="A2" s="2356"/>
      <c r="B2" s="2357"/>
      <c r="C2" s="2358" t="s">
        <v>2074</v>
      </c>
      <c r="D2" s="2359"/>
      <c r="E2" s="2360"/>
      <c r="F2" s="2279"/>
      <c r="G2" s="2358" t="s">
        <v>2075</v>
      </c>
      <c r="H2" s="2361"/>
      <c r="I2" s="2361"/>
      <c r="J2" s="2361"/>
      <c r="K2" s="2361"/>
      <c r="L2" s="2361"/>
      <c r="M2" s="2361"/>
      <c r="N2" s="2361"/>
      <c r="O2" s="2361"/>
      <c r="P2" s="2361"/>
      <c r="Q2" s="2361"/>
      <c r="R2" s="2361"/>
    </row>
    <row r="3" spans="1:29" ht="43.5">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2">
      <c r="A4" s="431"/>
      <c r="B4" s="1793" t="s">
        <v>2080</v>
      </c>
      <c r="C4" s="2366"/>
      <c r="D4" s="2363"/>
      <c r="E4" s="2367"/>
      <c r="F4" s="42" t="s">
        <v>2081</v>
      </c>
      <c r="G4" s="2368" t="s">
        <v>2082</v>
      </c>
      <c r="H4" s="2361"/>
      <c r="I4" s="2361"/>
      <c r="J4" s="2361"/>
      <c r="K4" s="2361"/>
      <c r="L4" s="2361"/>
      <c r="M4" s="2361"/>
      <c r="N4" s="2361"/>
      <c r="O4" s="2361"/>
      <c r="P4" s="2361"/>
      <c r="Q4" s="2361"/>
      <c r="R4" s="2361"/>
    </row>
    <row r="5" spans="1:29" ht="84">
      <c r="A5" s="431"/>
      <c r="B5" s="1793" t="s">
        <v>2083</v>
      </c>
      <c r="C5" s="2967" t="s">
        <v>3131</v>
      </c>
      <c r="D5" s="2363"/>
      <c r="E5" s="2367"/>
      <c r="F5" s="1793" t="s">
        <v>2084</v>
      </c>
      <c r="G5" s="2368" t="s">
        <v>2085</v>
      </c>
      <c r="H5" s="2361"/>
      <c r="I5" s="2361"/>
      <c r="J5" s="2361"/>
      <c r="K5" s="2361"/>
      <c r="L5" s="2361"/>
      <c r="M5" s="2361"/>
      <c r="N5" s="2361"/>
      <c r="O5" s="2361"/>
      <c r="P5" s="2361"/>
      <c r="Q5" s="2361"/>
      <c r="R5" s="2361"/>
    </row>
    <row r="6" spans="1:29" ht="154">
      <c r="A6" s="431"/>
      <c r="B6" s="1793" t="s">
        <v>2086</v>
      </c>
      <c r="C6" s="2968" t="s">
        <v>3130</v>
      </c>
      <c r="D6" s="2363"/>
      <c r="E6" s="2367"/>
      <c r="F6" s="1793" t="s">
        <v>2087</v>
      </c>
      <c r="G6" s="2368" t="s">
        <v>2088</v>
      </c>
      <c r="H6" s="2361"/>
      <c r="I6" s="2361"/>
      <c r="J6" s="2361"/>
      <c r="K6" s="2361"/>
      <c r="L6" s="2361"/>
      <c r="M6" s="2361"/>
      <c r="N6" s="2361"/>
      <c r="O6" s="2361"/>
      <c r="P6" s="2361"/>
      <c r="Q6" s="2361"/>
      <c r="R6" s="2361"/>
    </row>
    <row r="7" spans="1:29" ht="154.5" thickBot="1">
      <c r="A7" s="431"/>
      <c r="B7" s="1793" t="s">
        <v>2084</v>
      </c>
      <c r="C7" s="2968" t="s">
        <v>3133</v>
      </c>
      <c r="D7" s="2369"/>
      <c r="E7" s="2370"/>
      <c r="F7" s="2371" t="s">
        <v>2089</v>
      </c>
      <c r="G7" s="2372" t="s">
        <v>2090</v>
      </c>
      <c r="H7" s="2361"/>
      <c r="I7" s="2361"/>
      <c r="J7" s="2361"/>
      <c r="K7" s="2361"/>
      <c r="L7" s="2361"/>
      <c r="M7" s="2361"/>
      <c r="N7" s="2361"/>
      <c r="O7" s="2361"/>
      <c r="P7" s="2361"/>
      <c r="Q7" s="2361"/>
      <c r="R7" s="2361"/>
    </row>
    <row r="8" spans="1:29">
      <c r="A8" s="431"/>
      <c r="B8" s="1793" t="s">
        <v>2087</v>
      </c>
      <c r="C8" s="2968" t="s">
        <v>3134</v>
      </c>
      <c r="D8" s="2369"/>
      <c r="E8" s="2369"/>
      <c r="F8" s="1132"/>
      <c r="G8" s="1132"/>
      <c r="H8" s="2361"/>
      <c r="I8" s="2361"/>
      <c r="J8" s="2361"/>
      <c r="K8" s="2361"/>
      <c r="L8" s="2361"/>
      <c r="M8" s="2361"/>
      <c r="N8" s="2361"/>
      <c r="O8" s="2361"/>
      <c r="P8" s="2361"/>
      <c r="Q8" s="2361"/>
      <c r="R8" s="2361"/>
    </row>
    <row r="9" spans="1:29" ht="126">
      <c r="A9" s="431"/>
      <c r="B9" s="1793" t="s">
        <v>2091</v>
      </c>
      <c r="C9" s="2967" t="s">
        <v>3143</v>
      </c>
      <c r="D9" s="2363"/>
      <c r="E9" s="2369"/>
      <c r="F9" s="1132"/>
      <c r="G9" s="1132"/>
      <c r="H9" s="2361"/>
      <c r="I9" s="2361"/>
      <c r="J9" s="2361"/>
      <c r="K9" s="2361"/>
      <c r="L9" s="2361"/>
      <c r="M9" s="2361"/>
      <c r="N9" s="2361"/>
      <c r="O9" s="2361"/>
      <c r="P9" s="2361"/>
      <c r="Q9" s="2361"/>
      <c r="R9" s="2361"/>
    </row>
    <row r="10" spans="1:29" s="117" customFormat="1" ht="14.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5" thickBot="1">
      <c r="A13" s="2386" t="s">
        <v>2093</v>
      </c>
      <c r="B13" s="2380"/>
      <c r="C13" s="2380"/>
      <c r="D13" s="2387"/>
      <c r="E13" s="2380"/>
      <c r="F13" s="2380"/>
      <c r="G13" s="2380"/>
    </row>
    <row r="14" spans="1:29" ht="14.5" thickBot="1">
      <c r="A14" s="2391"/>
      <c r="B14" s="2392"/>
      <c r="C14" s="2393" t="s">
        <v>2094</v>
      </c>
      <c r="D14" s="2363"/>
      <c r="E14" s="2394"/>
      <c r="F14" s="2394"/>
      <c r="G14" s="2358" t="s">
        <v>2095</v>
      </c>
    </row>
    <row r="15" spans="1:29" ht="42">
      <c r="A15" s="68" t="s">
        <v>2096</v>
      </c>
      <c r="B15" s="1265" t="s">
        <v>2077</v>
      </c>
      <c r="C15" s="2395">
        <f>C3</f>
        <v>0</v>
      </c>
      <c r="D15" s="2363"/>
      <c r="E15" s="2396" t="s">
        <v>2097</v>
      </c>
      <c r="F15" s="1265" t="s">
        <v>2098</v>
      </c>
      <c r="G15" s="135" t="str">
        <f>G3</f>
        <v>估价对象位于XX开发区，园区建设成熟度XX，产业集聚程度XX</v>
      </c>
    </row>
    <row r="16" spans="1:29" ht="42">
      <c r="A16" s="645"/>
      <c r="B16" s="2397" t="s">
        <v>2080</v>
      </c>
      <c r="C16" s="2398">
        <f>C4</f>
        <v>0</v>
      </c>
      <c r="D16" s="2363"/>
      <c r="E16" s="2399"/>
      <c r="F16" s="2400" t="s">
        <v>2081</v>
      </c>
      <c r="G16" s="136" t="str">
        <f>G4</f>
        <v>估价对象周边道路状况、公共交通通达情况、停车便捷程度，综合评价交通便捷度较好</v>
      </c>
    </row>
    <row r="17" spans="1:18" ht="84">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54">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8">
      <c r="A19" s="645"/>
      <c r="B19" s="2400" t="s">
        <v>2100</v>
      </c>
      <c r="C19" s="1567"/>
      <c r="D19" s="2363"/>
      <c r="E19" s="2399"/>
      <c r="F19" s="1793" t="s">
        <v>2084</v>
      </c>
      <c r="G19" s="136" t="str">
        <f>G5</f>
        <v>估价对象所在区域公共配套设施齐备情况</v>
      </c>
    </row>
    <row r="20" spans="1:18" ht="126">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54">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4.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4.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4"/>
  <cols>
    <col min="1" max="1" width="23.36328125" style="1736" customWidth="1"/>
    <col min="2" max="9" width="15.7265625" style="1736" customWidth="1"/>
    <col min="10" max="16384" width="9" style="1736"/>
  </cols>
  <sheetData>
    <row r="1" spans="1:10" ht="16.5">
      <c r="A1" s="1741" t="s">
        <v>1361</v>
      </c>
      <c r="B1" s="1741">
        <f>SUM(B14:B23)</f>
        <v>768.88</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43908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3107</v>
      </c>
      <c r="C5" s="1741">
        <f ca="1">ROUND(B5*10000/$B$1,0)</f>
        <v>40409</v>
      </c>
      <c r="D5" s="1741" t="e">
        <f ca="1">ROUND(B5*10000/$B$2,0)</f>
        <v>#DIV/0!</v>
      </c>
      <c r="E5" s="1740"/>
      <c r="F5" s="1738"/>
      <c r="G5" s="1738"/>
    </row>
    <row r="6" spans="1:10" ht="16.5">
      <c r="A6" s="1741" t="s">
        <v>1352</v>
      </c>
      <c r="B6" s="1741">
        <f ca="1">SUM(G14:G23)</f>
        <v>3107</v>
      </c>
      <c r="C6" s="1741">
        <f ca="1">ROUND(B6*10000/$B$1,0)</f>
        <v>40409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768.88</v>
      </c>
      <c r="C14" s="1739">
        <f>结果表!C118</f>
        <v>0</v>
      </c>
      <c r="D14" s="1739">
        <f ca="1">结果表!H118</f>
        <v>3107</v>
      </c>
      <c r="E14" s="1739">
        <f ca="1">ROUND(D14*10000/B14,0)</f>
        <v>40409</v>
      </c>
      <c r="F14" s="1739" t="e">
        <f ca="1">ROUND(D14*10000/C14,0)</f>
        <v>#DIV/0!</v>
      </c>
      <c r="G14" s="1739">
        <f ca="1">结果表!D122</f>
        <v>3107</v>
      </c>
      <c r="H14" s="1739" t="str">
        <f>结果表!D124</f>
        <v>——</v>
      </c>
      <c r="I14" s="1739" t="str">
        <f>结果表!D126</f>
        <v>——</v>
      </c>
      <c r="J14" s="1738"/>
    </row>
    <row r="15" spans="1:10" ht="16.5">
      <c r="A15" s="1737" t="s">
        <v>1345</v>
      </c>
      <c r="B15" s="2969"/>
      <c r="C15" s="2969"/>
      <c r="D15" s="2969"/>
      <c r="E15" s="1739" t="e">
        <f t="shared" ref="E15:E23" si="0">ROUND(D15*10000/B15,0)</f>
        <v>#DIV/0!</v>
      </c>
      <c r="F15" s="1739" t="e">
        <f t="shared" ref="F15:F23" si="1">ROUND(D15*10000/C15,0)</f>
        <v>#DIV/0!</v>
      </c>
      <c r="G15" s="2969"/>
      <c r="H15" s="1745"/>
      <c r="I15" s="1744"/>
      <c r="J15" s="1738"/>
    </row>
    <row r="16" spans="1:10" ht="16.5">
      <c r="A16" s="1737" t="s">
        <v>1344</v>
      </c>
      <c r="B16" s="2969"/>
      <c r="C16" s="2969"/>
      <c r="D16" s="2969"/>
      <c r="E16" s="1739" t="e">
        <f t="shared" si="0"/>
        <v>#DIV/0!</v>
      </c>
      <c r="F16" s="1739" t="e">
        <f t="shared" si="1"/>
        <v>#DIV/0!</v>
      </c>
      <c r="G16" s="2969"/>
      <c r="H16" s="1745"/>
      <c r="I16" s="1744"/>
    </row>
    <row r="17" spans="1:9" ht="16.5">
      <c r="A17" s="1737" t="s">
        <v>1343</v>
      </c>
      <c r="B17" s="2969"/>
      <c r="C17" s="2969"/>
      <c r="D17" s="2969"/>
      <c r="E17" s="1739" t="e">
        <f t="shared" si="0"/>
        <v>#DIV/0!</v>
      </c>
      <c r="F17" s="1739" t="e">
        <f t="shared" si="1"/>
        <v>#DIV/0!</v>
      </c>
      <c r="G17" s="2969"/>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G24" sqref="G24"/>
    </sheetView>
  </sheetViews>
  <sheetFormatPr defaultColWidth="12.6328125" defaultRowHeight="21.75" customHeight="1"/>
  <cols>
    <col min="1" max="2" width="12.6328125" style="2417"/>
    <col min="3" max="4" width="12.6328125" style="2417" customWidth="1"/>
    <col min="5" max="9" width="12.6328125" style="2417"/>
    <col min="10" max="11" width="12.6328125" style="794" customWidth="1"/>
    <col min="12" max="12" width="12.6328125" style="794"/>
    <col min="13" max="13" width="14.08984375" style="794" bestFit="1" customWidth="1"/>
    <col min="14" max="26" width="12.6328125" style="794"/>
    <col min="27" max="35" width="12.6328125" style="2416"/>
    <col min="36" max="16384" width="12.6328125" style="2417"/>
  </cols>
  <sheetData>
    <row r="1" spans="1:12" ht="21.75" customHeight="1" thickBot="1">
      <c r="A1" s="2218" t="s">
        <v>2106</v>
      </c>
      <c r="B1" s="2411"/>
      <c r="C1" s="2412"/>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3">
      <c r="A3" s="3172" t="s">
        <v>2108</v>
      </c>
      <c r="B3" s="3173"/>
      <c r="C3" s="3173"/>
      <c r="D3" s="3173"/>
      <c r="E3" s="3173"/>
      <c r="F3" s="3173"/>
      <c r="G3" s="3173"/>
      <c r="H3" s="3173"/>
      <c r="I3" s="3173"/>
    </row>
    <row r="4" spans="1:12" ht="14">
      <c r="A4" s="2418" t="s">
        <v>2109</v>
      </c>
      <c r="B4" s="2419" t="s">
        <v>2110</v>
      </c>
      <c r="C4" s="2420" t="s">
        <v>3146</v>
      </c>
      <c r="D4" s="2420" t="s">
        <v>3146</v>
      </c>
      <c r="E4" s="3153" t="s">
        <v>2111</v>
      </c>
      <c r="F4" s="3166"/>
      <c r="G4" s="3166"/>
      <c r="H4" s="3166"/>
      <c r="I4" s="3154"/>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44" t="s">
        <v>2112</v>
      </c>
      <c r="B5" s="3070">
        <v>25</v>
      </c>
      <c r="C5" s="3174"/>
      <c r="D5" s="3162"/>
      <c r="E5" s="140" t="s">
        <v>2113</v>
      </c>
      <c r="F5" s="2422"/>
      <c r="G5" s="2422"/>
      <c r="H5" s="2422"/>
      <c r="I5" s="1829"/>
    </row>
    <row r="6" spans="1:12" ht="13">
      <c r="A6" s="3144"/>
      <c r="B6" s="3070"/>
      <c r="C6" s="3176"/>
      <c r="D6" s="3162"/>
      <c r="E6" s="140" t="s">
        <v>2114</v>
      </c>
      <c r="F6" s="2422"/>
      <c r="G6" s="2422"/>
      <c r="H6" s="2422"/>
      <c r="I6" s="1829"/>
    </row>
    <row r="7" spans="1:12" ht="13">
      <c r="A7" s="3144"/>
      <c r="B7" s="3070"/>
      <c r="C7" s="3175"/>
      <c r="D7" s="3162"/>
      <c r="E7" s="140" t="s">
        <v>2115</v>
      </c>
      <c r="F7" s="2422"/>
      <c r="G7" s="2422"/>
      <c r="H7" s="2422"/>
      <c r="I7" s="1829"/>
    </row>
    <row r="8" spans="1:12" ht="13">
      <c r="A8" s="3144" t="s">
        <v>2116</v>
      </c>
      <c r="B8" s="3070">
        <v>15</v>
      </c>
      <c r="C8" s="3174"/>
      <c r="D8" s="3162"/>
      <c r="E8" s="140" t="s">
        <v>2117</v>
      </c>
      <c r="F8" s="2422"/>
      <c r="G8" s="2422"/>
      <c r="H8" s="2422"/>
      <c r="I8" s="1829"/>
    </row>
    <row r="9" spans="1:12" ht="13">
      <c r="A9" s="3144"/>
      <c r="B9" s="3070"/>
      <c r="C9" s="3175"/>
      <c r="D9" s="3162"/>
      <c r="E9" s="140" t="s">
        <v>2118</v>
      </c>
      <c r="F9" s="2422"/>
      <c r="G9" s="2422"/>
      <c r="H9" s="2422"/>
      <c r="I9" s="1829"/>
    </row>
    <row r="10" spans="1:12" ht="13">
      <c r="A10" s="3144" t="s">
        <v>2119</v>
      </c>
      <c r="B10" s="3070">
        <v>15</v>
      </c>
      <c r="C10" s="3174"/>
      <c r="D10" s="3162"/>
      <c r="E10" s="140" t="s">
        <v>2120</v>
      </c>
      <c r="F10" s="2422"/>
      <c r="G10" s="2422"/>
      <c r="H10" s="2422"/>
      <c r="I10" s="1829"/>
    </row>
    <row r="11" spans="1:12" ht="13">
      <c r="A11" s="3144"/>
      <c r="B11" s="3070"/>
      <c r="C11" s="3175"/>
      <c r="D11" s="3162"/>
      <c r="E11" s="140" t="s">
        <v>2121</v>
      </c>
      <c r="F11" s="2422"/>
      <c r="G11" s="2422"/>
      <c r="H11" s="2422"/>
      <c r="I11" s="1829"/>
    </row>
    <row r="12" spans="1:12" ht="13">
      <c r="A12" s="3144" t="s">
        <v>2122</v>
      </c>
      <c r="B12" s="3070">
        <v>15</v>
      </c>
      <c r="C12" s="3174"/>
      <c r="D12" s="3162"/>
      <c r="E12" s="140" t="s">
        <v>2123</v>
      </c>
      <c r="F12" s="2422"/>
      <c r="G12" s="2422"/>
      <c r="H12" s="2422"/>
      <c r="I12" s="1829"/>
    </row>
    <row r="13" spans="1:12" ht="13">
      <c r="A13" s="3144"/>
      <c r="B13" s="3070"/>
      <c r="C13" s="3175"/>
      <c r="D13" s="3162"/>
      <c r="E13" s="140" t="s">
        <v>2124</v>
      </c>
      <c r="F13" s="2422"/>
      <c r="G13" s="2422"/>
      <c r="H13" s="2422"/>
      <c r="I13" s="1829"/>
    </row>
    <row r="14" spans="1:12" ht="13">
      <c r="A14" s="3144" t="s">
        <v>2125</v>
      </c>
      <c r="B14" s="3070">
        <v>30</v>
      </c>
      <c r="C14" s="3174">
        <v>1</v>
      </c>
      <c r="D14" s="3162">
        <v>0</v>
      </c>
      <c r="E14" s="140" t="s">
        <v>2126</v>
      </c>
      <c r="F14" s="2422"/>
      <c r="G14" s="2422"/>
      <c r="H14" s="2422"/>
      <c r="I14" s="1829"/>
    </row>
    <row r="15" spans="1:12" ht="13">
      <c r="A15" s="3144"/>
      <c r="B15" s="3070"/>
      <c r="C15" s="3176"/>
      <c r="D15" s="3162"/>
      <c r="E15" s="140" t="s">
        <v>2127</v>
      </c>
      <c r="F15" s="2422"/>
      <c r="G15" s="2422"/>
      <c r="H15" s="2422"/>
      <c r="I15" s="1829"/>
    </row>
    <row r="16" spans="1:12" ht="13">
      <c r="A16" s="3144"/>
      <c r="B16" s="3070"/>
      <c r="C16" s="3175"/>
      <c r="D16" s="3162"/>
      <c r="E16" s="140" t="s">
        <v>2128</v>
      </c>
      <c r="F16" s="2422"/>
      <c r="G16" s="2422"/>
      <c r="H16" s="2422"/>
      <c r="I16" s="1829"/>
    </row>
    <row r="17" spans="1:35" ht="14">
      <c r="A17" s="2423" t="s">
        <v>2129</v>
      </c>
      <c r="B17" s="64"/>
      <c r="C17" s="141">
        <f>SUM(C5:C16)</f>
        <v>1</v>
      </c>
      <c r="D17" s="141">
        <f>SUM(D5:D16)</f>
        <v>0</v>
      </c>
      <c r="E17" s="138"/>
      <c r="F17" s="138"/>
      <c r="G17" s="138"/>
      <c r="H17" s="138"/>
      <c r="I17" s="138"/>
      <c r="K17" s="2421"/>
      <c r="L17" s="2424" t="s">
        <v>2130</v>
      </c>
      <c r="M17" s="2424" t="s">
        <v>2131</v>
      </c>
    </row>
    <row r="18" spans="1:35" ht="14.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4">
      <c r="A19" s="2427" t="s">
        <v>2134</v>
      </c>
      <c r="B19" s="2428" t="s">
        <v>2135</v>
      </c>
      <c r="C19" s="143">
        <f ca="1">SUMIF(INDIRECT("'"&amp;C4&amp;"'"&amp;"!A:A"),结果表!B19,INDIRECT("'"&amp;C4&amp;"'"&amp;"!B:B"))</f>
        <v>3107</v>
      </c>
      <c r="D19" s="144">
        <f ca="1">SUMIF(INDIRECT("'"&amp;D4&amp;"'"&amp;"!A:A"),结果表!B19,INDIRECT("'"&amp;D4&amp;"'"&amp;"!B:B"))</f>
        <v>3107</v>
      </c>
      <c r="E19" s="2427" t="s">
        <v>2136</v>
      </c>
      <c r="F19" s="2428" t="s">
        <v>2135</v>
      </c>
      <c r="G19" s="145">
        <f ca="1">ROUND(C19*$C$18+D19*$D$18,0)</f>
        <v>3107</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
      <c r="A20" s="2430"/>
      <c r="B20" s="1245" t="s">
        <v>2139</v>
      </c>
      <c r="C20" s="146">
        <f ca="1">SUMIF(INDIRECT("'"&amp;C4&amp;"'"&amp;"!A:A"),结果表!B20,INDIRECT("'"&amp;C4&amp;"'"&amp;"!B:B"))</f>
        <v>40409</v>
      </c>
      <c r="D20" s="147">
        <f ca="1">SUMIF(INDIRECT("'"&amp;D4&amp;"'"&amp;"!A:A"),结果表!B20,INDIRECT("'"&amp;D4&amp;"'"&amp;"!B:B"))</f>
        <v>40409</v>
      </c>
      <c r="E20" s="2430"/>
      <c r="F20" s="1245" t="s">
        <v>2139</v>
      </c>
      <c r="G20" s="148">
        <f ca="1">ROUND(C20*$C$18+D20*$D$18,0)</f>
        <v>40409</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4.5" thickBot="1">
      <c r="A22" s="2274" t="s">
        <v>2142</v>
      </c>
      <c r="B22" s="2433"/>
      <c r="C22" s="2434"/>
      <c r="D22" s="790">
        <f ca="1">IF(C19&lt;D19,D19/C19-1,C19/D19-1)</f>
        <v>0</v>
      </c>
      <c r="E22" s="138"/>
      <c r="F22" s="138"/>
      <c r="G22" s="138"/>
      <c r="H22" s="138"/>
      <c r="I22" s="138"/>
    </row>
    <row r="23" spans="1:35" ht="13" thickBot="1">
      <c r="A23" s="2411"/>
      <c r="B23" s="2411"/>
      <c r="C23" s="2411"/>
      <c r="D23" s="2411"/>
      <c r="E23" s="138"/>
      <c r="F23" s="138"/>
      <c r="G23" s="138"/>
      <c r="H23" s="138"/>
      <c r="I23" s="138"/>
    </row>
    <row r="24" spans="1:35" ht="14">
      <c r="A24" s="3183" t="s">
        <v>2143</v>
      </c>
      <c r="B24" s="2428" t="s">
        <v>2135</v>
      </c>
      <c r="C24" s="145">
        <f>IF(B30=0,0,D30)</f>
        <v>0</v>
      </c>
      <c r="D24" s="2435"/>
      <c r="E24" s="138"/>
      <c r="F24" s="138"/>
      <c r="G24" s="138"/>
      <c r="H24" s="138"/>
      <c r="I24" s="138"/>
    </row>
    <row r="25" spans="1:35" ht="14">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2148</v>
      </c>
      <c r="B30" s="151"/>
      <c r="C30" s="151"/>
      <c r="D30" s="151"/>
      <c r="E30" s="2910" t="s">
        <v>3021</v>
      </c>
      <c r="F30" s="138"/>
      <c r="G30" s="138"/>
      <c r="H30" s="138"/>
      <c r="I30" s="138"/>
    </row>
    <row r="31" spans="1:35" s="2439" customFormat="1" ht="14.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4.5" thickBot="1">
      <c r="A32" s="2440" t="s">
        <v>2149</v>
      </c>
      <c r="B32" s="2441"/>
      <c r="C32" s="153">
        <f ca="1">IF(D32="总价",G19-C24,G20-C25)</f>
        <v>3107</v>
      </c>
      <c r="D32" s="2442" t="s">
        <v>2150</v>
      </c>
      <c r="E32" s="138"/>
      <c r="F32" s="138"/>
      <c r="G32" s="138"/>
      <c r="H32" s="138"/>
      <c r="I32" s="138"/>
    </row>
    <row r="33" spans="1:15" ht="14">
      <c r="A33" s="956" t="s">
        <v>2151</v>
      </c>
      <c r="B33" s="2443"/>
      <c r="C33" s="2444"/>
      <c r="D33" s="2445"/>
      <c r="E33" s="2446" t="s">
        <v>2152</v>
      </c>
      <c r="F33" s="2447" t="str">
        <f>IF(D32="楼面单价","取值（单价）","取值（总价）")</f>
        <v>取值（总价）</v>
      </c>
      <c r="G33" s="138"/>
      <c r="H33" s="138"/>
      <c r="I33" s="138"/>
    </row>
    <row r="34" spans="1:15" ht="1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4.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4.5" thickBot="1">
      <c r="A36" s="3163" t="s">
        <v>2157</v>
      </c>
      <c r="B36" s="2454" t="s">
        <v>2158</v>
      </c>
      <c r="C36" s="154"/>
      <c r="D36" s="2455"/>
      <c r="E36" s="2456"/>
      <c r="F36" s="2457"/>
      <c r="G36" s="138"/>
      <c r="H36" s="138"/>
      <c r="I36" s="138"/>
    </row>
    <row r="37" spans="1:15" ht="14.5" thickBot="1">
      <c r="A37" s="3164"/>
      <c r="B37" s="2260" t="s">
        <v>2159</v>
      </c>
      <c r="C37" s="156"/>
      <c r="D37" s="1390"/>
      <c r="E37" s="1390"/>
      <c r="F37" s="2457"/>
      <c r="G37" s="138"/>
      <c r="H37" s="138"/>
      <c r="I37" s="138"/>
    </row>
    <row r="38" spans="1:15" ht="14.5" thickBot="1">
      <c r="A38" s="3165"/>
      <c r="B38" s="2458" t="s">
        <v>2160</v>
      </c>
      <c r="C38" s="726"/>
      <c r="D38" s="2459" t="s">
        <v>2161</v>
      </c>
      <c r="E38" s="1390"/>
      <c r="F38" s="2457"/>
      <c r="G38" s="138"/>
      <c r="H38" s="138"/>
      <c r="I38" s="138"/>
    </row>
    <row r="39" spans="1:15" ht="14">
      <c r="A39" s="2430" t="s">
        <v>2162</v>
      </c>
      <c r="B39" s="2460" t="s">
        <v>2163</v>
      </c>
      <c r="C39" s="2461" t="s">
        <v>2164</v>
      </c>
      <c r="D39" s="2461" t="s">
        <v>2165</v>
      </c>
      <c r="E39" s="2462" t="s">
        <v>2166</v>
      </c>
      <c r="F39" s="2457"/>
      <c r="G39" s="138"/>
      <c r="H39" s="138"/>
      <c r="I39" s="138"/>
    </row>
    <row r="40" spans="1:15" ht="14">
      <c r="A40" s="2463" t="s">
        <v>2167</v>
      </c>
      <c r="B40" s="158"/>
      <c r="C40" s="159"/>
      <c r="D40" s="159"/>
      <c r="E40" s="160"/>
      <c r="F40" s="2457"/>
      <c r="G40" s="138"/>
      <c r="H40" s="138"/>
      <c r="I40" s="138"/>
    </row>
    <row r="41" spans="1:15" ht="14">
      <c r="A41" s="2463" t="s">
        <v>2168</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8"/>
      <c r="B43" s="2158"/>
      <c r="C43" s="2158"/>
      <c r="D43" s="2158"/>
      <c r="E43" s="2158"/>
      <c r="F43" s="2465"/>
      <c r="G43" s="2465"/>
      <c r="H43" s="2465"/>
      <c r="I43" s="2466"/>
    </row>
    <row r="44" spans="1:15" ht="18">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3107</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180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1807">
        <v>2</v>
      </c>
      <c r="K47" s="3099" t="s">
        <v>2182</v>
      </c>
      <c r="L47" s="3099"/>
      <c r="M47" s="3101">
        <f>'数据-取费表'!B2</f>
        <v>43908</v>
      </c>
      <c r="N47" s="3101"/>
      <c r="O47" s="3101"/>
    </row>
    <row r="48" spans="1:15" ht="26">
      <c r="A48" s="3167" t="s">
        <v>2183</v>
      </c>
      <c r="B48" s="3168"/>
      <c r="C48" s="3168"/>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099" t="s">
        <v>2186</v>
      </c>
      <c r="L48" s="3099"/>
      <c r="M48" s="3102">
        <f ca="1">H101</f>
        <v>3107</v>
      </c>
      <c r="N48" s="3102"/>
      <c r="O48" s="3102"/>
    </row>
    <row r="49" spans="1:35" ht="25.5" customHeight="1">
      <c r="A49" s="176" t="s">
        <v>2187</v>
      </c>
      <c r="B49" s="3147" t="s">
        <v>2188</v>
      </c>
      <c r="C49" s="3147"/>
      <c r="D49" s="177">
        <v>0</v>
      </c>
      <c r="E49" s="23" t="s">
        <v>2189</v>
      </c>
      <c r="F49" s="28" t="s">
        <v>34</v>
      </c>
      <c r="G49" s="3128"/>
      <c r="H49" s="138"/>
      <c r="I49" s="2476"/>
      <c r="J49" s="1807">
        <v>4</v>
      </c>
      <c r="K49" s="3099" t="str">
        <f>IF(项目基本情况!E8="房地产抵押价值","房地产抵押价值","抵押担保权已注销时的房地产抵押价值")</f>
        <v>房地产抵押价值</v>
      </c>
      <c r="L49" s="3099"/>
      <c r="M49" s="3102">
        <f ca="1">IF(项目基本情况!E8="房地产抵押价值",H107,H109)</f>
        <v>3107</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477" t="s">
        <v>2193</v>
      </c>
      <c r="K51" s="3099" t="s">
        <v>2194</v>
      </c>
      <c r="L51" s="3099"/>
      <c r="M51" s="2477" t="s">
        <v>2195</v>
      </c>
      <c r="N51" s="2477" t="s">
        <v>2196</v>
      </c>
      <c r="O51" s="2477" t="s">
        <v>2197</v>
      </c>
    </row>
    <row r="52" spans="1:35" ht="24" customHeight="1">
      <c r="A52" s="183" t="s">
        <v>2198</v>
      </c>
      <c r="B52" s="3147" t="s">
        <v>2199</v>
      </c>
      <c r="C52" s="3147"/>
      <c r="D52" s="182">
        <f ca="1">ROUND(D45*'数据-取费表'!B41/(1+'数据-取费表'!C42),0)</f>
        <v>166</v>
      </c>
      <c r="E52" s="11" t="s">
        <v>2200</v>
      </c>
      <c r="F52" s="184">
        <f>'数据-取费表'!B41</f>
        <v>5.6000000000000001E-2</v>
      </c>
      <c r="G52" s="2478"/>
      <c r="H52" s="138"/>
      <c r="I52" s="2476"/>
      <c r="J52" s="1807">
        <v>1</v>
      </c>
      <c r="K52" s="3122" t="s">
        <v>2201</v>
      </c>
      <c r="L52" s="3122"/>
      <c r="M52" s="1749">
        <f>D48</f>
        <v>0</v>
      </c>
      <c r="N52" s="1807" t="str">
        <f>E48</f>
        <v>销售额×税（费）率</v>
      </c>
      <c r="O52" s="1750" t="str">
        <f>F48</f>
        <v>免征</v>
      </c>
    </row>
    <row r="53" spans="1:35" ht="12" customHeight="1">
      <c r="A53" s="183" t="s">
        <v>2202</v>
      </c>
      <c r="B53" s="3148" t="s">
        <v>2203</v>
      </c>
      <c r="C53" s="3149"/>
      <c r="D53" s="182">
        <f ca="1">ROUND(D45*'数据-取费表'!B41/(1+'数据-取费表'!C42),0)</f>
        <v>166</v>
      </c>
      <c r="E53" s="11" t="s">
        <v>2200</v>
      </c>
      <c r="F53" s="184">
        <f>'数据-取费表'!B41</f>
        <v>5.6000000000000001E-2</v>
      </c>
      <c r="G53" s="2478"/>
      <c r="H53" s="138"/>
      <c r="I53" s="2476"/>
      <c r="J53" s="1807">
        <v>2</v>
      </c>
      <c r="K53" s="3122" t="s">
        <v>2204</v>
      </c>
      <c r="L53" s="3122"/>
      <c r="M53" s="1749">
        <f t="shared" ref="M53:O54" ca="1" si="0">D55</f>
        <v>2</v>
      </c>
      <c r="N53" s="1807" t="str">
        <f t="shared" si="0"/>
        <v>销售额×税（费）率</v>
      </c>
      <c r="O53" s="1750">
        <f t="shared" si="0"/>
        <v>5.0000000000000001E-4</v>
      </c>
    </row>
    <row r="54" spans="1:35" ht="12" customHeight="1">
      <c r="A54" s="183" t="s">
        <v>2205</v>
      </c>
      <c r="B54" s="3148" t="s">
        <v>2206</v>
      </c>
      <c r="C54" s="3149"/>
      <c r="D54" s="182">
        <f ca="1">C68</f>
        <v>166</v>
      </c>
      <c r="E54" s="30" t="s">
        <v>2207</v>
      </c>
      <c r="F54" s="184">
        <f>'数据-取费表'!B41</f>
        <v>5.6000000000000001E-2</v>
      </c>
      <c r="G54" s="2478"/>
      <c r="H54" s="2479"/>
      <c r="I54" s="2476"/>
      <c r="J54" s="1807">
        <v>3</v>
      </c>
      <c r="K54" s="3122" t="s">
        <v>2208</v>
      </c>
      <c r="L54" s="3122"/>
      <c r="M54" s="1749">
        <f t="shared" ca="1" si="0"/>
        <v>1758</v>
      </c>
      <c r="N54" s="1807" t="str">
        <f t="shared" si="0"/>
        <v>增值额×税（费）率</v>
      </c>
      <c r="O54" s="1751" t="str">
        <f t="shared" si="0"/>
        <v>——</v>
      </c>
    </row>
    <row r="55" spans="1:35" ht="24" customHeight="1">
      <c r="A55" s="3186" t="s">
        <v>2209</v>
      </c>
      <c r="B55" s="3168"/>
      <c r="C55" s="3168"/>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22" t="str">
        <f>IF(H59="非个人房产","——","个人所得税")</f>
        <v>——</v>
      </c>
      <c r="L55" s="3122"/>
      <c r="M55" s="1752" t="str">
        <f>D59</f>
        <v>——</v>
      </c>
      <c r="N55" s="1805" t="str">
        <f>E59</f>
        <v>——</v>
      </c>
      <c r="O55" s="1753" t="str">
        <f>F59</f>
        <v>——</v>
      </c>
    </row>
    <row r="56" spans="1:35" ht="26">
      <c r="A56" s="3186" t="s">
        <v>2212</v>
      </c>
      <c r="B56" s="3168"/>
      <c r="C56" s="3168"/>
      <c r="D56" s="185">
        <f ca="1">IF(H56="个人住宅",D57,D58)</f>
        <v>1758</v>
      </c>
      <c r="E56" s="11" t="s">
        <v>2213</v>
      </c>
      <c r="F56" s="184" t="str">
        <f>IF(H56="正常",F58,"免征")</f>
        <v>——</v>
      </c>
      <c r="G56" s="2480" t="s">
        <v>2214</v>
      </c>
      <c r="H56" s="2481" t="s">
        <v>2211</v>
      </c>
      <c r="I56" s="2482"/>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3">
      <c r="A57" s="183" t="s">
        <v>2187</v>
      </c>
      <c r="B57" s="3153" t="s">
        <v>2215</v>
      </c>
      <c r="C57" s="3154"/>
      <c r="D57" s="187">
        <v>0</v>
      </c>
      <c r="E57" s="23" t="s">
        <v>2189</v>
      </c>
      <c r="F57" s="155"/>
      <c r="G57" s="2478"/>
      <c r="H57" s="2482"/>
      <c r="I57" s="2482"/>
      <c r="J57" s="3122">
        <f>IF(AND(J55="",J56=""),4,IF(项目基本情况!K6="上海银行",结果表!J56+1,结果表!J55+1))</f>
        <v>4</v>
      </c>
      <c r="K57" s="3122" t="s">
        <v>2216</v>
      </c>
      <c r="L57" s="2483" t="s">
        <v>2217</v>
      </c>
      <c r="M57" s="1754"/>
      <c r="N57" s="1755">
        <f ca="1">SUMIF(M52:M56,"&lt;9e307")</f>
        <v>1760</v>
      </c>
      <c r="O57" s="2484"/>
      <c r="P57" s="1748">
        <f ca="1">N57/M49</f>
        <v>0.56646282587705177</v>
      </c>
    </row>
    <row r="58" spans="1:35" ht="26">
      <c r="A58" s="183" t="s">
        <v>2198</v>
      </c>
      <c r="B58" s="3153" t="s">
        <v>2218</v>
      </c>
      <c r="C58" s="3166"/>
      <c r="D58" s="185">
        <f ca="1">IF(H58="转让取得",C81,C97)</f>
        <v>1758</v>
      </c>
      <c r="E58" s="11" t="s">
        <v>2213</v>
      </c>
      <c r="F58" s="24" t="s">
        <v>34</v>
      </c>
      <c r="G58" s="2478"/>
      <c r="H58" s="2481" t="s">
        <v>2219</v>
      </c>
      <c r="I58" s="2482"/>
      <c r="J58" s="3122"/>
      <c r="K58" s="3122"/>
      <c r="L58" s="2483" t="s">
        <v>2220</v>
      </c>
      <c r="M58" s="1756"/>
      <c r="N58" s="2485" t="str">
        <f ca="1">NUMBERSTRING(INT(N57*10000),2)&amp;"元整"</f>
        <v>壹仟柒佰陆拾万元整</v>
      </c>
      <c r="O58" s="2486"/>
    </row>
    <row r="59" spans="1:35" ht="26.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1807" t="s">
        <v>2217</v>
      </c>
      <c r="M59" s="1757"/>
      <c r="N59" s="1758">
        <f ca="1">M49-N57</f>
        <v>1347</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壹仟叁佰肆拾柒万元整</v>
      </c>
      <c r="O60" s="2486"/>
    </row>
    <row r="61" spans="1:35" ht="13.5" thickBot="1">
      <c r="A61" s="3185" t="s">
        <v>2224</v>
      </c>
      <c r="B61" s="3185"/>
      <c r="C61" s="3185"/>
      <c r="D61" s="3185"/>
      <c r="E61" s="3185"/>
      <c r="F61" s="2482"/>
      <c r="G61" s="2482"/>
      <c r="H61" s="2490"/>
      <c r="I61" s="138"/>
      <c r="J61" s="1807">
        <f>J59+1</f>
        <v>6</v>
      </c>
      <c r="K61" s="3122" t="s">
        <v>2225</v>
      </c>
      <c r="L61" s="3122"/>
      <c r="M61" s="1759"/>
      <c r="N61" s="1760">
        <f ca="1">ROUND(N59*10000/'数据-汇总表'!E3,0)</f>
        <v>17519</v>
      </c>
      <c r="O61" s="2491"/>
    </row>
    <row r="62" spans="1:35" ht="13">
      <c r="A62" s="3142" t="s">
        <v>2226</v>
      </c>
      <c r="B62" s="3143"/>
      <c r="C62" s="1799"/>
      <c r="D62" s="1799" t="s">
        <v>2227</v>
      </c>
      <c r="E62" s="192" t="s">
        <v>2228</v>
      </c>
      <c r="F62" s="2482"/>
      <c r="G62" s="2482"/>
      <c r="H62" s="2490"/>
      <c r="I62" s="138"/>
    </row>
    <row r="63" spans="1:35" ht="13">
      <c r="A63" s="203" t="s">
        <v>775</v>
      </c>
      <c r="B63" s="193" t="s">
        <v>2229</v>
      </c>
      <c r="C63" s="194">
        <f ca="1">ROUND((C64+C65)/(1+'数据-取费表'!C42),0)</f>
        <v>2959</v>
      </c>
      <c r="D63" s="195"/>
      <c r="E63" s="196"/>
      <c r="F63" s="2482"/>
      <c r="G63" s="2482"/>
      <c r="H63" s="2490"/>
      <c r="I63" s="138"/>
      <c r="J63" s="3107" t="s">
        <v>2230</v>
      </c>
      <c r="K63" s="2492" t="s">
        <v>2231</v>
      </c>
      <c r="L63" s="1747">
        <f ca="1">IF(M49&gt;10000,M49*0.5%,IF(AND(M49&gt;1000,M49&lt;=10000),M49*1%,IF(AND(M49&gt;100,M49&lt;=1000),M49*3%,IF(AND(M49&gt;10,M49&lt;=100),M49*5%,M49*8%))))</f>
        <v>31.07</v>
      </c>
      <c r="M63" s="24">
        <f ca="1">ROUND(L63,1)</f>
        <v>31.1</v>
      </c>
      <c r="Z63" s="2416"/>
      <c r="AI63" s="2417"/>
    </row>
    <row r="64" spans="1:35" ht="14.25" customHeight="1">
      <c r="A64" s="197" t="s">
        <v>770</v>
      </c>
      <c r="B64" s="198" t="s">
        <v>2232</v>
      </c>
      <c r="C64" s="199">
        <f ca="1">D45</f>
        <v>3107</v>
      </c>
      <c r="D64" s="200" t="s">
        <v>32</v>
      </c>
      <c r="E64" s="201"/>
      <c r="F64" s="2482"/>
      <c r="G64" s="2482"/>
      <c r="H64" s="2490"/>
      <c r="I64" s="138"/>
      <c r="J64" s="3107"/>
      <c r="K64" s="2492" t="s">
        <v>2233</v>
      </c>
      <c r="L64" s="1747">
        <f ca="1">IF(M49&gt;2000,M49*0.5%,IF(AND(M49&gt;1000,M49&lt;=2000),M49*0.6%,IF(AND(M49&gt;500,M49&lt;=1000),M49*0.7%,IF(AND(M49&gt;200,M49&lt;=500),M49*0.8%,IF(AND(M49&gt;100,M49&lt;=200),M49*0.9%,IF(AND(M49&gt;50,M49&lt;=100),M49*1%,IF(AND(M49&gt;20,M49&lt;=50),M49*1.5%,IF(AND(M49&gt;10,M49&lt;=20),M49*2%,IF(AND(M49&gt;1,M49&lt;=10),M49*2.5%)))))))))</f>
        <v>15.535</v>
      </c>
      <c r="M64" s="24">
        <f t="shared" ref="M64:M65" ca="1" si="1">ROUND(L64,1)</f>
        <v>15.5</v>
      </c>
      <c r="N64" s="138" t="s">
        <v>2234</v>
      </c>
      <c r="Z64" s="2416"/>
      <c r="AI64" s="2417"/>
    </row>
    <row r="65" spans="1:35" ht="14.25" customHeight="1">
      <c r="A65" s="197" t="s">
        <v>771</v>
      </c>
      <c r="B65" s="198" t="s">
        <v>2235</v>
      </c>
      <c r="C65" s="202"/>
      <c r="D65" s="200"/>
      <c r="E65" s="201"/>
      <c r="F65" s="2482"/>
      <c r="G65" s="2482"/>
      <c r="H65" s="2490"/>
      <c r="I65" s="138"/>
      <c r="J65" s="3107"/>
      <c r="K65" s="2492" t="s">
        <v>2236</v>
      </c>
      <c r="L65" s="1747">
        <f ca="1">IF(M49&gt;1000,M49*0.1%,IF(AND(M49&gt;500,M49&lt;=1000),M49*0.5%,IF(AND(M49&gt;50,M49&lt;=500),M49*1%,IF(AND(M49&gt;1,M49&lt;=50),M49*1.5%))))</f>
        <v>3.1070000000000002</v>
      </c>
      <c r="M65" s="24">
        <f t="shared" ca="1" si="1"/>
        <v>3.1</v>
      </c>
      <c r="N65" s="138" t="s">
        <v>2234</v>
      </c>
      <c r="Z65" s="2416"/>
      <c r="AI65" s="2417"/>
    </row>
    <row r="66" spans="1:35" ht="14.25" customHeight="1">
      <c r="A66" s="203" t="s">
        <v>772</v>
      </c>
      <c r="B66" s="204" t="s">
        <v>2237</v>
      </c>
      <c r="C66" s="205"/>
      <c r="D66" s="206" t="s">
        <v>32</v>
      </c>
      <c r="E66" s="1771" t="s">
        <v>1367</v>
      </c>
      <c r="F66" s="2482"/>
      <c r="G66" s="2482"/>
      <c r="H66" s="2490"/>
      <c r="I66" s="138"/>
      <c r="J66" s="3107"/>
      <c r="K66" s="2492" t="s">
        <v>2238</v>
      </c>
      <c r="L66" s="1747">
        <f ca="1">M49*0.5%</f>
        <v>15.535</v>
      </c>
      <c r="M66" s="24">
        <f ca="1">IF(L66&gt;0.5,0.5,ROUND(L66,0))</f>
        <v>0.5</v>
      </c>
      <c r="N66" s="138" t="s">
        <v>2239</v>
      </c>
      <c r="Z66" s="2416"/>
      <c r="AI66" s="2417"/>
    </row>
    <row r="67" spans="1:35" ht="14.25" customHeight="1">
      <c r="A67" s="203" t="s">
        <v>773</v>
      </c>
      <c r="B67" s="204" t="s">
        <v>2240</v>
      </c>
      <c r="C67" s="207">
        <f ca="1">C63-C66</f>
        <v>2959</v>
      </c>
      <c r="D67" s="200" t="s">
        <v>32</v>
      </c>
      <c r="E67" s="201"/>
      <c r="F67" s="2482"/>
      <c r="G67" s="2482"/>
      <c r="H67" s="2490"/>
      <c r="I67" s="138"/>
      <c r="J67" s="310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166</v>
      </c>
      <c r="D68" s="211">
        <f>'数据-取费表'!B41</f>
        <v>5.6000000000000001E-2</v>
      </c>
      <c r="E68" s="212"/>
      <c r="F68" s="2482"/>
      <c r="G68" s="2482"/>
      <c r="H68" s="2490"/>
      <c r="I68" s="138"/>
      <c r="J68" s="3107"/>
      <c r="K68" s="2492" t="s">
        <v>2243</v>
      </c>
      <c r="L68" s="1747">
        <f ca="1">IF(M49&gt;10000,M49*0.5%,IF(AND(M49&gt;5000,M49&lt;=10000),M49*1%,IF(AND(M49&gt;1000,M49&lt;=5000),M49*2%,IF(AND(M49&gt;200,M49&lt;=1000),M49*3%,M49*5%))))</f>
        <v>62.14</v>
      </c>
      <c r="M68" s="24">
        <f ca="1">ROUND(L68,1)</f>
        <v>62.1</v>
      </c>
      <c r="Z68" s="2416"/>
      <c r="AI68" s="2417"/>
    </row>
    <row r="69" spans="1:35" s="2439" customFormat="1" ht="16.5" customHeight="1">
      <c r="A69" s="2493"/>
      <c r="B69" s="2494"/>
      <c r="C69" s="2495"/>
      <c r="D69" s="2496"/>
      <c r="E69" s="2497"/>
      <c r="F69" s="2159"/>
      <c r="G69" s="2159"/>
      <c r="H69" s="2158"/>
      <c r="I69" s="2411"/>
      <c r="J69" s="3107"/>
      <c r="K69" s="2492" t="s">
        <v>2244</v>
      </c>
      <c r="L69" s="2498"/>
      <c r="M69" s="24">
        <f ca="1">ROUND(SUM(M63:M68),0)</f>
        <v>115</v>
      </c>
      <c r="N69" s="1748">
        <f ca="1">M69/M49</f>
        <v>3.7013196009011907E-2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42" t="s">
        <v>2226</v>
      </c>
      <c r="B71" s="3143"/>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2246</v>
      </c>
      <c r="C72" s="207">
        <f ca="1">ROUND(D45/(1+'数据-取费表'!C42),0)</f>
        <v>2959</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2260</v>
      </c>
      <c r="C79" s="207">
        <f ca="1">C72-C73</f>
        <v>2941</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2261</v>
      </c>
      <c r="C80" s="227">
        <f ca="1">IF(C79&lt;=0,0,C79/C73)</f>
        <v>163.38888888888889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2262</v>
      </c>
      <c r="C81" s="228">
        <f ca="1">ROUND(IF(C79&lt;=0,0,IF(C80&gt;=200%,C79*60%-C73*35%,IF(C80&gt;=100%,C79*50%-C73*15%,IF(C80&gt;=50%,C79*40%-C73*5%,IF(C80&lt;50%,C79*30%,0))))),0)</f>
        <v>1758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42" t="s">
        <v>2226</v>
      </c>
      <c r="B84" s="3143"/>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2246</v>
      </c>
      <c r="C85" s="207">
        <f ca="1">ROUND(D45/(1+'数据-取费表'!C42),0)</f>
        <v>2959</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2260</v>
      </c>
      <c r="C95" s="207">
        <f ca="1">ROUND(C85-C86,0)</f>
        <v>2941</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2261</v>
      </c>
      <c r="C96" s="227">
        <f ca="1">IF(C95&lt;=0,0,C95/C86)</f>
        <v>163.38888888888889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2262</v>
      </c>
      <c r="C97" s="228">
        <f ca="1">ROUND(IF(C95&lt;=0,0,IF(C96&gt;=200%,C95*60%-C86*35%,IF(C96&gt;=100%,C95*50%-C86*15%,IF(C96&gt;=50%,C95*40%-C86*5%,IF(C96&lt;50%,C95*30%,0))))),0)</f>
        <v>1758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典型户型修正</v>
      </c>
      <c r="D101" s="736" t="str">
        <f>D4</f>
        <v>典型户型修正</v>
      </c>
      <c r="E101" s="3103" t="s">
        <v>2285</v>
      </c>
      <c r="F101" s="3104"/>
      <c r="G101" s="2513" t="s">
        <v>2286</v>
      </c>
      <c r="H101" s="1044">
        <f ca="1">H118</f>
        <v>3107</v>
      </c>
      <c r="I101" s="138"/>
    </row>
    <row r="102" spans="1:35" ht="18.75" customHeight="1">
      <c r="A102" s="3133" t="s">
        <v>2287</v>
      </c>
      <c r="B102" s="2513" t="s">
        <v>2286</v>
      </c>
      <c r="C102" s="735">
        <f ca="1">C19</f>
        <v>3107</v>
      </c>
      <c r="D102" s="736">
        <f ca="1">D19</f>
        <v>3107</v>
      </c>
      <c r="E102" s="3103"/>
      <c r="F102" s="3104"/>
      <c r="G102" s="2513" t="s">
        <v>2288</v>
      </c>
      <c r="H102" s="371">
        <f ca="1">I118</f>
        <v>40409</v>
      </c>
      <c r="I102" s="138"/>
    </row>
    <row r="103" spans="1:35" ht="42.75" customHeight="1">
      <c r="A103" s="3133"/>
      <c r="B103" s="2513" t="s">
        <v>2288</v>
      </c>
      <c r="C103" s="737">
        <f ca="1">C20</f>
        <v>40409</v>
      </c>
      <c r="D103" s="738">
        <f ca="1">D20</f>
        <v>40409</v>
      </c>
      <c r="E103" s="3097" t="s">
        <v>2289</v>
      </c>
      <c r="F103" s="3098"/>
      <c r="G103" s="2514" t="s">
        <v>2290</v>
      </c>
      <c r="H103" s="1044">
        <f>IF(D36="正常操作",H104+H105+H106,H105+H106)</f>
        <v>0</v>
      </c>
      <c r="I103" s="138"/>
    </row>
    <row r="104" spans="1:35" ht="18.75" customHeight="1">
      <c r="A104" s="3133" t="s">
        <v>2291</v>
      </c>
      <c r="B104" s="2515" t="s">
        <v>2286</v>
      </c>
      <c r="C104" s="739">
        <f ca="1">H118</f>
        <v>3107</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40409</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3107</v>
      </c>
      <c r="I107" s="138"/>
    </row>
    <row r="108" spans="1:35" ht="18.75" customHeight="1">
      <c r="A108" s="138"/>
      <c r="B108" s="138"/>
      <c r="C108" s="138"/>
      <c r="D108" s="138"/>
      <c r="E108" s="3134"/>
      <c r="F108" s="3104"/>
      <c r="G108" s="2513" t="s">
        <v>2288</v>
      </c>
      <c r="H108" s="371">
        <f ca="1">ROUND(H107*10000/'数据-汇总表'!E3,0)</f>
        <v>40409</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3107</v>
      </c>
      <c r="I118" s="1793">
        <f ca="1">ROUND(IF(D32="楼面单价",C32,H118*10000/B118),0)</f>
        <v>40409</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叁仟壹佰零柒万元整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3107</v>
      </c>
      <c r="E122" s="3111"/>
      <c r="F122" s="3111"/>
      <c r="G122" s="3111"/>
      <c r="H122" s="3111"/>
      <c r="I122" s="3112"/>
    </row>
    <row r="123" spans="1:11" ht="18.75" customHeight="1">
      <c r="A123" s="3070" t="s">
        <v>2306</v>
      </c>
      <c r="B123" s="3070"/>
      <c r="C123" s="3070"/>
      <c r="D123" s="3115" t="str">
        <f ca="1">NUMBERSTRING(INT(D122*10000),2)&amp;"元整"</f>
        <v>叁仟壹佰零柒万元整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6">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ht="13">
      <c r="A8" s="948" t="s">
        <v>2330</v>
      </c>
      <c r="B8" s="259" t="s">
        <v>2331</v>
      </c>
      <c r="C8" s="264">
        <f>IF(G8="已包含在土地购买价格中","0",IF(B1="",'数据-取费表'!B29,IF(G9="全部缴纳",C9+C10,H9)))</f>
        <v>0</v>
      </c>
      <c r="D8" s="266"/>
      <c r="E8" s="264"/>
      <c r="F8" s="265"/>
      <c r="G8" s="2545" t="s">
        <v>3079</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3080</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6">
      <c r="A25" s="950" t="s">
        <v>2362</v>
      </c>
      <c r="B25" s="259" t="s">
        <v>2363</v>
      </c>
      <c r="C25" s="1353">
        <f ca="1">ROUND(IF('数据-取费表'!B22&lt;=1,C20*F22*'数据-取费表'!B23/2,C20*(POWER((1+F22),'数据-取费表'!B23/2)-1)),0)</f>
        <v>0</v>
      </c>
      <c r="D25" s="282"/>
      <c r="E25" s="285"/>
      <c r="F25" s="283"/>
      <c r="G25" s="286" t="s">
        <v>2364</v>
      </c>
    </row>
    <row r="26" spans="1:7" s="258" customFormat="1" ht="13">
      <c r="A26" s="950" t="s">
        <v>795</v>
      </c>
      <c r="B26" s="259" t="s">
        <v>2365</v>
      </c>
      <c r="C26" s="282">
        <f ca="1">ROUND(IF('数据-取费表'!B22&lt;=1,F21*F22*'数据-取费表'!B23/2,F21*(POWER((1+F22),'数据-取费表'!B23/2)-1)),4)</f>
        <v>1E-3</v>
      </c>
      <c r="D26" s="282"/>
      <c r="E26" s="285"/>
      <c r="F26" s="283"/>
      <c r="G26" s="287"/>
    </row>
    <row r="27" spans="1:7" s="258" customFormat="1" ht="27">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6">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6">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6">
      <c r="A50" s="299" t="s">
        <v>2409</v>
      </c>
      <c r="B50" s="254" t="s">
        <v>2410</v>
      </c>
      <c r="C50" s="276"/>
      <c r="D50" s="276"/>
      <c r="E50" s="276"/>
      <c r="F50" s="308">
        <f>IF('数据-取费表'!B24=0,'数据-取费表'!N16,1)</f>
        <v>0.9</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5">
      <c r="B55" s="314" t="s">
        <v>2416</v>
      </c>
      <c r="C55" s="315"/>
    </row>
    <row r="56" spans="1:7" ht="13">
      <c r="B56" s="317" t="s">
        <v>1508</v>
      </c>
      <c r="C56" s="319" t="e">
        <f ca="1">1-C57</f>
        <v>#N/A</v>
      </c>
    </row>
    <row r="57" spans="1:7" ht="13">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3.5">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201</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2614</v>
      </c>
      <c r="C3" s="243" t="s">
        <v>2319</v>
      </c>
      <c r="D3" s="243"/>
      <c r="E3" s="243"/>
      <c r="F3" s="243"/>
      <c r="G3" s="243"/>
    </row>
    <row r="4" spans="1:8" s="252" customFormat="1" ht="16">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ht="13">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6">
      <c r="A25" s="950" t="s">
        <v>2330</v>
      </c>
      <c r="B25" s="259" t="s">
        <v>2441</v>
      </c>
      <c r="C25" s="1379">
        <f ca="1">ROUND(IF('数据-取费表'!B22&lt;=1,C20*F22*'数据-取费表'!B22/2,C20*(POWER((1+F22),'数据-取费表'!B22/2)-1)),0)</f>
        <v>292</v>
      </c>
      <c r="D25" s="282"/>
      <c r="E25" s="285"/>
      <c r="F25" s="283"/>
      <c r="G25" s="286" t="s">
        <v>2442</v>
      </c>
    </row>
    <row r="26" spans="1:7" s="258" customFormat="1" ht="13">
      <c r="A26" s="950" t="s">
        <v>795</v>
      </c>
      <c r="B26" s="259" t="s">
        <v>2365</v>
      </c>
      <c r="C26" s="282">
        <f ca="1">ROUND(IF('数据-取费表'!B22&lt;=1,F21*F22*'数据-取费表'!B22/2,F21*(POWER((1+F22),'数据-取费表'!B22/2)-1)),4)</f>
        <v>1E-3</v>
      </c>
      <c r="D26" s="282"/>
      <c r="E26" s="285"/>
      <c r="F26" s="283"/>
      <c r="G26" s="287"/>
    </row>
    <row r="27" spans="1:7" s="258" customFormat="1" ht="27">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6">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6">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ht="13.5">
      <c r="A50" s="299" t="s">
        <v>2409</v>
      </c>
      <c r="B50" s="254" t="s">
        <v>2410</v>
      </c>
      <c r="C50" s="276"/>
      <c r="D50" s="276"/>
      <c r="E50" s="276"/>
      <c r="F50" s="308">
        <f>IF('数据-取费表'!B24=0,'数据-取费表'!N16,1)</f>
        <v>0.9</v>
      </c>
      <c r="G50" s="291"/>
    </row>
    <row r="51" spans="1:7" ht="16.5" customHeight="1">
      <c r="A51" s="299" t="s">
        <v>2412</v>
      </c>
      <c r="B51" s="254" t="s">
        <v>2447</v>
      </c>
      <c r="C51" s="276">
        <f ca="1">ROUND(C49*F50,0)</f>
        <v>1566595</v>
      </c>
      <c r="D51" s="276"/>
      <c r="E51" s="276"/>
      <c r="F51" s="308"/>
      <c r="G51" s="278" t="s">
        <v>2414</v>
      </c>
    </row>
    <row r="52" spans="1:7" s="252" customFormat="1" ht="16.5" thickBot="1">
      <c r="A52" s="309" t="s">
        <v>2415</v>
      </c>
      <c r="B52" s="310"/>
      <c r="C52" s="311">
        <f ca="1">C31+C51</f>
        <v>2007788</v>
      </c>
      <c r="D52" s="310"/>
      <c r="E52" s="310"/>
      <c r="F52" s="310"/>
      <c r="G52" s="312"/>
    </row>
    <row r="55" spans="1:7" ht="15.5">
      <c r="B55" s="314" t="s">
        <v>2416</v>
      </c>
      <c r="C55" s="315"/>
    </row>
    <row r="56" spans="1:7" ht="13">
      <c r="B56" s="317" t="s">
        <v>1508</v>
      </c>
      <c r="C56" s="319">
        <f ca="1">1-C57</f>
        <v>0.21999999999999997</v>
      </c>
    </row>
    <row r="57" spans="1:7" ht="13">
      <c r="B57" s="317" t="s">
        <v>1509</v>
      </c>
      <c r="C57" s="318">
        <f ca="1">ROUND(C51/C52,3)</f>
        <v>0.78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328125" defaultRowHeight="12.5"/>
  <cols>
    <col min="1" max="1" width="9.7265625" style="797" customWidth="1"/>
    <col min="2" max="2" width="25.7265625" style="951" customWidth="1"/>
    <col min="3" max="3" width="10.36328125" style="994" customWidth="1"/>
    <col min="4" max="4" width="9.90625" style="951" customWidth="1"/>
    <col min="5" max="5" width="9.453125" style="797" customWidth="1"/>
    <col min="6" max="6" width="10.08984375" style="951" customWidth="1"/>
    <col min="7" max="7" width="10.7265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6">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4" sqref="F24"/>
    </sheetView>
  </sheetViews>
  <sheetFormatPr defaultColWidth="12.6328125" defaultRowHeight="21.75" customHeight="1"/>
  <cols>
    <col min="1" max="2" width="12.6328125" style="2417"/>
    <col min="3" max="4" width="12.6328125" style="2417" customWidth="1"/>
    <col min="5" max="9" width="12.6328125" style="2417"/>
    <col min="10" max="11" width="12.6328125" style="794" customWidth="1"/>
    <col min="12" max="12" width="12.6328125" style="794"/>
    <col min="13" max="13" width="14.08984375" style="794" bestFit="1" customWidth="1"/>
    <col min="14" max="26" width="12.6328125" style="794"/>
    <col min="27" max="35" width="12.6328125" style="2416"/>
    <col min="36" max="16384" width="12.6328125" style="2417"/>
  </cols>
  <sheetData>
    <row r="1" spans="1:12" ht="21.75" customHeight="1" thickBot="1">
      <c r="A1" s="2218" t="s">
        <v>2106</v>
      </c>
      <c r="B1" s="2411"/>
      <c r="C1" s="2412" t="s">
        <v>3159</v>
      </c>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3">
      <c r="A3" s="3172" t="s">
        <v>2108</v>
      </c>
      <c r="B3" s="3173"/>
      <c r="C3" s="3173"/>
      <c r="D3" s="3173"/>
      <c r="E3" s="3173"/>
      <c r="F3" s="3173"/>
      <c r="G3" s="3173"/>
      <c r="H3" s="3173"/>
      <c r="I3" s="3173"/>
    </row>
    <row r="4" spans="1:12" ht="14">
      <c r="A4" s="2418" t="s">
        <v>2109</v>
      </c>
      <c r="B4" s="2419" t="s">
        <v>2110</v>
      </c>
      <c r="C4" s="2420" t="s">
        <v>3149</v>
      </c>
      <c r="D4" s="2420" t="s">
        <v>3065</v>
      </c>
      <c r="E4" s="3153" t="s">
        <v>2111</v>
      </c>
      <c r="F4" s="3166"/>
      <c r="G4" s="3166"/>
      <c r="H4" s="3166"/>
      <c r="I4" s="3154"/>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3">
      <c r="A5" s="3144" t="s">
        <v>2112</v>
      </c>
      <c r="B5" s="3070">
        <v>25</v>
      </c>
      <c r="C5" s="3174">
        <v>12</v>
      </c>
      <c r="D5" s="3162">
        <v>24</v>
      </c>
      <c r="E5" s="140" t="s">
        <v>2113</v>
      </c>
      <c r="F5" s="2422"/>
      <c r="G5" s="2422"/>
      <c r="H5" s="2422"/>
      <c r="I5" s="1829"/>
    </row>
    <row r="6" spans="1:12" ht="13">
      <c r="A6" s="3144"/>
      <c r="B6" s="3070"/>
      <c r="C6" s="3176"/>
      <c r="D6" s="3162"/>
      <c r="E6" s="140" t="s">
        <v>2114</v>
      </c>
      <c r="F6" s="2422"/>
      <c r="G6" s="2422"/>
      <c r="H6" s="2422"/>
      <c r="I6" s="1829"/>
    </row>
    <row r="7" spans="1:12" ht="13">
      <c r="A7" s="3144"/>
      <c r="B7" s="3070"/>
      <c r="C7" s="3175"/>
      <c r="D7" s="3162"/>
      <c r="E7" s="140" t="s">
        <v>2115</v>
      </c>
      <c r="F7" s="2422"/>
      <c r="G7" s="2422"/>
      <c r="H7" s="2422"/>
      <c r="I7" s="1829"/>
    </row>
    <row r="8" spans="1:12" ht="13">
      <c r="A8" s="3144" t="s">
        <v>2116</v>
      </c>
      <c r="B8" s="3070">
        <v>15</v>
      </c>
      <c r="C8" s="3174">
        <v>6</v>
      </c>
      <c r="D8" s="3162">
        <v>14</v>
      </c>
      <c r="E8" s="140" t="s">
        <v>2117</v>
      </c>
      <c r="F8" s="2422"/>
      <c r="G8" s="2422"/>
      <c r="H8" s="2422"/>
      <c r="I8" s="1829"/>
    </row>
    <row r="9" spans="1:12" ht="13">
      <c r="A9" s="3144"/>
      <c r="B9" s="3070"/>
      <c r="C9" s="3175"/>
      <c r="D9" s="3162"/>
      <c r="E9" s="140" t="s">
        <v>2118</v>
      </c>
      <c r="F9" s="2422"/>
      <c r="G9" s="2422"/>
      <c r="H9" s="2422"/>
      <c r="I9" s="1829"/>
    </row>
    <row r="10" spans="1:12" ht="13">
      <c r="A10" s="3144" t="s">
        <v>2119</v>
      </c>
      <c r="B10" s="3070">
        <v>15</v>
      </c>
      <c r="C10" s="3174">
        <v>6</v>
      </c>
      <c r="D10" s="3162">
        <v>14</v>
      </c>
      <c r="E10" s="140" t="s">
        <v>2120</v>
      </c>
      <c r="F10" s="2422"/>
      <c r="G10" s="2422"/>
      <c r="H10" s="2422"/>
      <c r="I10" s="1829"/>
    </row>
    <row r="11" spans="1:12" ht="13">
      <c r="A11" s="3144"/>
      <c r="B11" s="3070"/>
      <c r="C11" s="3175"/>
      <c r="D11" s="3162"/>
      <c r="E11" s="140" t="s">
        <v>2121</v>
      </c>
      <c r="F11" s="2422"/>
      <c r="G11" s="2422"/>
      <c r="H11" s="2422"/>
      <c r="I11" s="1829"/>
    </row>
    <row r="12" spans="1:12" ht="13">
      <c r="A12" s="3144" t="s">
        <v>2122</v>
      </c>
      <c r="B12" s="3070">
        <v>15</v>
      </c>
      <c r="C12" s="3174">
        <v>6</v>
      </c>
      <c r="D12" s="3162">
        <v>14</v>
      </c>
      <c r="E12" s="140" t="s">
        <v>2123</v>
      </c>
      <c r="F12" s="2422"/>
      <c r="G12" s="2422"/>
      <c r="H12" s="2422"/>
      <c r="I12" s="1829"/>
    </row>
    <row r="13" spans="1:12" ht="13">
      <c r="A13" s="3144"/>
      <c r="B13" s="3070"/>
      <c r="C13" s="3175"/>
      <c r="D13" s="3162"/>
      <c r="E13" s="140" t="s">
        <v>2124</v>
      </c>
      <c r="F13" s="2422"/>
      <c r="G13" s="2422"/>
      <c r="H13" s="2422"/>
      <c r="I13" s="1829"/>
    </row>
    <row r="14" spans="1:12" ht="13">
      <c r="A14" s="3144" t="s">
        <v>2125</v>
      </c>
      <c r="B14" s="3070">
        <v>30</v>
      </c>
      <c r="C14" s="3174">
        <v>11</v>
      </c>
      <c r="D14" s="3162">
        <v>28</v>
      </c>
      <c r="E14" s="140" t="s">
        <v>2126</v>
      </c>
      <c r="F14" s="2422"/>
      <c r="G14" s="2422"/>
      <c r="H14" s="2422"/>
      <c r="I14" s="1829"/>
    </row>
    <row r="15" spans="1:12" ht="13">
      <c r="A15" s="3144"/>
      <c r="B15" s="3070"/>
      <c r="C15" s="3176"/>
      <c r="D15" s="3162"/>
      <c r="E15" s="140" t="s">
        <v>2127</v>
      </c>
      <c r="F15" s="2422"/>
      <c r="G15" s="2422"/>
      <c r="H15" s="2422"/>
      <c r="I15" s="1829"/>
    </row>
    <row r="16" spans="1:12" ht="13">
      <c r="A16" s="3144"/>
      <c r="B16" s="3070"/>
      <c r="C16" s="3175"/>
      <c r="D16" s="3162"/>
      <c r="E16" s="140" t="s">
        <v>2128</v>
      </c>
      <c r="F16" s="2422"/>
      <c r="G16" s="2422"/>
      <c r="H16" s="2422"/>
      <c r="I16" s="1829"/>
    </row>
    <row r="17" spans="1:35" ht="14">
      <c r="A17" s="2423" t="s">
        <v>2129</v>
      </c>
      <c r="B17" s="64"/>
      <c r="C17" s="141">
        <f>SUM(C5:C16)</f>
        <v>41</v>
      </c>
      <c r="D17" s="141">
        <f>SUM(D5:D16)</f>
        <v>94</v>
      </c>
      <c r="E17" s="138"/>
      <c r="F17" s="138"/>
      <c r="G17" s="138"/>
      <c r="H17" s="138"/>
      <c r="I17" s="138"/>
      <c r="K17" s="2421"/>
      <c r="L17" s="2424" t="s">
        <v>2130</v>
      </c>
      <c r="M17" s="2424" t="s">
        <v>2131</v>
      </c>
    </row>
    <row r="18" spans="1:35" ht="14.5" thickBot="1">
      <c r="A18" s="2425" t="s">
        <v>2132</v>
      </c>
      <c r="B18" s="2426"/>
      <c r="C18" s="142">
        <f>ROUND(C17/SUM(C17:D17),2)</f>
        <v>0.3</v>
      </c>
      <c r="D18" s="142">
        <f>1-C18</f>
        <v>0.7</v>
      </c>
      <c r="E18" s="138"/>
      <c r="F18" s="138"/>
      <c r="G18" s="138"/>
      <c r="H18" s="138"/>
      <c r="I18" s="138"/>
      <c r="K18" s="2421" t="s">
        <v>2133</v>
      </c>
      <c r="L18" s="2421">
        <f>IF(C1="",'数据-汇总表'!E3,SUMIF(项目类型,C1,'数据-汇总表'!E17:E26)+SUMIF(项目类型,C1,'数据-汇总表'!I17:I26))</f>
        <v>264.85000000000002</v>
      </c>
      <c r="M18" s="2421">
        <f>IF(C1="",'数据-汇总表'!E3,SUMIF(项目类型,C1,'数据-汇总表'!E17:E26))</f>
        <v>264.85000000000002</v>
      </c>
    </row>
    <row r="19" spans="1:35" ht="14">
      <c r="A19" s="2427" t="s">
        <v>2134</v>
      </c>
      <c r="B19" s="2428" t="s">
        <v>2135</v>
      </c>
      <c r="C19" s="143">
        <f ca="1">SUMIF(INDIRECT("'"&amp;C4&amp;"'"&amp;"!A:A"),'结果表 (2601)'!B19,INDIRECT("'"&amp;C4&amp;"'"&amp;"!B:B"))</f>
        <v>752</v>
      </c>
      <c r="D19" s="144">
        <f ca="1">SUMIF(INDIRECT("'"&amp;D4&amp;"'"&amp;"!A:A"),'结果表 (2601)'!B19,INDIRECT("'"&amp;D4&amp;"'"&amp;"!B:B"))</f>
        <v>1207</v>
      </c>
      <c r="E19" s="2427" t="s">
        <v>2136</v>
      </c>
      <c r="F19" s="2428" t="s">
        <v>2135</v>
      </c>
      <c r="G19" s="145">
        <f ca="1">ROUND(C19*$C$18+D19*$D$18,0)</f>
        <v>1071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
      <c r="A20" s="2430"/>
      <c r="B20" s="1245" t="s">
        <v>2139</v>
      </c>
      <c r="C20" s="146">
        <f ca="1">SUMIF(INDIRECT("'"&amp;C4&amp;"'"&amp;"!A:A"),'结果表 (2601)'!B20,INDIRECT("'"&amp;C4&amp;"'"&amp;"!B:B"))</f>
        <v>28404</v>
      </c>
      <c r="D20" s="147">
        <f ca="1">SUMIF(INDIRECT("'"&amp;D4&amp;"'"&amp;"!A:A"),'结果表 (2601)'!B20,INDIRECT("'"&amp;D4&amp;"'"&amp;"!B:B"))</f>
        <v>45564</v>
      </c>
      <c r="E20" s="2430"/>
      <c r="F20" s="1245" t="s">
        <v>2139</v>
      </c>
      <c r="G20" s="148">
        <f ca="1">ROUND(C20*$C$18+D20*$D$18,0)</f>
        <v>40416</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4.5" thickBot="1">
      <c r="A22" s="2274" t="s">
        <v>2142</v>
      </c>
      <c r="B22" s="2433"/>
      <c r="C22" s="2434"/>
      <c r="D22" s="790">
        <f ca="1">IF(C19&lt;D19,D19/C19-1,C19/D19-1)</f>
        <v>0.60505319148936176</v>
      </c>
      <c r="E22" s="138"/>
      <c r="F22" s="138"/>
      <c r="G22" s="138"/>
      <c r="H22" s="138"/>
      <c r="I22" s="138"/>
    </row>
    <row r="23" spans="1:35" ht="13" thickBot="1">
      <c r="A23" s="2411"/>
      <c r="B23" s="2411"/>
      <c r="C23" s="2411"/>
      <c r="D23" s="2411"/>
      <c r="E23" s="138"/>
      <c r="F23" s="138"/>
      <c r="G23" s="138"/>
      <c r="H23" s="138"/>
      <c r="I23" s="138"/>
    </row>
    <row r="24" spans="1:35" ht="14">
      <c r="A24" s="3183" t="s">
        <v>2143</v>
      </c>
      <c r="B24" s="2428" t="s">
        <v>2135</v>
      </c>
      <c r="C24" s="145">
        <f>IF(B30=0,0,D30)</f>
        <v>0</v>
      </c>
      <c r="D24" s="2435"/>
      <c r="E24" s="138"/>
      <c r="F24" s="138"/>
      <c r="G24" s="138"/>
      <c r="H24" s="138"/>
      <c r="I24" s="138"/>
    </row>
    <row r="25" spans="1:35" ht="14">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2148</v>
      </c>
      <c r="B30" s="151"/>
      <c r="C30" s="151"/>
      <c r="D30" s="151"/>
      <c r="E30" s="2910" t="s">
        <v>3021</v>
      </c>
      <c r="F30" s="138"/>
      <c r="G30" s="138"/>
      <c r="H30" s="138"/>
      <c r="I30" s="138"/>
    </row>
    <row r="31" spans="1:35" s="2439" customFormat="1" ht="14.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4.5" thickBot="1">
      <c r="A32" s="2440" t="s">
        <v>2149</v>
      </c>
      <c r="B32" s="2441"/>
      <c r="C32" s="153">
        <f ca="1">IF(D32="总价",G19-C24,G20-C25)</f>
        <v>1071</v>
      </c>
      <c r="D32" s="2442" t="s">
        <v>2150</v>
      </c>
      <c r="E32" s="138"/>
      <c r="F32" s="138"/>
      <c r="G32" s="138"/>
      <c r="H32" s="138"/>
      <c r="I32" s="138"/>
    </row>
    <row r="33" spans="1:15" ht="14">
      <c r="A33" s="956" t="s">
        <v>2151</v>
      </c>
      <c r="B33" s="2443"/>
      <c r="C33" s="2444"/>
      <c r="D33" s="2445"/>
      <c r="E33" s="2446" t="s">
        <v>2152</v>
      </c>
      <c r="F33" s="2972" t="str">
        <f>IF(D32="楼面单价","取值（单价）","取值（总价）")</f>
        <v>取值（总价）</v>
      </c>
      <c r="G33" s="138"/>
      <c r="H33" s="138"/>
      <c r="I33" s="138"/>
    </row>
    <row r="34" spans="1:15" ht="1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4.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4.5" thickBot="1">
      <c r="A36" s="3163" t="s">
        <v>2157</v>
      </c>
      <c r="B36" s="2454" t="s">
        <v>2158</v>
      </c>
      <c r="C36" s="154"/>
      <c r="D36" s="2455"/>
      <c r="E36" s="2456"/>
      <c r="F36" s="2457"/>
      <c r="G36" s="138"/>
      <c r="H36" s="138"/>
      <c r="I36" s="138"/>
    </row>
    <row r="37" spans="1:15" ht="14.5" thickBot="1">
      <c r="A37" s="3164"/>
      <c r="B37" s="2260" t="s">
        <v>2159</v>
      </c>
      <c r="C37" s="156"/>
      <c r="D37" s="1390"/>
      <c r="E37" s="1390"/>
      <c r="F37" s="2457"/>
      <c r="G37" s="138"/>
      <c r="H37" s="138"/>
      <c r="I37" s="138"/>
    </row>
    <row r="38" spans="1:15" ht="14.5" thickBot="1">
      <c r="A38" s="3165"/>
      <c r="B38" s="2458" t="s">
        <v>2160</v>
      </c>
      <c r="C38" s="726"/>
      <c r="D38" s="2459" t="s">
        <v>2161</v>
      </c>
      <c r="E38" s="1390"/>
      <c r="F38" s="2457"/>
      <c r="G38" s="138"/>
      <c r="H38" s="138"/>
      <c r="I38" s="138"/>
    </row>
    <row r="39" spans="1:15" ht="14">
      <c r="A39" s="2430" t="s">
        <v>2162</v>
      </c>
      <c r="B39" s="2460" t="s">
        <v>2145</v>
      </c>
      <c r="C39" s="2461" t="s">
        <v>2164</v>
      </c>
      <c r="D39" s="2461" t="s">
        <v>2165</v>
      </c>
      <c r="E39" s="2462" t="s">
        <v>2166</v>
      </c>
      <c r="F39" s="2457"/>
      <c r="G39" s="138"/>
      <c r="H39" s="138"/>
      <c r="I39" s="138"/>
    </row>
    <row r="40" spans="1:15" ht="14">
      <c r="A40" s="2463" t="s">
        <v>2167</v>
      </c>
      <c r="B40" s="158"/>
      <c r="C40" s="159"/>
      <c r="D40" s="159"/>
      <c r="E40" s="160"/>
      <c r="F40" s="2457"/>
      <c r="G40" s="138"/>
      <c r="H40" s="138"/>
      <c r="I40" s="138"/>
    </row>
    <row r="41" spans="1:15" ht="14">
      <c r="A41" s="2463" t="s">
        <v>2168</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8"/>
      <c r="B43" s="2158"/>
      <c r="C43" s="2158"/>
      <c r="D43" s="2158"/>
      <c r="E43" s="2158"/>
      <c r="F43" s="2465"/>
      <c r="G43" s="2465"/>
      <c r="H43" s="2465"/>
      <c r="I43" s="2466"/>
    </row>
    <row r="44" spans="1:15" ht="18">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1071</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297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2977">
        <v>2</v>
      </c>
      <c r="K47" s="3099" t="s">
        <v>2182</v>
      </c>
      <c r="L47" s="3099"/>
      <c r="M47" s="3101">
        <f>'数据-取费表'!B2</f>
        <v>43908</v>
      </c>
      <c r="N47" s="3101"/>
      <c r="O47" s="3101"/>
    </row>
    <row r="48" spans="1:15" ht="26">
      <c r="A48" s="3167" t="s">
        <v>2183</v>
      </c>
      <c r="B48" s="3168"/>
      <c r="C48" s="3168"/>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099" t="s">
        <v>2186</v>
      </c>
      <c r="L48" s="3099"/>
      <c r="M48" s="3102">
        <f ca="1">H101</f>
        <v>1071</v>
      </c>
      <c r="N48" s="3102"/>
      <c r="O48" s="3102"/>
    </row>
    <row r="49" spans="1:35" ht="25.5" customHeight="1">
      <c r="A49" s="176" t="s">
        <v>2187</v>
      </c>
      <c r="B49" s="3147" t="s">
        <v>2188</v>
      </c>
      <c r="C49" s="3147"/>
      <c r="D49" s="177">
        <v>0</v>
      </c>
      <c r="E49" s="23" t="s">
        <v>2189</v>
      </c>
      <c r="F49" s="28" t="s">
        <v>34</v>
      </c>
      <c r="G49" s="3128"/>
      <c r="H49" s="138"/>
      <c r="I49" s="2476"/>
      <c r="J49" s="2977">
        <v>4</v>
      </c>
      <c r="K49" s="3099" t="str">
        <f>IF(项目基本情况!E8="房地产抵押价值","房地产抵押价值","抵押担保权已注销时的房地产抵押价值")</f>
        <v>房地产抵押价值</v>
      </c>
      <c r="L49" s="3099"/>
      <c r="M49" s="3102">
        <f ca="1">IF(项目基本情况!E8="房地产抵押价值",H107,H109)</f>
        <v>1071</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974" t="s">
        <v>2193</v>
      </c>
      <c r="K51" s="3099" t="s">
        <v>2194</v>
      </c>
      <c r="L51" s="3099"/>
      <c r="M51" s="2974" t="s">
        <v>2195</v>
      </c>
      <c r="N51" s="2974" t="s">
        <v>2196</v>
      </c>
      <c r="O51" s="2974" t="s">
        <v>2197</v>
      </c>
    </row>
    <row r="52" spans="1:35" ht="24" customHeight="1">
      <c r="A52" s="183" t="s">
        <v>2198</v>
      </c>
      <c r="B52" s="3147" t="s">
        <v>2199</v>
      </c>
      <c r="C52" s="3147"/>
      <c r="D52" s="182">
        <f ca="1">ROUND(D45*'数据-取费表'!B41/(1+'数据-取费表'!C42),0)</f>
        <v>57</v>
      </c>
      <c r="E52" s="11" t="s">
        <v>2200</v>
      </c>
      <c r="F52" s="184">
        <f>'数据-取费表'!B41</f>
        <v>5.6000000000000001E-2</v>
      </c>
      <c r="G52" s="2478"/>
      <c r="H52" s="138"/>
      <c r="I52" s="2476"/>
      <c r="J52" s="2977">
        <v>1</v>
      </c>
      <c r="K52" s="3122" t="s">
        <v>2201</v>
      </c>
      <c r="L52" s="3122"/>
      <c r="M52" s="1749">
        <f>D48</f>
        <v>0</v>
      </c>
      <c r="N52" s="2977" t="str">
        <f>E48</f>
        <v>销售额×税（费）率</v>
      </c>
      <c r="O52" s="1750" t="str">
        <f>F48</f>
        <v>免征</v>
      </c>
    </row>
    <row r="53" spans="1:35" ht="12" customHeight="1">
      <c r="A53" s="183" t="s">
        <v>2202</v>
      </c>
      <c r="B53" s="3148" t="s">
        <v>2203</v>
      </c>
      <c r="C53" s="3149"/>
      <c r="D53" s="182">
        <f ca="1">ROUND(D45*'数据-取费表'!B41/(1+'数据-取费表'!C42),0)</f>
        <v>57</v>
      </c>
      <c r="E53" s="11" t="s">
        <v>2200</v>
      </c>
      <c r="F53" s="184">
        <f>'数据-取费表'!B41</f>
        <v>5.6000000000000001E-2</v>
      </c>
      <c r="G53" s="2478"/>
      <c r="H53" s="138"/>
      <c r="I53" s="2476"/>
      <c r="J53" s="2977">
        <v>2</v>
      </c>
      <c r="K53" s="3122" t="s">
        <v>2204</v>
      </c>
      <c r="L53" s="3122"/>
      <c r="M53" s="1749">
        <f t="shared" ref="M53:O54" ca="1" si="0">D55</f>
        <v>1</v>
      </c>
      <c r="N53" s="2977" t="str">
        <f t="shared" si="0"/>
        <v>销售额×税（费）率</v>
      </c>
      <c r="O53" s="1750">
        <f t="shared" si="0"/>
        <v>5.0000000000000001E-4</v>
      </c>
    </row>
    <row r="54" spans="1:35" ht="12" customHeight="1">
      <c r="A54" s="183" t="s">
        <v>2205</v>
      </c>
      <c r="B54" s="3148" t="s">
        <v>2206</v>
      </c>
      <c r="C54" s="3149"/>
      <c r="D54" s="182">
        <f ca="1">C68</f>
        <v>57</v>
      </c>
      <c r="E54" s="30" t="s">
        <v>2207</v>
      </c>
      <c r="F54" s="184">
        <f>'数据-取费表'!B41</f>
        <v>5.6000000000000001E-2</v>
      </c>
      <c r="G54" s="2478"/>
      <c r="H54" s="2479"/>
      <c r="I54" s="2476"/>
      <c r="J54" s="2977">
        <v>3</v>
      </c>
      <c r="K54" s="3122" t="s">
        <v>2208</v>
      </c>
      <c r="L54" s="3122"/>
      <c r="M54" s="1749">
        <f t="shared" ca="1" si="0"/>
        <v>606</v>
      </c>
      <c r="N54" s="2977" t="str">
        <f t="shared" si="0"/>
        <v>增值额×税（费）率</v>
      </c>
      <c r="O54" s="1751" t="str">
        <f t="shared" si="0"/>
        <v>——</v>
      </c>
    </row>
    <row r="55" spans="1:35" ht="24" customHeight="1">
      <c r="A55" s="3186" t="s">
        <v>2209</v>
      </c>
      <c r="B55" s="3168"/>
      <c r="C55" s="3168"/>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22" t="str">
        <f>IF(H59="非个人房产","——","个人所得税")</f>
        <v>——</v>
      </c>
      <c r="L55" s="3122"/>
      <c r="M55" s="1752" t="str">
        <f>D59</f>
        <v>——</v>
      </c>
      <c r="N55" s="2978" t="str">
        <f>E59</f>
        <v>——</v>
      </c>
      <c r="O55" s="1753" t="str">
        <f>F59</f>
        <v>——</v>
      </c>
    </row>
    <row r="56" spans="1:35" ht="26">
      <c r="A56" s="3186" t="s">
        <v>2212</v>
      </c>
      <c r="B56" s="3168"/>
      <c r="C56" s="3168"/>
      <c r="D56" s="185">
        <f ca="1">IF(H56="个人住宅",D57,D58)</f>
        <v>606</v>
      </c>
      <c r="E56" s="11" t="s">
        <v>2213</v>
      </c>
      <c r="F56" s="184" t="str">
        <f>IF(H56="正常",F58,"免征")</f>
        <v>——</v>
      </c>
      <c r="G56" s="2480" t="s">
        <v>2214</v>
      </c>
      <c r="H56" s="2481" t="s">
        <v>2211</v>
      </c>
      <c r="I56" s="2482"/>
      <c r="J56" s="297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3">
      <c r="A57" s="183" t="s">
        <v>2187</v>
      </c>
      <c r="B57" s="3153" t="s">
        <v>2215</v>
      </c>
      <c r="C57" s="3154"/>
      <c r="D57" s="187">
        <v>0</v>
      </c>
      <c r="E57" s="23" t="s">
        <v>2189</v>
      </c>
      <c r="F57" s="155"/>
      <c r="G57" s="2478"/>
      <c r="H57" s="2482"/>
      <c r="I57" s="2482"/>
      <c r="J57" s="3122">
        <f>IF(AND(J55="",J56=""),4,IF(项目基本情况!K6="上海银行",'结果表 (2601)'!J56+1,'结果表 (2601)'!J55+1))</f>
        <v>4</v>
      </c>
      <c r="K57" s="3122" t="s">
        <v>2216</v>
      </c>
      <c r="L57" s="2483" t="s">
        <v>2217</v>
      </c>
      <c r="M57" s="1754"/>
      <c r="N57" s="1755">
        <f ca="1">SUMIF(M52:M56,"&lt;9e307")</f>
        <v>607</v>
      </c>
      <c r="O57" s="2484"/>
      <c r="P57" s="1748">
        <f ca="1">N57/M49</f>
        <v>0.56676003734827263</v>
      </c>
    </row>
    <row r="58" spans="1:35" ht="26">
      <c r="A58" s="183" t="s">
        <v>2198</v>
      </c>
      <c r="B58" s="3153" t="s">
        <v>2218</v>
      </c>
      <c r="C58" s="3166"/>
      <c r="D58" s="185">
        <f ca="1">IF(H58="转让取得",C81,C97)</f>
        <v>606</v>
      </c>
      <c r="E58" s="11" t="s">
        <v>2213</v>
      </c>
      <c r="F58" s="24" t="s">
        <v>34</v>
      </c>
      <c r="G58" s="2478"/>
      <c r="H58" s="2481" t="s">
        <v>2219</v>
      </c>
      <c r="I58" s="2482"/>
      <c r="J58" s="3122"/>
      <c r="K58" s="3122"/>
      <c r="L58" s="2483" t="s">
        <v>2220</v>
      </c>
      <c r="M58" s="1756"/>
      <c r="N58" s="2485" t="str">
        <f ca="1">NUMBERSTRING(INT(N57*10000),2)&amp;"元整"</f>
        <v>陆佰零柒万元整</v>
      </c>
      <c r="O58" s="2486"/>
    </row>
    <row r="59" spans="1:35" ht="26.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2977" t="s">
        <v>2217</v>
      </c>
      <c r="M59" s="1757"/>
      <c r="N59" s="1758">
        <f ca="1">M49-N57</f>
        <v>464</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肆佰陆拾肆万元整</v>
      </c>
      <c r="O60" s="2486"/>
    </row>
    <row r="61" spans="1:35" ht="13.5" thickBot="1">
      <c r="A61" s="3185" t="s">
        <v>2224</v>
      </c>
      <c r="B61" s="3185"/>
      <c r="C61" s="3185"/>
      <c r="D61" s="3185"/>
      <c r="E61" s="3185"/>
      <c r="F61" s="2482"/>
      <c r="G61" s="2482"/>
      <c r="H61" s="2490"/>
      <c r="I61" s="138"/>
      <c r="J61" s="2977">
        <f>J59+1</f>
        <v>6</v>
      </c>
      <c r="K61" s="3122" t="s">
        <v>2225</v>
      </c>
      <c r="L61" s="3122"/>
      <c r="M61" s="1759"/>
      <c r="N61" s="1760">
        <f ca="1">ROUND(N59*10000/'数据-汇总表'!E3,0)</f>
        <v>6035</v>
      </c>
      <c r="O61" s="2491"/>
    </row>
    <row r="62" spans="1:35" ht="13">
      <c r="A62" s="3142" t="s">
        <v>2226</v>
      </c>
      <c r="B62" s="3143"/>
      <c r="C62" s="2982"/>
      <c r="D62" s="2982" t="s">
        <v>2227</v>
      </c>
      <c r="E62" s="192" t="s">
        <v>2228</v>
      </c>
      <c r="F62" s="2482"/>
      <c r="G62" s="2482"/>
      <c r="H62" s="2490"/>
      <c r="I62" s="138"/>
    </row>
    <row r="63" spans="1:35" ht="13">
      <c r="A63" s="203" t="s">
        <v>775</v>
      </c>
      <c r="B63" s="193" t="s">
        <v>2229</v>
      </c>
      <c r="C63" s="194">
        <f ca="1">ROUND((C64+C65)/(1+'数据-取费表'!C42),0)</f>
        <v>1020</v>
      </c>
      <c r="D63" s="195"/>
      <c r="E63" s="196"/>
      <c r="F63" s="2482"/>
      <c r="G63" s="2482"/>
      <c r="H63" s="2490"/>
      <c r="I63" s="138"/>
      <c r="J63" s="3107" t="s">
        <v>2230</v>
      </c>
      <c r="K63" s="2975" t="s">
        <v>2231</v>
      </c>
      <c r="L63" s="1747">
        <f ca="1">IF(M49&gt;10000,M49*0.5%,IF(AND(M49&gt;1000,M49&lt;=10000),M49*1%,IF(AND(M49&gt;100,M49&lt;=1000),M49*3%,IF(AND(M49&gt;10,M49&lt;=100),M49*5%,M49*8%))))</f>
        <v>10.71</v>
      </c>
      <c r="M63" s="24">
        <f ca="1">ROUND(L63,1)</f>
        <v>10.7</v>
      </c>
      <c r="Z63" s="2416"/>
      <c r="AI63" s="2417"/>
    </row>
    <row r="64" spans="1:35" ht="14.25" customHeight="1">
      <c r="A64" s="197" t="s">
        <v>770</v>
      </c>
      <c r="B64" s="198" t="s">
        <v>2232</v>
      </c>
      <c r="C64" s="199">
        <f ca="1">D45</f>
        <v>1071</v>
      </c>
      <c r="D64" s="200" t="s">
        <v>32</v>
      </c>
      <c r="E64" s="201"/>
      <c r="F64" s="2482"/>
      <c r="G64" s="2482"/>
      <c r="H64" s="2490"/>
      <c r="I64" s="138"/>
      <c r="J64" s="3107"/>
      <c r="K64" s="2975" t="s">
        <v>2233</v>
      </c>
      <c r="L64" s="1747">
        <f ca="1">IF(M49&gt;2000,M49*0.5%,IF(AND(M49&gt;1000,M49&lt;=2000),M49*0.6%,IF(AND(M49&gt;500,M49&lt;=1000),M49*0.7%,IF(AND(M49&gt;200,M49&lt;=500),M49*0.8%,IF(AND(M49&gt;100,M49&lt;=200),M49*0.9%,IF(AND(M49&gt;50,M49&lt;=100),M49*1%,IF(AND(M49&gt;20,M49&lt;=50),M49*1.5%,IF(AND(M49&gt;10,M49&lt;=20),M49*2%,IF(AND(M49&gt;1,M49&lt;=10),M49*2.5%)))))))))</f>
        <v>6.4260000000000002</v>
      </c>
      <c r="M64" s="24">
        <f t="shared" ref="M64:M65" ca="1" si="1">ROUND(L64,1)</f>
        <v>6.4</v>
      </c>
      <c r="N64" s="138" t="s">
        <v>2234</v>
      </c>
      <c r="Z64" s="2416"/>
      <c r="AI64" s="2417"/>
    </row>
    <row r="65" spans="1:35" ht="14.25" customHeight="1">
      <c r="A65" s="197" t="s">
        <v>771</v>
      </c>
      <c r="B65" s="198" t="s">
        <v>2235</v>
      </c>
      <c r="C65" s="202"/>
      <c r="D65" s="200"/>
      <c r="E65" s="201"/>
      <c r="F65" s="2482"/>
      <c r="G65" s="2482"/>
      <c r="H65" s="2490"/>
      <c r="I65" s="138"/>
      <c r="J65" s="3107"/>
      <c r="K65" s="2975" t="s">
        <v>2236</v>
      </c>
      <c r="L65" s="1747">
        <f ca="1">IF(M49&gt;1000,M49*0.1%,IF(AND(M49&gt;500,M49&lt;=1000),M49*0.5%,IF(AND(M49&gt;50,M49&lt;=500),M49*1%,IF(AND(M49&gt;1,M49&lt;=50),M49*1.5%))))</f>
        <v>1.071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07"/>
      <c r="K66" s="2975" t="s">
        <v>2238</v>
      </c>
      <c r="L66" s="1747">
        <f ca="1">M49*0.5%</f>
        <v>5.3550000000000004</v>
      </c>
      <c r="M66" s="24">
        <f ca="1">IF(L66&gt;0.5,0.5,ROUND(L66,0))</f>
        <v>0.5</v>
      </c>
      <c r="N66" s="138" t="s">
        <v>2239</v>
      </c>
      <c r="Z66" s="2416"/>
      <c r="AI66" s="2417"/>
    </row>
    <row r="67" spans="1:35" ht="14.25" customHeight="1">
      <c r="A67" s="203" t="s">
        <v>773</v>
      </c>
      <c r="B67" s="204" t="s">
        <v>2240</v>
      </c>
      <c r="C67" s="207">
        <f ca="1">C63-C66</f>
        <v>1020</v>
      </c>
      <c r="D67" s="200" t="s">
        <v>32</v>
      </c>
      <c r="E67" s="201"/>
      <c r="F67" s="2482"/>
      <c r="G67" s="2482"/>
      <c r="H67" s="2490"/>
      <c r="I67" s="138"/>
      <c r="J67" s="3107"/>
      <c r="K67" s="2975" t="s">
        <v>2241</v>
      </c>
      <c r="L67" s="1747">
        <f ca="1">IF(M49&gt;=10000,(8.25+(M49-10000)*0.01%),IF(AND(M49&gt;=8000,M49&lt;10000),(7.85+(M49-8000)*0.02%),IF(AND(M49&gt;=5000,M49&lt;8000),(6.65+(M49-5000)*0.04%),IF(AND(M49&gt;=2000,M49&lt;5000),(4.25+(PM49-2000)*0.08%),IF(AND(M49&gt;=1000,M49&lt;2000),(2.75+(M49-1000)*0.15%),IF(AND(M49&gt;=100,M49&lt;1000),(0.5+(M49-100)*0.25%),IF(AND(M49&gt;0,M49&lt;100),M49*0.5%)))))))</f>
        <v>2.8565</v>
      </c>
      <c r="M67" s="24">
        <f ca="1">ROUND(L67*0.9,1)</f>
        <v>2.6</v>
      </c>
      <c r="Z67" s="2416"/>
      <c r="AI67" s="2417"/>
    </row>
    <row r="68" spans="1:35" ht="14.25" customHeight="1" thickBot="1">
      <c r="A68" s="208" t="s">
        <v>774</v>
      </c>
      <c r="B68" s="209" t="s">
        <v>2242</v>
      </c>
      <c r="C68" s="210">
        <f ca="1">IF(C67&lt;=0,0,ROUND(C67*D68,0))</f>
        <v>57</v>
      </c>
      <c r="D68" s="211">
        <f>'数据-取费表'!B41</f>
        <v>5.6000000000000001E-2</v>
      </c>
      <c r="E68" s="212"/>
      <c r="F68" s="2482"/>
      <c r="G68" s="2482"/>
      <c r="H68" s="2490"/>
      <c r="I68" s="138"/>
      <c r="J68" s="3107"/>
      <c r="K68" s="2975" t="s">
        <v>2243</v>
      </c>
      <c r="L68" s="1747">
        <f ca="1">IF(M49&gt;10000,M49*0.5%,IF(AND(M49&gt;5000,M49&lt;=10000),M49*1%,IF(AND(M49&gt;1000,M49&lt;=5000),M49*2%,IF(AND(M49&gt;200,M49&lt;=1000),M49*3%,M49*5%))))</f>
        <v>21.42</v>
      </c>
      <c r="M68" s="24">
        <f ca="1">ROUND(L68,1)</f>
        <v>21.4</v>
      </c>
      <c r="Z68" s="2416"/>
      <c r="AI68" s="2417"/>
    </row>
    <row r="69" spans="1:35" s="2439" customFormat="1" ht="16.5" customHeight="1">
      <c r="A69" s="2493"/>
      <c r="B69" s="2494"/>
      <c r="C69" s="2495"/>
      <c r="D69" s="2496"/>
      <c r="E69" s="2497"/>
      <c r="F69" s="2159"/>
      <c r="G69" s="2159"/>
      <c r="H69" s="2158"/>
      <c r="I69" s="2411"/>
      <c r="J69" s="3107"/>
      <c r="K69" s="2975" t="s">
        <v>2244</v>
      </c>
      <c r="L69" s="2498"/>
      <c r="M69" s="24">
        <f ca="1">ROUND(SUM(M63:M68),0)</f>
        <v>43</v>
      </c>
      <c r="N69" s="1748">
        <f ca="1">M69/M49</f>
        <v>4.0149393090569564E-2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42" t="s">
        <v>2226</v>
      </c>
      <c r="B71" s="3143"/>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2246</v>
      </c>
      <c r="C72" s="207">
        <f ca="1">ROUND(D45/(1+'数据-取费表'!C42),0)</f>
        <v>1020</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2260</v>
      </c>
      <c r="C79" s="207">
        <f ca="1">C72-C73</f>
        <v>1014</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2261</v>
      </c>
      <c r="C80" s="227">
        <f ca="1">IF(C79&lt;=0,0,C79/C73)</f>
        <v>169</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2262</v>
      </c>
      <c r="C81" s="228">
        <f ca="1">ROUND(IF(C79&lt;=0,0,IF(C80&gt;=200%,C79*60%-C73*35%,IF(C80&gt;=100%,C79*50%-C73*15%,IF(C80&gt;=50%,C79*40%-C73*5%,IF(C80&lt;50%,C79*30%,0))))),0)</f>
        <v>606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42" t="s">
        <v>2226</v>
      </c>
      <c r="B84" s="3143"/>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2246</v>
      </c>
      <c r="C85" s="207">
        <f ca="1">ROUND(D45/(1+'数据-取费表'!C42),0)</f>
        <v>1020</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2260</v>
      </c>
      <c r="C95" s="207">
        <f ca="1">ROUND(C85-C86,0)</f>
        <v>1014</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2261</v>
      </c>
      <c r="C96" s="227">
        <f ca="1">IF(C95&lt;=0,0,C95/C86)</f>
        <v>169</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2262</v>
      </c>
      <c r="C97" s="228">
        <f ca="1">ROUND(IF(C95&lt;=0,0,IF(C96&gt;=200%,C95*60%-C86*35%,IF(C96&gt;=100%,C95*50%-C86*15%,IF(C96&gt;=50%,C95*40%-C86*5%,IF(C96&lt;50%,C95*30%,0))))),0)</f>
        <v>606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收益法 (元)</v>
      </c>
      <c r="D101" s="736" t="str">
        <f>D4</f>
        <v>比较法-办公</v>
      </c>
      <c r="E101" s="3103" t="s">
        <v>2285</v>
      </c>
      <c r="F101" s="3104"/>
      <c r="G101" s="2513" t="s">
        <v>2286</v>
      </c>
      <c r="H101" s="1044">
        <f ca="1">H118</f>
        <v>1071</v>
      </c>
      <c r="I101" s="138"/>
    </row>
    <row r="102" spans="1:35" ht="18.75" customHeight="1">
      <c r="A102" s="3133" t="s">
        <v>2287</v>
      </c>
      <c r="B102" s="2513" t="s">
        <v>2286</v>
      </c>
      <c r="C102" s="735">
        <f ca="1">C19</f>
        <v>752</v>
      </c>
      <c r="D102" s="736">
        <f ca="1">D19</f>
        <v>1207</v>
      </c>
      <c r="E102" s="3103"/>
      <c r="F102" s="3104"/>
      <c r="G102" s="2513" t="s">
        <v>2288</v>
      </c>
      <c r="H102" s="371">
        <f ca="1">I118</f>
        <v>40438</v>
      </c>
      <c r="I102" s="138"/>
    </row>
    <row r="103" spans="1:35" ht="42.75" customHeight="1">
      <c r="A103" s="3133"/>
      <c r="B103" s="2513" t="s">
        <v>2288</v>
      </c>
      <c r="C103" s="737">
        <f ca="1">C20</f>
        <v>28404</v>
      </c>
      <c r="D103" s="738">
        <f ca="1">D20</f>
        <v>45564</v>
      </c>
      <c r="E103" s="3097" t="s">
        <v>2289</v>
      </c>
      <c r="F103" s="3098"/>
      <c r="G103" s="2514" t="s">
        <v>2290</v>
      </c>
      <c r="H103" s="1044">
        <f>IF(D36="正常操作",H104+H105+H106,H105+H106)</f>
        <v>0</v>
      </c>
      <c r="I103" s="138"/>
    </row>
    <row r="104" spans="1:35" ht="18.75" customHeight="1">
      <c r="A104" s="3133" t="s">
        <v>2291</v>
      </c>
      <c r="B104" s="2515" t="s">
        <v>2286</v>
      </c>
      <c r="C104" s="739">
        <f ca="1">H118</f>
        <v>1071</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40438</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1071</v>
      </c>
      <c r="I107" s="138"/>
    </row>
    <row r="108" spans="1:35" ht="18.75" customHeight="1">
      <c r="A108" s="138"/>
      <c r="B108" s="138"/>
      <c r="C108" s="138"/>
      <c r="D108" s="138"/>
      <c r="E108" s="3134"/>
      <c r="F108" s="3104"/>
      <c r="G108" s="2513" t="s">
        <v>2288</v>
      </c>
      <c r="H108" s="371">
        <f ca="1">ROUND(H107*10000/'数据-汇总表'!E3,0)</f>
        <v>13929</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264.85000000000002</v>
      </c>
      <c r="C118" s="2973">
        <f>M19</f>
        <v>0</v>
      </c>
      <c r="D118" s="2973" t="e">
        <f ca="1">ROUND(IF(D32="总价",C34,E118*B118/10000),0)</f>
        <v>#REF!</v>
      </c>
      <c r="E118" s="2973" t="e">
        <f ca="1">ROUND(IF(C33="自定义",IF(D32="楼面单价",C34,D118*10000/B118),I118-G118),0)</f>
        <v>#REF!</v>
      </c>
      <c r="F118" s="2973" t="e">
        <f ca="1">ROUND(IF(D32="总价",C35,G118*B118/10000),0)</f>
        <v>#REF!</v>
      </c>
      <c r="G118" s="2973" t="e">
        <f ca="1">ROUND(IF(D32="楼面单价",C35,F118*10000/B118),0)</f>
        <v>#REF!</v>
      </c>
      <c r="H118" s="2973">
        <f ca="1">ROUND(IF(D32="总价",C32,I118*B118/10000),0)</f>
        <v>1071</v>
      </c>
      <c r="I118" s="2973">
        <f ca="1">ROUND(IF(D32="楼面单价",C32,H118*10000/B118),0)</f>
        <v>40438</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壹仟零柒拾壹万元整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1071</v>
      </c>
      <c r="E122" s="3111"/>
      <c r="F122" s="3111"/>
      <c r="G122" s="3111"/>
      <c r="H122" s="3111"/>
      <c r="I122" s="3112"/>
    </row>
    <row r="123" spans="1:11" ht="18.75" customHeight="1">
      <c r="A123" s="3070" t="s">
        <v>2306</v>
      </c>
      <c r="B123" s="3070"/>
      <c r="C123" s="3070"/>
      <c r="D123" s="3115" t="str">
        <f ca="1">NUMBERSTRING(INT(D122*10000),2)&amp;"元整"</f>
        <v>壹仟零柒拾壹万元整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2" customWidth="1"/>
    <col min="12" max="12" width="16.36328125" style="302" customWidth="1"/>
    <col min="13" max="13" width="13" style="302" customWidth="1"/>
    <col min="14" max="14" width="13.7265625" style="1840" customWidth="1"/>
    <col min="15" max="15" width="5.08984375" style="1840" customWidth="1"/>
    <col min="16" max="16" width="25.7265625" style="1840" customWidth="1"/>
    <col min="17" max="17" width="13.7265625" style="1840" customWidth="1"/>
    <col min="18" max="18" width="20.453125" style="1840" customWidth="1"/>
    <col min="19" max="19" width="13.26953125" style="1840" customWidth="1"/>
    <col min="20" max="37" width="9" style="1840"/>
    <col min="38" max="16384" width="9" style="302"/>
  </cols>
  <sheetData>
    <row r="1" spans="1:37" s="337" customFormat="1" ht="21">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3066</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ht="13">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5"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4"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3068</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43.5" thickBot="1">
      <c r="A48" s="1358" t="s">
        <v>1132</v>
      </c>
      <c r="B48" s="345" t="s">
        <v>1396</v>
      </c>
      <c r="C48" s="1815" t="e">
        <f ca="1">C49+C53+C55</f>
        <v>#N/A</v>
      </c>
      <c r="D48" s="1360"/>
      <c r="E48" s="1361"/>
      <c r="F48" s="1180"/>
      <c r="G48" s="791"/>
      <c r="H48" s="792"/>
      <c r="I48" s="1885" t="s">
        <v>1525</v>
      </c>
      <c r="J48" s="1886" t="s">
        <v>3069</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5"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26.5"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26.5"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40" thickTop="1" thickBot="1">
      <c r="A56" s="1175">
        <v>2</v>
      </c>
      <c r="B56" s="1176" t="s">
        <v>1409</v>
      </c>
      <c r="C56" s="276" t="e">
        <f ca="1">C13</f>
        <v>#N/A</v>
      </c>
      <c r="D56" s="1911"/>
      <c r="E56" s="1912"/>
      <c r="F56" s="1904"/>
      <c r="I56" s="1913" t="s">
        <v>1549</v>
      </c>
      <c r="J56" s="1914" t="s">
        <v>3061</v>
      </c>
      <c r="K56" s="1885" t="s">
        <v>1550</v>
      </c>
      <c r="L56" s="1888" t="e">
        <f ca="1">IF(L48&lt;J51,"——",L48-J53)</f>
        <v>#N/A</v>
      </c>
      <c r="O56" s="1882" t="s">
        <v>1037</v>
      </c>
      <c r="P56" s="1883" t="s">
        <v>1523</v>
      </c>
      <c r="Q56" s="1884" t="e">
        <f ca="1">C40+J29</f>
        <v>#N/A</v>
      </c>
      <c r="R56" s="1884" t="s">
        <v>1524</v>
      </c>
    </row>
    <row r="57" spans="1:18" s="1840" customFormat="1" ht="26.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6.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6.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2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3"/>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 thickBot="1">
      <c r="A73" s="1840"/>
      <c r="B73" s="795"/>
      <c r="C73" s="795"/>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ht="13">
      <c r="B76" s="388" t="s">
        <v>1502</v>
      </c>
      <c r="C76" s="389" t="e">
        <f ca="1">INDIRECT("'数据-取费表'!j"&amp;$G$1)</f>
        <v>#N/A</v>
      </c>
      <c r="I76" s="1840"/>
      <c r="J76" s="1840"/>
      <c r="K76" s="1866"/>
      <c r="L76" s="1840"/>
    </row>
    <row r="77" spans="1:18" ht="13.5">
      <c r="B77" s="390" t="s">
        <v>1503</v>
      </c>
      <c r="C77" s="391"/>
      <c r="I77" s="1840"/>
      <c r="J77" s="1840"/>
      <c r="K77" s="1866"/>
      <c r="L77" s="1840"/>
    </row>
    <row r="78" spans="1:18" ht="13.5">
      <c r="B78" s="314" t="s">
        <v>1504</v>
      </c>
      <c r="C78" s="392"/>
    </row>
    <row r="79" spans="1:18" ht="13">
      <c r="B79" s="386" t="s">
        <v>1505</v>
      </c>
      <c r="C79" s="318" t="e">
        <f ca="1">1-C80</f>
        <v>#N/A</v>
      </c>
    </row>
    <row r="80" spans="1:18" ht="13">
      <c r="B80" s="386" t="s">
        <v>1506</v>
      </c>
      <c r="C80" s="318" t="e">
        <f ca="1">ROUND(C75/C39,3)</f>
        <v>#N/A</v>
      </c>
    </row>
    <row r="81" spans="2:3" ht="13.5">
      <c r="B81" s="314" t="s">
        <v>1507</v>
      </c>
      <c r="C81" s="282"/>
    </row>
    <row r="82" spans="2:3" ht="13">
      <c r="B82" s="317" t="s">
        <v>1508</v>
      </c>
      <c r="C82" s="319" t="e">
        <f ca="1">1-C83</f>
        <v>#N/A</v>
      </c>
    </row>
    <row r="83" spans="2:3" ht="1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0" zoomScaleNormal="80" workbookViewId="0">
      <selection activeCell="D52" sqref="D52"/>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7.36328125" style="403" customWidth="1"/>
    <col min="6" max="6" width="12.26953125" style="403" customWidth="1"/>
    <col min="7" max="7" width="15.36328125" style="403" customWidth="1"/>
    <col min="8" max="8" width="12.26953125" style="403" customWidth="1"/>
    <col min="9" max="9" width="16"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2675</v>
      </c>
      <c r="C1" s="1618" t="s">
        <v>2519</v>
      </c>
      <c r="D1" s="1619" t="s">
        <v>3159</v>
      </c>
      <c r="E1" s="1628"/>
      <c r="F1" s="2579" t="s">
        <v>3070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1207</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45564</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1" t="s">
        <v>2634</v>
      </c>
      <c r="B4" s="402"/>
      <c r="C4" s="3217" t="s">
        <v>2635</v>
      </c>
      <c r="D4" s="3218"/>
      <c r="E4" s="3219" t="s">
        <v>2636</v>
      </c>
      <c r="F4" s="3220"/>
      <c r="G4" s="3217" t="s">
        <v>2637</v>
      </c>
      <c r="H4" s="3218"/>
      <c r="I4" s="3217" t="s">
        <v>2638</v>
      </c>
      <c r="J4" s="3218"/>
      <c r="K4" s="610" t="s">
        <v>2639</v>
      </c>
      <c r="L4" s="1129"/>
      <c r="M4" s="1130"/>
      <c r="N4" s="1130"/>
      <c r="O4" s="1130"/>
      <c r="P4" s="3221" t="s">
        <v>2640</v>
      </c>
      <c r="Q4" s="3222"/>
      <c r="R4" s="3203" t="s">
        <v>2636</v>
      </c>
      <c r="S4" s="3204"/>
      <c r="T4" s="3203" t="s">
        <v>2637</v>
      </c>
      <c r="U4" s="3204"/>
      <c r="V4" s="3229" t="s">
        <v>2638</v>
      </c>
      <c r="W4" s="3229"/>
      <c r="X4" s="2665"/>
      <c r="Y4" s="3203" t="s">
        <v>2640</v>
      </c>
      <c r="Z4" s="3204"/>
      <c r="AA4" s="3198" t="s">
        <v>2636</v>
      </c>
      <c r="AB4" s="3198" t="s">
        <v>2637</v>
      </c>
      <c r="AC4" s="3214" t="s">
        <v>2638</v>
      </c>
    </row>
    <row r="5" spans="1:29">
      <c r="A5" s="404"/>
      <c r="B5" s="405"/>
      <c r="C5" s="3209" t="s">
        <v>3164</v>
      </c>
      <c r="D5" s="3210"/>
      <c r="E5" s="3207" t="s">
        <v>3169</v>
      </c>
      <c r="F5" s="3208"/>
      <c r="G5" s="3207" t="s">
        <v>3168</v>
      </c>
      <c r="H5" s="3208"/>
      <c r="I5" s="3207" t="s">
        <v>3151</v>
      </c>
      <c r="J5" s="3208"/>
      <c r="K5" s="610"/>
      <c r="L5" s="1129"/>
      <c r="M5" s="1130"/>
      <c r="N5" s="1130"/>
      <c r="O5" s="1130"/>
      <c r="P5" s="3223"/>
      <c r="Q5" s="3224"/>
      <c r="R5" s="3205"/>
      <c r="S5" s="3206"/>
      <c r="T5" s="3205"/>
      <c r="U5" s="3206"/>
      <c r="V5" s="3230"/>
      <c r="W5" s="3230"/>
      <c r="X5" s="1811"/>
      <c r="Y5" s="3205"/>
      <c r="Z5" s="3206"/>
      <c r="AA5" s="3199"/>
      <c r="AB5" s="3199"/>
      <c r="AC5" s="3215"/>
    </row>
    <row r="6" spans="1:29" ht="15.75" customHeight="1" thickBot="1">
      <c r="A6" s="406"/>
      <c r="B6" s="407"/>
      <c r="C6" s="3211" t="s">
        <v>3129</v>
      </c>
      <c r="D6" s="3212"/>
      <c r="E6" s="3211" t="s">
        <v>3125</v>
      </c>
      <c r="F6" s="3212"/>
      <c r="G6" s="3211" t="s">
        <v>3127</v>
      </c>
      <c r="H6" s="3212"/>
      <c r="I6" s="3211" t="s">
        <v>3128</v>
      </c>
      <c r="J6" s="3212"/>
      <c r="K6" s="610" t="s">
        <v>2536</v>
      </c>
      <c r="L6" s="1129"/>
      <c r="M6" s="1130"/>
      <c r="N6" s="1130"/>
      <c r="O6" s="1130"/>
      <c r="P6" s="3225"/>
      <c r="Q6" s="3226"/>
      <c r="R6" s="3205"/>
      <c r="S6" s="3206"/>
      <c r="T6" s="3227"/>
      <c r="U6" s="3228"/>
      <c r="V6" s="3230"/>
      <c r="W6" s="3230"/>
      <c r="X6" s="1811"/>
      <c r="Y6" s="3227"/>
      <c r="Z6" s="3228"/>
      <c r="AA6" s="3200"/>
      <c r="AB6" s="3200"/>
      <c r="AC6" s="3216"/>
    </row>
    <row r="7" spans="1:29" s="117" customFormat="1" ht="14.5" thickBot="1">
      <c r="A7" s="408" t="s">
        <v>2537</v>
      </c>
      <c r="B7" s="409"/>
      <c r="C7" s="410">
        <f>'数据-取费表'!B2</f>
        <v>43908</v>
      </c>
      <c r="D7" s="411">
        <v>100</v>
      </c>
      <c r="E7" s="412">
        <f>C7</f>
        <v>43908</v>
      </c>
      <c r="F7" s="413">
        <f>SUMIF(59:59,YEAR(E7)&amp;"-"&amp;MONTH(E7),60:60)</f>
        <v>100</v>
      </c>
      <c r="G7" s="412">
        <f>E7</f>
        <v>43908</v>
      </c>
      <c r="H7" s="411">
        <f>SUMIF(59:59,YEAR(G7)&amp;"-"&amp;MONTH(G7),60:60)</f>
        <v>100</v>
      </c>
      <c r="I7" s="412">
        <f>G7</f>
        <v>43908</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4.5" thickBot="1">
      <c r="A8" s="408" t="s">
        <v>2539</v>
      </c>
      <c r="B8" s="409"/>
      <c r="C8" s="414" t="s">
        <v>2641</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2666">
        <f t="shared" si="5"/>
        <v>1</v>
      </c>
    </row>
    <row r="10" spans="1:29" s="427" customFormat="1" ht="28">
      <c r="A10" s="421"/>
      <c r="B10" s="422"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1793"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2666">
        <f t="shared" si="5"/>
        <v>1</v>
      </c>
    </row>
    <row r="12" spans="1:29" s="117" customFormat="1" ht="15.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1793">
        <f t="shared" si="6"/>
        <v>0</v>
      </c>
      <c r="R12" s="769" t="s">
        <v>17</v>
      </c>
      <c r="S12" s="770">
        <f t="shared" si="0"/>
        <v>100</v>
      </c>
      <c r="T12" s="769" t="s">
        <v>17</v>
      </c>
      <c r="U12" s="770">
        <f t="shared" si="1"/>
        <v>100</v>
      </c>
      <c r="V12" s="769" t="s">
        <v>17</v>
      </c>
      <c r="W12" s="770">
        <f t="shared" si="2"/>
        <v>100</v>
      </c>
      <c r="X12" s="771"/>
      <c r="Y12" s="3070"/>
      <c r="Z12" s="55">
        <f t="shared" si="7"/>
        <v>0</v>
      </c>
      <c r="AA12" s="772">
        <f>D12/F12</f>
        <v>1</v>
      </c>
      <c r="AB12" s="772">
        <f>D12/H12</f>
        <v>1</v>
      </c>
      <c r="AC12" s="2666">
        <f>D12/J12</f>
        <v>1</v>
      </c>
    </row>
    <row r="13" spans="1:29" ht="15.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1793">
        <f t="shared" si="6"/>
        <v>0</v>
      </c>
      <c r="R13" s="769" t="s">
        <v>17</v>
      </c>
      <c r="S13" s="770">
        <f t="shared" si="0"/>
        <v>100</v>
      </c>
      <c r="T13" s="769" t="s">
        <v>17</v>
      </c>
      <c r="U13" s="770">
        <f t="shared" si="1"/>
        <v>100</v>
      </c>
      <c r="V13" s="769" t="s">
        <v>17</v>
      </c>
      <c r="W13" s="770">
        <f t="shared" si="2"/>
        <v>100</v>
      </c>
      <c r="X13" s="771"/>
      <c r="Y13" s="3070"/>
      <c r="Z13" s="55">
        <f t="shared" si="7"/>
        <v>0</v>
      </c>
      <c r="AA13" s="772">
        <f t="shared" si="3"/>
        <v>1</v>
      </c>
      <c r="AB13" s="772">
        <f t="shared" si="4"/>
        <v>1</v>
      </c>
      <c r="AC13" s="2666">
        <f t="shared" si="5"/>
        <v>1</v>
      </c>
    </row>
    <row r="14" spans="1:29" ht="1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1793">
        <f t="shared" si="6"/>
        <v>0</v>
      </c>
      <c r="R14" s="769" t="s">
        <v>17</v>
      </c>
      <c r="S14" s="770">
        <f t="shared" si="0"/>
        <v>100</v>
      </c>
      <c r="T14" s="769" t="s">
        <v>17</v>
      </c>
      <c r="U14" s="770">
        <f t="shared" si="1"/>
        <v>100</v>
      </c>
      <c r="V14" s="769" t="s">
        <v>17</v>
      </c>
      <c r="W14" s="770">
        <f t="shared" si="2"/>
        <v>100</v>
      </c>
      <c r="X14" s="771"/>
      <c r="Y14" s="3070"/>
      <c r="Z14" s="55">
        <f t="shared" si="7"/>
        <v>0</v>
      </c>
      <c r="AA14" s="772">
        <f t="shared" si="3"/>
        <v>1</v>
      </c>
      <c r="AB14" s="772">
        <f t="shared" si="4"/>
        <v>1</v>
      </c>
      <c r="AC14" s="2666">
        <f t="shared" si="5"/>
        <v>1</v>
      </c>
    </row>
    <row r="15" spans="1:29" ht="140">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3137</v>
      </c>
      <c r="F15" s="441">
        <f>SUMIF(77:77,E16,78:78)-SUMIF(77:77,C16,78:78)+100</f>
        <v>100</v>
      </c>
      <c r="G15" s="2988" t="s">
        <v>3138</v>
      </c>
      <c r="H15" s="441">
        <f>SUMIF(77:77,G16,78:78)-SUMIF(77:77,C16,78:78)+100</f>
        <v>100</v>
      </c>
      <c r="I15" s="2988" t="s">
        <v>3139</v>
      </c>
      <c r="J15" s="441">
        <f>SUMIF(77:77,I16,78:78)-SUMIF(77:77,C16,78:78)+100</f>
        <v>100</v>
      </c>
      <c r="K15" s="614">
        <v>2</v>
      </c>
      <c r="L15" s="1139"/>
      <c r="M15" s="1130"/>
      <c r="N15" s="1130"/>
      <c r="O15" s="1130"/>
      <c r="P15" s="3233" t="s">
        <v>2549</v>
      </c>
      <c r="Q15" s="1808" t="str">
        <f t="shared" si="6"/>
        <v>办公集聚程度</v>
      </c>
      <c r="R15" s="773" t="s">
        <v>17</v>
      </c>
      <c r="S15" s="774">
        <f t="shared" si="0"/>
        <v>100</v>
      </c>
      <c r="T15" s="773" t="s">
        <v>17</v>
      </c>
      <c r="U15" s="774">
        <f t="shared" si="1"/>
        <v>100</v>
      </c>
      <c r="V15" s="773" t="s">
        <v>17</v>
      </c>
      <c r="W15" s="774">
        <f t="shared" si="2"/>
        <v>100</v>
      </c>
      <c r="X15" s="1811"/>
      <c r="Y15" s="3235" t="s">
        <v>2549</v>
      </c>
      <c r="Z15" s="1812" t="str">
        <f t="shared" si="7"/>
        <v>办公集聚程度</v>
      </c>
      <c r="AA15" s="1809">
        <f t="shared" si="3"/>
        <v>1</v>
      </c>
      <c r="AB15" s="1809">
        <f t="shared" si="4"/>
        <v>1</v>
      </c>
      <c r="AC15" s="2669">
        <f t="shared" si="5"/>
        <v>1</v>
      </c>
    </row>
    <row r="16" spans="1:29" ht="15.5">
      <c r="A16" s="428"/>
      <c r="B16" s="630"/>
      <c r="C16" s="2606" t="s">
        <v>3078</v>
      </c>
      <c r="D16" s="448"/>
      <c r="E16" s="447" t="s">
        <v>3078</v>
      </c>
      <c r="F16" s="448"/>
      <c r="G16" s="2606" t="s">
        <v>3078</v>
      </c>
      <c r="H16" s="450"/>
      <c r="I16" s="447" t="s">
        <v>3078</v>
      </c>
      <c r="J16" s="448"/>
      <c r="K16" s="615"/>
      <c r="L16" s="1139"/>
      <c r="M16" s="1130"/>
      <c r="N16" s="1130"/>
      <c r="O16" s="1130"/>
      <c r="P16" s="3234"/>
      <c r="Q16" s="1808"/>
      <c r="R16" s="773"/>
      <c r="S16" s="774"/>
      <c r="T16" s="773"/>
      <c r="U16" s="774"/>
      <c r="V16" s="773"/>
      <c r="W16" s="774"/>
      <c r="X16" s="1811"/>
      <c r="Y16" s="3236"/>
      <c r="Z16" s="1812"/>
      <c r="AA16" s="1809">
        <v>1</v>
      </c>
      <c r="AB16" s="1809">
        <v>1</v>
      </c>
      <c r="AC16" s="2669">
        <v>1</v>
      </c>
    </row>
    <row r="17" spans="1:29" ht="282">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3140</v>
      </c>
      <c r="F17" s="450">
        <f>SUMIF(79:79,E18,80:80)-SUMIF(79:79,C18,80:80)+100</f>
        <v>100</v>
      </c>
      <c r="G17" s="454" t="s">
        <v>3140</v>
      </c>
      <c r="H17" s="455">
        <f>SUMIF(79:79,G18,80:80)-SUMIF(79:79,C18,80:80)+100</f>
        <v>100</v>
      </c>
      <c r="I17" s="454" t="s">
        <v>3140</v>
      </c>
      <c r="J17" s="455">
        <f>SUMIF(79:79,I18,80:80)-SUMIF(79:79,C18,80:80)+100</f>
        <v>100</v>
      </c>
      <c r="K17" s="614">
        <v>1</v>
      </c>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2669">
        <f t="shared" si="5"/>
        <v>1</v>
      </c>
    </row>
    <row r="18" spans="1:29" ht="15.5">
      <c r="A18" s="428"/>
      <c r="B18" s="632"/>
      <c r="C18" s="2671" t="s">
        <v>3078</v>
      </c>
      <c r="D18" s="450"/>
      <c r="E18" s="2671" t="s">
        <v>3078</v>
      </c>
      <c r="F18" s="450"/>
      <c r="G18" s="2671" t="s">
        <v>3078</v>
      </c>
      <c r="H18" s="448"/>
      <c r="I18" s="2671" t="s">
        <v>3078</v>
      </c>
      <c r="J18" s="448"/>
      <c r="K18" s="615"/>
      <c r="L18" s="1139"/>
      <c r="M18" s="1130"/>
      <c r="N18" s="1130"/>
      <c r="O18" s="1130"/>
      <c r="P18" s="3234"/>
      <c r="Q18" s="1808"/>
      <c r="R18" s="773"/>
      <c r="S18" s="774"/>
      <c r="T18" s="773"/>
      <c r="U18" s="774"/>
      <c r="V18" s="773"/>
      <c r="W18" s="774"/>
      <c r="X18" s="1811"/>
      <c r="Y18" s="3236"/>
      <c r="Z18" s="1812"/>
      <c r="AA18" s="1809">
        <v>1</v>
      </c>
      <c r="AB18" s="1809">
        <v>1</v>
      </c>
      <c r="AC18" s="2669">
        <v>1</v>
      </c>
    </row>
    <row r="19" spans="1:29" ht="280">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3142</v>
      </c>
      <c r="F19" s="455">
        <f>SUMIF(81:81,E20,82:82)-SUMIF(81:81,C20,82:82)+100</f>
        <v>100</v>
      </c>
      <c r="G19" s="2989" t="s">
        <v>3141</v>
      </c>
      <c r="H19" s="450">
        <f>SUMIF(81:81,G20,82:82)-SUMIF(81:81,C20,82:82)+100</f>
        <v>100</v>
      </c>
      <c r="I19" s="2989" t="s">
        <v>3141</v>
      </c>
      <c r="J19" s="450">
        <f>SUMIF(81:81,I20,82:82)-SUMIF(81:81,C20,82:82)+100</f>
        <v>100</v>
      </c>
      <c r="K19" s="614">
        <v>1</v>
      </c>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2669">
        <f t="shared" si="5"/>
        <v>1</v>
      </c>
    </row>
    <row r="20" spans="1:29" ht="15.5">
      <c r="A20" s="428"/>
      <c r="B20" s="632"/>
      <c r="C20" s="2606" t="s">
        <v>3078</v>
      </c>
      <c r="D20" s="448"/>
      <c r="E20" s="2606" t="s">
        <v>3078</v>
      </c>
      <c r="F20" s="448"/>
      <c r="G20" s="2606" t="s">
        <v>3078</v>
      </c>
      <c r="H20" s="448"/>
      <c r="I20" s="2606" t="s">
        <v>3078</v>
      </c>
      <c r="J20" s="448"/>
      <c r="K20" s="615"/>
      <c r="L20" s="1139"/>
      <c r="M20" s="1130"/>
      <c r="N20" s="1130"/>
      <c r="O20" s="1130"/>
      <c r="P20" s="3234"/>
      <c r="Q20" s="1808"/>
      <c r="R20" s="773"/>
      <c r="S20" s="774"/>
      <c r="T20" s="773"/>
      <c r="U20" s="774"/>
      <c r="V20" s="773"/>
      <c r="W20" s="774"/>
      <c r="X20" s="1811"/>
      <c r="Y20" s="3236"/>
      <c r="Z20" s="1812"/>
      <c r="AA20" s="1809">
        <v>1</v>
      </c>
      <c r="AB20" s="1809">
        <v>1</v>
      </c>
      <c r="AC20" s="2669">
        <v>1</v>
      </c>
    </row>
    <row r="21" spans="1:29" ht="28">
      <c r="A21" s="428"/>
      <c r="B21" s="633" t="s">
        <v>2678</v>
      </c>
      <c r="C21" s="2670" t="str">
        <f>估价对象房地状况!C8</f>
        <v>区域基础设施水平为七通</v>
      </c>
      <c r="D21" s="450">
        <v>100</v>
      </c>
      <c r="E21" s="2990" t="s">
        <v>3135</v>
      </c>
      <c r="F21" s="455">
        <f>SUMIF(83:83,E22,84:84)-SUMIF(83:83,C22,84:84)+100</f>
        <v>100</v>
      </c>
      <c r="G21" s="2989" t="s">
        <v>3135</v>
      </c>
      <c r="H21" s="450">
        <f>SUMIF(83:83,G22,84:84)-SUMIF(83:83,C22,84:84)+100</f>
        <v>100</v>
      </c>
      <c r="I21" s="2989" t="s">
        <v>3135</v>
      </c>
      <c r="J21" s="450">
        <f>SUMIF(83:83,I22,84:84)-SUMIF(83:83,C22,84:84)+100</f>
        <v>100</v>
      </c>
      <c r="K21" s="614">
        <v>2</v>
      </c>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2669">
        <f t="shared" ref="AC21" si="10">D21/J21</f>
        <v>1</v>
      </c>
    </row>
    <row r="22" spans="1:29" ht="15.5">
      <c r="A22" s="428"/>
      <c r="B22" s="633"/>
      <c r="C22" s="2671" t="s">
        <v>3110</v>
      </c>
      <c r="D22" s="448"/>
      <c r="E22" s="2671" t="s">
        <v>3110</v>
      </c>
      <c r="F22" s="448"/>
      <c r="G22" s="2671" t="s">
        <v>3110</v>
      </c>
      <c r="H22" s="448"/>
      <c r="I22" s="2671" t="s">
        <v>3110</v>
      </c>
      <c r="J22" s="448"/>
      <c r="K22" s="1381"/>
      <c r="L22" s="1139"/>
      <c r="M22" s="1130"/>
      <c r="N22" s="1130"/>
      <c r="O22" s="1130"/>
      <c r="P22" s="3234"/>
      <c r="Q22" s="1808"/>
      <c r="R22" s="773"/>
      <c r="S22" s="774"/>
      <c r="T22" s="773"/>
      <c r="U22" s="774"/>
      <c r="V22" s="773"/>
      <c r="W22" s="774"/>
      <c r="X22" s="1811"/>
      <c r="Y22" s="3236"/>
      <c r="Z22" s="1812"/>
      <c r="AA22" s="1809">
        <v>1</v>
      </c>
      <c r="AB22" s="1809">
        <v>1</v>
      </c>
      <c r="AC22" s="2669">
        <v>1</v>
      </c>
    </row>
    <row r="23" spans="1:29" ht="224">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3145</v>
      </c>
      <c r="F23" s="450">
        <f>SUMIF(85:85,E24,86:86)-SUMIF(85:85,C24,86:86)+100</f>
        <v>100</v>
      </c>
      <c r="G23" s="2992" t="s">
        <v>3144</v>
      </c>
      <c r="H23" s="450">
        <f>SUMIF(85:85,G24,86:86)-SUMIF(85:85,C24,86:86)+100</f>
        <v>100</v>
      </c>
      <c r="I23" s="2992" t="s">
        <v>3144</v>
      </c>
      <c r="J23" s="450">
        <f>SUMIF(85:85,I24,86:86)-SUMIF(85:85,C24,86:86)+100</f>
        <v>100</v>
      </c>
      <c r="K23" s="614">
        <v>2</v>
      </c>
      <c r="L23" s="1139"/>
      <c r="M23" s="1130"/>
      <c r="N23" s="1130"/>
      <c r="O23" s="1130"/>
      <c r="P23" s="3234"/>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2669">
        <f t="shared" si="5"/>
        <v>1</v>
      </c>
    </row>
    <row r="24" spans="1:29" ht="15.5">
      <c r="A24" s="428"/>
      <c r="B24" s="633"/>
      <c r="C24" s="2606" t="s">
        <v>3078</v>
      </c>
      <c r="D24" s="448"/>
      <c r="E24" s="2606" t="s">
        <v>3078</v>
      </c>
      <c r="F24" s="448"/>
      <c r="G24" s="2606" t="s">
        <v>3078</v>
      </c>
      <c r="H24" s="448"/>
      <c r="I24" s="2606" t="s">
        <v>3078</v>
      </c>
      <c r="J24" s="448"/>
      <c r="K24" s="615"/>
      <c r="L24" s="1139"/>
      <c r="M24" s="1130"/>
      <c r="N24" s="1130"/>
      <c r="O24" s="1130"/>
      <c r="P24" s="3234"/>
      <c r="Q24" s="1808"/>
      <c r="R24" s="773"/>
      <c r="S24" s="774"/>
      <c r="T24" s="773"/>
      <c r="U24" s="774"/>
      <c r="V24" s="773"/>
      <c r="W24" s="774"/>
      <c r="X24" s="1811"/>
      <c r="Y24" s="3236"/>
      <c r="Z24" s="1812"/>
      <c r="AA24" s="1809">
        <v>1</v>
      </c>
      <c r="AB24" s="1809">
        <v>1</v>
      </c>
      <c r="AC24" s="2669">
        <v>1</v>
      </c>
    </row>
    <row r="25" spans="1:29" ht="28">
      <c r="A25" s="404"/>
      <c r="B25" s="631" t="s">
        <v>2680</v>
      </c>
      <c r="C25" s="2963" t="s">
        <v>3119</v>
      </c>
      <c r="D25" s="435">
        <v>100</v>
      </c>
      <c r="E25" s="2963" t="s">
        <v>3132</v>
      </c>
      <c r="F25" s="435">
        <f>SUMIF(87:87,E26,88:88)-SUMIF(87:87,C26,88:88)+100</f>
        <v>100</v>
      </c>
      <c r="G25" s="2963" t="s">
        <v>3126</v>
      </c>
      <c r="H25" s="435">
        <f>SUMIF(87:87,G26,88:88)-SUMIF(87:87,C26,88:88)+100</f>
        <v>100</v>
      </c>
      <c r="I25" s="2963" t="s">
        <v>3126</v>
      </c>
      <c r="J25" s="435">
        <f>SUMIF(87:87,I26,88:88)-SUMIF(87:87,C26,88:88)+100</f>
        <v>100</v>
      </c>
      <c r="K25" s="614">
        <v>1</v>
      </c>
      <c r="L25" s="1139"/>
      <c r="M25" s="1130"/>
      <c r="N25" s="1130"/>
      <c r="O25" s="1130"/>
      <c r="P25" s="3234"/>
      <c r="Q25" s="1808" t="str">
        <f>B25</f>
        <v>毗邻道路的类型与等级</v>
      </c>
      <c r="R25" s="773" t="s">
        <v>17</v>
      </c>
      <c r="S25" s="774">
        <f>F25</f>
        <v>100</v>
      </c>
      <c r="T25" s="773" t="s">
        <v>17</v>
      </c>
      <c r="U25" s="774">
        <f>H25</f>
        <v>100</v>
      </c>
      <c r="V25" s="773" t="s">
        <v>17</v>
      </c>
      <c r="W25" s="774">
        <f>J25</f>
        <v>100</v>
      </c>
      <c r="X25" s="1811"/>
      <c r="Y25" s="3236"/>
      <c r="Z25" s="1812" t="str">
        <f>Q25</f>
        <v>毗邻道路的类型与等级</v>
      </c>
      <c r="AA25" s="1809">
        <f t="shared" si="3"/>
        <v>1</v>
      </c>
      <c r="AB25" s="1809">
        <f t="shared" si="4"/>
        <v>1</v>
      </c>
      <c r="AC25" s="2669">
        <f t="shared" si="5"/>
        <v>1</v>
      </c>
    </row>
    <row r="26" spans="1:29" ht="15.5">
      <c r="A26" s="404"/>
      <c r="B26" s="632"/>
      <c r="C26" s="634" t="s">
        <v>3088</v>
      </c>
      <c r="D26" s="435"/>
      <c r="E26" s="616" t="s">
        <v>3088</v>
      </c>
      <c r="F26" s="435"/>
      <c r="G26" s="634" t="s">
        <v>3088</v>
      </c>
      <c r="H26" s="435"/>
      <c r="I26" s="634" t="s">
        <v>3088</v>
      </c>
      <c r="J26" s="435"/>
      <c r="K26" s="615"/>
      <c r="L26" s="1139"/>
      <c r="M26" s="1130"/>
      <c r="N26" s="1130"/>
      <c r="O26" s="1130"/>
      <c r="P26" s="3234"/>
      <c r="Q26" s="1808"/>
      <c r="R26" s="773"/>
      <c r="S26" s="774"/>
      <c r="T26" s="773"/>
      <c r="U26" s="774"/>
      <c r="V26" s="773"/>
      <c r="W26" s="774"/>
      <c r="X26" s="1811"/>
      <c r="Y26" s="3236"/>
      <c r="Z26" s="1812"/>
      <c r="AA26" s="1809">
        <v>1</v>
      </c>
      <c r="AB26" s="1809">
        <v>1</v>
      </c>
      <c r="AC26" s="2669">
        <v>1</v>
      </c>
    </row>
    <row r="27" spans="1:29" ht="15.5">
      <c r="A27" s="428"/>
      <c r="B27" s="632" t="s">
        <v>2648</v>
      </c>
      <c r="C27" s="634" t="s">
        <v>3091</v>
      </c>
      <c r="D27" s="435">
        <v>100</v>
      </c>
      <c r="E27" s="616" t="s">
        <v>3093</v>
      </c>
      <c r="F27" s="435">
        <f>SUMIF(89:89,E27,90:90)-SUMIF(89:89,C27,90:90)+100</f>
        <v>99</v>
      </c>
      <c r="G27" s="634" t="s">
        <v>3093</v>
      </c>
      <c r="H27" s="435">
        <f>SUMIF(89:89,G27,90:90)-SUMIF(89:89,C27,90:90)+100</f>
        <v>99</v>
      </c>
      <c r="I27" s="616" t="s">
        <v>3093</v>
      </c>
      <c r="J27" s="435">
        <f>SUMIF(89:89,I27,90:90)-SUMIF(89:89,C27,90:90)+100</f>
        <v>99</v>
      </c>
      <c r="K27" s="612">
        <v>1</v>
      </c>
      <c r="L27" s="1139"/>
      <c r="M27" s="1130"/>
      <c r="N27" s="1130"/>
      <c r="O27" s="1130"/>
      <c r="P27" s="3234"/>
      <c r="Q27" s="1808" t="str">
        <f t="shared" ref="Q27:Q47" si="11">B27</f>
        <v>楼层</v>
      </c>
      <c r="R27" s="773" t="s">
        <v>17</v>
      </c>
      <c r="S27" s="774">
        <f>F27</f>
        <v>99</v>
      </c>
      <c r="T27" s="773" t="s">
        <v>17</v>
      </c>
      <c r="U27" s="774">
        <f>H27</f>
        <v>99</v>
      </c>
      <c r="V27" s="773" t="s">
        <v>17</v>
      </c>
      <c r="W27" s="774">
        <f>J27</f>
        <v>99</v>
      </c>
      <c r="X27" s="1811"/>
      <c r="Y27" s="3236"/>
      <c r="Z27" s="1812" t="str">
        <f>Q27</f>
        <v>楼层</v>
      </c>
      <c r="AA27" s="1809">
        <f t="shared" si="3"/>
        <v>1.0101010101010102</v>
      </c>
      <c r="AB27" s="1809">
        <f t="shared" si="4"/>
        <v>1.0101010101010102</v>
      </c>
      <c r="AC27" s="2669">
        <f t="shared" si="5"/>
        <v>1.0101010101010102</v>
      </c>
    </row>
    <row r="28" spans="1:29" s="117" customFormat="1" ht="15.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34"/>
      <c r="Q28" s="1793" t="str">
        <f t="shared" si="11"/>
        <v>朝向</v>
      </c>
      <c r="R28" s="769" t="s">
        <v>17</v>
      </c>
      <c r="S28" s="770">
        <f>F28</f>
        <v>100</v>
      </c>
      <c r="T28" s="769" t="s">
        <v>17</v>
      </c>
      <c r="U28" s="770">
        <f>H28</f>
        <v>100</v>
      </c>
      <c r="V28" s="769" t="s">
        <v>17</v>
      </c>
      <c r="W28" s="770">
        <f>J28</f>
        <v>100</v>
      </c>
      <c r="X28" s="771"/>
      <c r="Y28" s="3236"/>
      <c r="Z28" s="55" t="str">
        <f>Q28</f>
        <v>朝向</v>
      </c>
      <c r="AA28" s="1809">
        <f>D28/F28</f>
        <v>1</v>
      </c>
      <c r="AB28" s="1809">
        <f>D28/H28</f>
        <v>1</v>
      </c>
      <c r="AC28" s="2669">
        <f>D28/J28</f>
        <v>1</v>
      </c>
    </row>
    <row r="29" spans="1:29" ht="15.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1808">
        <f t="shared" si="11"/>
        <v>0</v>
      </c>
      <c r="R29" s="773" t="s">
        <v>17</v>
      </c>
      <c r="S29" s="774">
        <f t="shared" ref="S29:S47" si="12">F29</f>
        <v>100</v>
      </c>
      <c r="T29" s="773" t="s">
        <v>17</v>
      </c>
      <c r="U29" s="774">
        <f t="shared" ref="U29:U47" si="13">H29</f>
        <v>100</v>
      </c>
      <c r="V29" s="773" t="s">
        <v>17</v>
      </c>
      <c r="W29" s="774">
        <f t="shared" ref="W29:W47" si="14">J29</f>
        <v>100</v>
      </c>
      <c r="X29" s="1811"/>
      <c r="Y29" s="3236"/>
      <c r="Z29" s="1812">
        <f t="shared" ref="Z29:Z47" si="15">Q29</f>
        <v>0</v>
      </c>
      <c r="AA29" s="1809">
        <f t="shared" si="3"/>
        <v>1</v>
      </c>
      <c r="AB29" s="1809">
        <f t="shared" si="4"/>
        <v>1</v>
      </c>
      <c r="AC29" s="2669">
        <f t="shared" si="5"/>
        <v>1</v>
      </c>
    </row>
    <row r="30" spans="1:29" ht="15.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1808">
        <f t="shared" si="11"/>
        <v>0</v>
      </c>
      <c r="R30" s="773" t="s">
        <v>17</v>
      </c>
      <c r="S30" s="774">
        <f t="shared" si="12"/>
        <v>100</v>
      </c>
      <c r="T30" s="773" t="s">
        <v>17</v>
      </c>
      <c r="U30" s="774">
        <f t="shared" si="13"/>
        <v>100</v>
      </c>
      <c r="V30" s="773" t="s">
        <v>17</v>
      </c>
      <c r="W30" s="774">
        <f t="shared" si="14"/>
        <v>100</v>
      </c>
      <c r="X30" s="1811"/>
      <c r="Y30" s="3236"/>
      <c r="Z30" s="1812">
        <f t="shared" si="15"/>
        <v>0</v>
      </c>
      <c r="AA30" s="1809">
        <f t="shared" si="3"/>
        <v>1</v>
      </c>
      <c r="AB30" s="1809">
        <f t="shared" si="4"/>
        <v>1</v>
      </c>
      <c r="AC30" s="2669">
        <f t="shared" si="5"/>
        <v>1</v>
      </c>
    </row>
    <row r="31" spans="1:29" ht="15.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1808">
        <f t="shared" si="11"/>
        <v>0</v>
      </c>
      <c r="R31" s="773" t="s">
        <v>17</v>
      </c>
      <c r="S31" s="774">
        <f t="shared" si="12"/>
        <v>100</v>
      </c>
      <c r="T31" s="773" t="s">
        <v>17</v>
      </c>
      <c r="U31" s="774">
        <f t="shared" si="13"/>
        <v>100</v>
      </c>
      <c r="V31" s="773" t="s">
        <v>17</v>
      </c>
      <c r="W31" s="774">
        <f t="shared" si="14"/>
        <v>100</v>
      </c>
      <c r="X31" s="1811"/>
      <c r="Y31" s="3236"/>
      <c r="Z31" s="1812">
        <f t="shared" si="15"/>
        <v>0</v>
      </c>
      <c r="AA31" s="1809">
        <f t="shared" si="3"/>
        <v>1</v>
      </c>
      <c r="AB31" s="1809">
        <f t="shared" si="4"/>
        <v>1</v>
      </c>
      <c r="AC31" s="2669">
        <f t="shared" si="5"/>
        <v>1</v>
      </c>
    </row>
    <row r="32" spans="1:29" ht="1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1808">
        <f t="shared" si="11"/>
        <v>0</v>
      </c>
      <c r="R32" s="773" t="s">
        <v>17</v>
      </c>
      <c r="S32" s="774">
        <f t="shared" si="12"/>
        <v>100</v>
      </c>
      <c r="T32" s="773" t="s">
        <v>17</v>
      </c>
      <c r="U32" s="774">
        <f t="shared" si="13"/>
        <v>100</v>
      </c>
      <c r="V32" s="773" t="s">
        <v>17</v>
      </c>
      <c r="W32" s="774">
        <f t="shared" si="14"/>
        <v>100</v>
      </c>
      <c r="X32" s="1811"/>
      <c r="Y32" s="3236"/>
      <c r="Z32" s="1812">
        <f t="shared" si="15"/>
        <v>0</v>
      </c>
      <c r="AA32" s="1809">
        <f t="shared" si="3"/>
        <v>1</v>
      </c>
      <c r="AB32" s="1809">
        <f t="shared" si="4"/>
        <v>1</v>
      </c>
      <c r="AC32" s="2669">
        <f t="shared" si="5"/>
        <v>1</v>
      </c>
    </row>
    <row r="33" spans="1:29" ht="15.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1808" t="str">
        <f t="shared" si="11"/>
        <v>建筑类型</v>
      </c>
      <c r="R33" s="773" t="s">
        <v>17</v>
      </c>
      <c r="S33" s="774">
        <f t="shared" si="12"/>
        <v>100</v>
      </c>
      <c r="T33" s="773" t="s">
        <v>17</v>
      </c>
      <c r="U33" s="774">
        <f t="shared" si="13"/>
        <v>100</v>
      </c>
      <c r="V33" s="773" t="s">
        <v>17</v>
      </c>
      <c r="W33" s="774">
        <f t="shared" si="14"/>
        <v>100</v>
      </c>
      <c r="X33" s="1811"/>
      <c r="Y33" s="3240" t="s">
        <v>2554</v>
      </c>
      <c r="Z33" s="1812" t="str">
        <f t="shared" si="15"/>
        <v>建筑类型</v>
      </c>
      <c r="AA33" s="1809">
        <f t="shared" si="3"/>
        <v>1</v>
      </c>
      <c r="AB33" s="1809">
        <f t="shared" si="4"/>
        <v>1</v>
      </c>
      <c r="AC33" s="2669">
        <f t="shared" si="5"/>
        <v>1</v>
      </c>
    </row>
    <row r="34" spans="1:29" s="471" customFormat="1" ht="15.5">
      <c r="A34" s="468"/>
      <c r="B34" s="2994" t="s">
        <v>2555</v>
      </c>
      <c r="C34" s="469">
        <f>'数据-汇总表'!F19</f>
        <v>264.85000000000002</v>
      </c>
      <c r="D34" s="136">
        <v>100</v>
      </c>
      <c r="E34" s="430">
        <v>71</v>
      </c>
      <c r="F34" s="425">
        <f>LOOKUP(E34,104:104,105:105)-LOOKUP(C34,104:104,105:105)+100</f>
        <v>99</v>
      </c>
      <c r="G34" s="429">
        <v>1500</v>
      </c>
      <c r="H34" s="136">
        <f>LOOKUP(G34,104:104,105:105)-LOOKUP(C34,104:104,105:105)+100</f>
        <v>104</v>
      </c>
      <c r="I34" s="429">
        <v>225</v>
      </c>
      <c r="J34" s="136">
        <f>LOOKUP(I34,104:104,105:105)-LOOKUP(C34,104:104,105:105)+100</f>
        <v>100</v>
      </c>
      <c r="K34" s="613"/>
      <c r="L34" s="1137"/>
      <c r="M34" s="1140"/>
      <c r="N34" s="1140"/>
      <c r="O34" s="1140"/>
      <c r="P34" s="3238"/>
      <c r="Q34" s="775" t="str">
        <f t="shared" si="11"/>
        <v>项目建筑规模</v>
      </c>
      <c r="R34" s="776" t="s">
        <v>17</v>
      </c>
      <c r="S34" s="777">
        <f t="shared" si="12"/>
        <v>99</v>
      </c>
      <c r="T34" s="776" t="s">
        <v>17</v>
      </c>
      <c r="U34" s="777">
        <f t="shared" si="13"/>
        <v>104</v>
      </c>
      <c r="V34" s="776" t="s">
        <v>17</v>
      </c>
      <c r="W34" s="777">
        <f t="shared" si="14"/>
        <v>100</v>
      </c>
      <c r="X34" s="778"/>
      <c r="Y34" s="3240"/>
      <c r="Z34" s="779" t="str">
        <f t="shared" si="15"/>
        <v>项目建筑规模</v>
      </c>
      <c r="AA34" s="1809">
        <f t="shared" si="3"/>
        <v>1.0101010101010102</v>
      </c>
      <c r="AB34" s="1809">
        <f t="shared" si="4"/>
        <v>0.96153846153846156</v>
      </c>
      <c r="AC34" s="2669">
        <f t="shared" si="5"/>
        <v>1</v>
      </c>
    </row>
    <row r="35" spans="1:29" ht="15.5">
      <c r="A35" s="472"/>
      <c r="B35" s="422"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1808" t="str">
        <f t="shared" si="11"/>
        <v>建筑结构</v>
      </c>
      <c r="R35" s="773" t="s">
        <v>17</v>
      </c>
      <c r="S35" s="774">
        <f t="shared" si="12"/>
        <v>100</v>
      </c>
      <c r="T35" s="773" t="s">
        <v>17</v>
      </c>
      <c r="U35" s="774">
        <f t="shared" si="13"/>
        <v>100</v>
      </c>
      <c r="V35" s="773" t="s">
        <v>17</v>
      </c>
      <c r="W35" s="774">
        <f t="shared" si="14"/>
        <v>100</v>
      </c>
      <c r="X35" s="1811"/>
      <c r="Y35" s="3240"/>
      <c r="Z35" s="1812" t="str">
        <f t="shared" si="15"/>
        <v>建筑结构</v>
      </c>
      <c r="AA35" s="1809">
        <f t="shared" si="3"/>
        <v>1</v>
      </c>
      <c r="AB35" s="1809">
        <f t="shared" si="4"/>
        <v>1</v>
      </c>
      <c r="AC35" s="2669">
        <f t="shared" si="5"/>
        <v>1</v>
      </c>
    </row>
    <row r="36" spans="1:29" ht="15.5">
      <c r="A36" s="472"/>
      <c r="B36" s="422" t="s">
        <v>2650</v>
      </c>
      <c r="C36" s="460" t="s">
        <v>3136</v>
      </c>
      <c r="D36" s="435">
        <v>100</v>
      </c>
      <c r="E36" s="460" t="s">
        <v>3136</v>
      </c>
      <c r="F36" s="461">
        <f>SUMIF(108:108,E36,109:109)-SUMIF(108:108,C36,109:109)+100</f>
        <v>100</v>
      </c>
      <c r="G36" s="460" t="s">
        <v>3136</v>
      </c>
      <c r="H36" s="435">
        <f>SUMIF(108:108,G36,109:109)-SUMIF(108:108,C36,109:109)+100</f>
        <v>100</v>
      </c>
      <c r="I36" s="460" t="s">
        <v>3136</v>
      </c>
      <c r="J36" s="435">
        <f>SUMIF(108:108,I36,109:109)-SUMIF(108:108,C36,109:109)+100</f>
        <v>100</v>
      </c>
      <c r="K36" s="612">
        <v>1</v>
      </c>
      <c r="L36" s="1139"/>
      <c r="M36" s="1130"/>
      <c r="N36" s="1130"/>
      <c r="O36" s="1130"/>
      <c r="P36" s="3238"/>
      <c r="Q36" s="1808" t="str">
        <f t="shared" si="11"/>
        <v>公共部分装修</v>
      </c>
      <c r="R36" s="773" t="s">
        <v>17</v>
      </c>
      <c r="S36" s="774">
        <f t="shared" si="12"/>
        <v>100</v>
      </c>
      <c r="T36" s="773" t="s">
        <v>17</v>
      </c>
      <c r="U36" s="774">
        <f t="shared" si="13"/>
        <v>100</v>
      </c>
      <c r="V36" s="773" t="s">
        <v>17</v>
      </c>
      <c r="W36" s="774">
        <f t="shared" si="14"/>
        <v>100</v>
      </c>
      <c r="X36" s="1811"/>
      <c r="Y36" s="3240"/>
      <c r="Z36" s="1812" t="str">
        <f t="shared" si="15"/>
        <v>公共部分装修</v>
      </c>
      <c r="AA36" s="1809">
        <f t="shared" si="3"/>
        <v>1</v>
      </c>
      <c r="AB36" s="1809">
        <f t="shared" si="4"/>
        <v>1</v>
      </c>
      <c r="AC36" s="2669">
        <f t="shared" si="5"/>
        <v>1</v>
      </c>
    </row>
    <row r="37" spans="1:29" ht="15.5">
      <c r="A37" s="472"/>
      <c r="B37" s="422" t="s">
        <v>2651</v>
      </c>
      <c r="C37" s="474">
        <f>'数据-取费表'!N6</f>
        <v>0.9</v>
      </c>
      <c r="D37" s="435">
        <v>100</v>
      </c>
      <c r="E37" s="474">
        <v>0.95</v>
      </c>
      <c r="F37" s="461">
        <f>LOOKUP(E37,111:111,112:112)-LOOKUP(C37,111:111,112:112)+100</f>
        <v>100</v>
      </c>
      <c r="G37" s="474">
        <v>0.98</v>
      </c>
      <c r="H37" s="461">
        <f>LOOKUP(G37,111:111,112:112)-LOOKUP(C37,111:111,112:112)+100</f>
        <v>100</v>
      </c>
      <c r="I37" s="474">
        <v>0.95</v>
      </c>
      <c r="J37" s="435">
        <f>LOOKUP(I37,111:111,112:112)-LOOKUP(C37,111:111,112:112)+100</f>
        <v>100</v>
      </c>
      <c r="K37" s="612">
        <v>1</v>
      </c>
      <c r="L37" s="1139"/>
      <c r="M37" s="1130"/>
      <c r="N37" s="1130"/>
      <c r="O37" s="1130"/>
      <c r="P37" s="3238"/>
      <c r="Q37" s="1808" t="str">
        <f t="shared" si="11"/>
        <v>成新度</v>
      </c>
      <c r="R37" s="773" t="s">
        <v>17</v>
      </c>
      <c r="S37" s="774">
        <f t="shared" si="12"/>
        <v>100</v>
      </c>
      <c r="T37" s="773" t="s">
        <v>17</v>
      </c>
      <c r="U37" s="774">
        <f t="shared" si="13"/>
        <v>100</v>
      </c>
      <c r="V37" s="773" t="s">
        <v>17</v>
      </c>
      <c r="W37" s="774">
        <f t="shared" si="14"/>
        <v>100</v>
      </c>
      <c r="X37" s="1811"/>
      <c r="Y37" s="3240"/>
      <c r="Z37" s="1812" t="str">
        <f t="shared" si="15"/>
        <v>成新度</v>
      </c>
      <c r="AA37" s="1809">
        <f t="shared" si="3"/>
        <v>1</v>
      </c>
      <c r="AB37" s="1809">
        <f t="shared" si="4"/>
        <v>1</v>
      </c>
      <c r="AC37" s="2669">
        <f t="shared" si="5"/>
        <v>1</v>
      </c>
    </row>
    <row r="38" spans="1:29" s="117" customFormat="1" ht="15.5">
      <c r="A38" s="473"/>
      <c r="B38" s="422"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1793" t="str">
        <f t="shared" si="11"/>
        <v>写字楼等级</v>
      </c>
      <c r="R38" s="769" t="s">
        <v>17</v>
      </c>
      <c r="S38" s="770">
        <f t="shared" si="12"/>
        <v>100</v>
      </c>
      <c r="T38" s="769" t="s">
        <v>17</v>
      </c>
      <c r="U38" s="770">
        <f t="shared" si="13"/>
        <v>100</v>
      </c>
      <c r="V38" s="769" t="s">
        <v>17</v>
      </c>
      <c r="W38" s="770">
        <f t="shared" si="14"/>
        <v>100</v>
      </c>
      <c r="X38" s="771"/>
      <c r="Y38" s="3240"/>
      <c r="Z38" s="55" t="str">
        <f t="shared" si="15"/>
        <v>写字楼等级</v>
      </c>
      <c r="AA38" s="772">
        <f t="shared" si="3"/>
        <v>1</v>
      </c>
      <c r="AB38" s="772">
        <f t="shared" si="4"/>
        <v>1</v>
      </c>
      <c r="AC38" s="2666">
        <f t="shared" si="5"/>
        <v>1</v>
      </c>
    </row>
    <row r="39" spans="1:29" ht="15.5">
      <c r="A39" s="472"/>
      <c r="B39" s="422"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1808" t="str">
        <f t="shared" si="11"/>
        <v>物业管理</v>
      </c>
      <c r="R39" s="773" t="s">
        <v>17</v>
      </c>
      <c r="S39" s="774">
        <f t="shared" si="12"/>
        <v>100</v>
      </c>
      <c r="T39" s="773" t="s">
        <v>17</v>
      </c>
      <c r="U39" s="774">
        <f t="shared" si="13"/>
        <v>100</v>
      </c>
      <c r="V39" s="773" t="s">
        <v>17</v>
      </c>
      <c r="W39" s="774">
        <f t="shared" si="14"/>
        <v>100</v>
      </c>
      <c r="X39" s="1811"/>
      <c r="Y39" s="3240" t="s">
        <v>2554</v>
      </c>
      <c r="Z39" s="1812" t="str">
        <f t="shared" si="15"/>
        <v>物业管理</v>
      </c>
      <c r="AA39" s="1809">
        <f t="shared" si="3"/>
        <v>1</v>
      </c>
      <c r="AB39" s="1809">
        <f t="shared" si="4"/>
        <v>1</v>
      </c>
      <c r="AC39" s="2669">
        <f t="shared" si="5"/>
        <v>1</v>
      </c>
    </row>
    <row r="40" spans="1:29" ht="15.5">
      <c r="A40" s="472"/>
      <c r="B40" s="422"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1808" t="str">
        <f t="shared" si="11"/>
        <v>市政基础设施</v>
      </c>
      <c r="R40" s="773" t="s">
        <v>17</v>
      </c>
      <c r="S40" s="774">
        <f t="shared" si="12"/>
        <v>100</v>
      </c>
      <c r="T40" s="773" t="s">
        <v>17</v>
      </c>
      <c r="U40" s="774">
        <f t="shared" si="13"/>
        <v>100</v>
      </c>
      <c r="V40" s="773" t="s">
        <v>17</v>
      </c>
      <c r="W40" s="774">
        <f t="shared" si="14"/>
        <v>100</v>
      </c>
      <c r="X40" s="1811"/>
      <c r="Y40" s="3240"/>
      <c r="Z40" s="1812" t="str">
        <f t="shared" si="15"/>
        <v>市政基础设施</v>
      </c>
      <c r="AA40" s="1809">
        <f t="shared" si="3"/>
        <v>1</v>
      </c>
      <c r="AB40" s="1809">
        <f t="shared" si="4"/>
        <v>1</v>
      </c>
      <c r="AC40" s="2669">
        <f t="shared" si="5"/>
        <v>1</v>
      </c>
    </row>
    <row r="41" spans="1:29" ht="15.5">
      <c r="A41" s="472"/>
      <c r="B41" s="422"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1808" t="str">
        <f t="shared" si="11"/>
        <v>层高</v>
      </c>
      <c r="R41" s="773" t="s">
        <v>17</v>
      </c>
      <c r="S41" s="774">
        <f t="shared" si="12"/>
        <v>100</v>
      </c>
      <c r="T41" s="773" t="s">
        <v>17</v>
      </c>
      <c r="U41" s="774">
        <f t="shared" si="13"/>
        <v>100</v>
      </c>
      <c r="V41" s="773" t="s">
        <v>17</v>
      </c>
      <c r="W41" s="774">
        <f t="shared" si="14"/>
        <v>100</v>
      </c>
      <c r="X41" s="1811"/>
      <c r="Y41" s="3240"/>
      <c r="Z41" s="1812" t="str">
        <f t="shared" si="15"/>
        <v>层高</v>
      </c>
      <c r="AA41" s="1809">
        <f t="shared" si="3"/>
        <v>1</v>
      </c>
      <c r="AB41" s="1809">
        <f t="shared" si="4"/>
        <v>1</v>
      </c>
      <c r="AC41" s="2669">
        <f t="shared" si="5"/>
        <v>1</v>
      </c>
    </row>
    <row r="42" spans="1:29" s="471" customFormat="1" ht="15.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1809">
        <f t="shared" si="3"/>
        <v>1</v>
      </c>
      <c r="AB42" s="1809">
        <f t="shared" si="4"/>
        <v>1</v>
      </c>
      <c r="AC42" s="2669">
        <f t="shared" si="5"/>
        <v>1</v>
      </c>
    </row>
    <row r="43" spans="1:29" ht="15.5">
      <c r="A43" s="472"/>
      <c r="B43" s="422" t="s">
        <v>2657</v>
      </c>
      <c r="C43" s="460" t="s">
        <v>3100</v>
      </c>
      <c r="D43" s="435">
        <v>100</v>
      </c>
      <c r="E43" s="460" t="s">
        <v>3100</v>
      </c>
      <c r="F43" s="461">
        <f>SUMIF(123:123,E43,124:124)-SUMIF(123:123,C43,124:124)+100</f>
        <v>100</v>
      </c>
      <c r="G43" s="460" t="s">
        <v>3100</v>
      </c>
      <c r="H43" s="435">
        <f>SUMIF(123:123,G43,124:124)-SUMIF(123:123,C43,124:124)+100</f>
        <v>100</v>
      </c>
      <c r="I43" s="460" t="s">
        <v>3100</v>
      </c>
      <c r="J43" s="435">
        <f>SUMIF(123:123,I43,124:124)-SUMIF(123:123,C43,124:124)+100</f>
        <v>100</v>
      </c>
      <c r="K43" s="612">
        <v>1</v>
      </c>
      <c r="L43" s="1139"/>
      <c r="M43" s="1130"/>
      <c r="N43" s="1130"/>
      <c r="O43" s="1130"/>
      <c r="P43" s="3238"/>
      <c r="Q43" s="1808" t="str">
        <f t="shared" si="11"/>
        <v>内部装修</v>
      </c>
      <c r="R43" s="773" t="s">
        <v>17</v>
      </c>
      <c r="S43" s="774">
        <f t="shared" si="12"/>
        <v>100</v>
      </c>
      <c r="T43" s="773" t="s">
        <v>17</v>
      </c>
      <c r="U43" s="774">
        <f t="shared" si="13"/>
        <v>100</v>
      </c>
      <c r="V43" s="773" t="s">
        <v>17</v>
      </c>
      <c r="W43" s="774">
        <f t="shared" si="14"/>
        <v>100</v>
      </c>
      <c r="X43" s="1811"/>
      <c r="Y43" s="3240"/>
      <c r="Z43" s="1812" t="str">
        <f t="shared" si="15"/>
        <v>内部装修</v>
      </c>
      <c r="AA43" s="1809">
        <f t="shared" si="3"/>
        <v>1</v>
      </c>
      <c r="AB43" s="1809">
        <f t="shared" si="4"/>
        <v>1</v>
      </c>
      <c r="AC43" s="2669">
        <f t="shared" si="5"/>
        <v>1</v>
      </c>
    </row>
    <row r="44" spans="1:29" ht="28">
      <c r="A44" s="472"/>
      <c r="B44" s="422"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1808" t="str">
        <f t="shared" si="11"/>
        <v>内部装修维护情况</v>
      </c>
      <c r="R44" s="773" t="s">
        <v>17</v>
      </c>
      <c r="S44" s="774">
        <f t="shared" si="12"/>
        <v>100</v>
      </c>
      <c r="T44" s="773" t="s">
        <v>17</v>
      </c>
      <c r="U44" s="774">
        <f t="shared" si="13"/>
        <v>100</v>
      </c>
      <c r="V44" s="773" t="s">
        <v>17</v>
      </c>
      <c r="W44" s="774">
        <f t="shared" si="14"/>
        <v>100</v>
      </c>
      <c r="X44" s="1811"/>
      <c r="Y44" s="3240"/>
      <c r="Z44" s="1812" t="str">
        <f t="shared" si="15"/>
        <v>内部装修维护情况</v>
      </c>
      <c r="AA44" s="1809">
        <f t="shared" si="3"/>
        <v>1</v>
      </c>
      <c r="AB44" s="1809">
        <f t="shared" si="4"/>
        <v>1</v>
      </c>
      <c r="AC44" s="2669">
        <f t="shared" si="5"/>
        <v>1</v>
      </c>
    </row>
    <row r="45" spans="1:29" s="117" customFormat="1" ht="15.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1793">
        <f t="shared" si="11"/>
        <v>0</v>
      </c>
      <c r="R45" s="769" t="s">
        <v>17</v>
      </c>
      <c r="S45" s="770">
        <f t="shared" si="12"/>
        <v>100</v>
      </c>
      <c r="T45" s="769" t="s">
        <v>17</v>
      </c>
      <c r="U45" s="770">
        <f t="shared" si="13"/>
        <v>100</v>
      </c>
      <c r="V45" s="769" t="s">
        <v>17</v>
      </c>
      <c r="W45" s="770">
        <f t="shared" si="14"/>
        <v>100</v>
      </c>
      <c r="X45" s="771"/>
      <c r="Y45" s="3240"/>
      <c r="Z45" s="55">
        <f t="shared" si="15"/>
        <v>0</v>
      </c>
      <c r="AA45" s="772">
        <f t="shared" si="3"/>
        <v>1</v>
      </c>
      <c r="AB45" s="772">
        <f t="shared" si="4"/>
        <v>1</v>
      </c>
      <c r="AC45" s="2666">
        <f t="shared" si="5"/>
        <v>1</v>
      </c>
    </row>
    <row r="46" spans="1:29" ht="15.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1808">
        <f t="shared" si="11"/>
        <v>0</v>
      </c>
      <c r="R46" s="773" t="s">
        <v>17</v>
      </c>
      <c r="S46" s="774">
        <f t="shared" si="12"/>
        <v>100</v>
      </c>
      <c r="T46" s="773" t="s">
        <v>17</v>
      </c>
      <c r="U46" s="774">
        <f t="shared" si="13"/>
        <v>100</v>
      </c>
      <c r="V46" s="773" t="s">
        <v>17</v>
      </c>
      <c r="W46" s="774">
        <f t="shared" si="14"/>
        <v>100</v>
      </c>
      <c r="X46" s="1811"/>
      <c r="Y46" s="3240"/>
      <c r="Z46" s="1812">
        <f t="shared" si="15"/>
        <v>0</v>
      </c>
      <c r="AA46" s="1809">
        <f t="shared" si="3"/>
        <v>1</v>
      </c>
      <c r="AB46" s="1809">
        <f t="shared" si="4"/>
        <v>1</v>
      </c>
      <c r="AC46" s="2669">
        <f t="shared" si="5"/>
        <v>1</v>
      </c>
    </row>
    <row r="47" spans="1:29" ht="1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1808">
        <f t="shared" si="11"/>
        <v>0</v>
      </c>
      <c r="R47" s="773" t="s">
        <v>17</v>
      </c>
      <c r="S47" s="774">
        <f t="shared" si="12"/>
        <v>100</v>
      </c>
      <c r="T47" s="773" t="s">
        <v>17</v>
      </c>
      <c r="U47" s="774">
        <f t="shared" si="13"/>
        <v>100</v>
      </c>
      <c r="V47" s="773" t="s">
        <v>17</v>
      </c>
      <c r="W47" s="774">
        <f t="shared" si="14"/>
        <v>100</v>
      </c>
      <c r="X47" s="1811"/>
      <c r="Y47" s="3241"/>
      <c r="Z47" s="1812">
        <f t="shared" si="15"/>
        <v>0</v>
      </c>
      <c r="AA47" s="1809">
        <f t="shared" si="3"/>
        <v>1</v>
      </c>
      <c r="AB47" s="1809">
        <f t="shared" si="4"/>
        <v>1</v>
      </c>
      <c r="AC47" s="2669">
        <f t="shared" si="5"/>
        <v>1</v>
      </c>
    </row>
    <row r="48" spans="1:29">
      <c r="A48" s="479" t="s">
        <v>2566</v>
      </c>
      <c r="B48" s="480"/>
      <c r="C48" s="1405" t="s">
        <v>1</v>
      </c>
      <c r="D48" s="1406"/>
      <c r="E48" s="1407">
        <f>ROUND(43000*D51,0)</f>
        <v>41710</v>
      </c>
      <c r="F48" s="1408"/>
      <c r="G48" s="1409">
        <f>ROUND(50000*D51,0)</f>
        <v>48500</v>
      </c>
      <c r="H48" s="1410"/>
      <c r="I48" s="1407">
        <f>ROUND(48000*D51,0)</f>
        <v>46560</v>
      </c>
      <c r="J48" s="485"/>
      <c r="K48" s="782"/>
      <c r="L48" s="1142"/>
      <c r="M48" s="1130"/>
      <c r="N48" s="1130"/>
      <c r="O48" s="1130"/>
      <c r="P48" s="3213" t="str">
        <f>A48</f>
        <v>成交单价（元/平方米）</v>
      </c>
      <c r="Q48" s="3242"/>
      <c r="R48" s="3243">
        <f>E48</f>
        <v>41710</v>
      </c>
      <c r="S48" s="3243"/>
      <c r="T48" s="3243">
        <f>G48</f>
        <v>48500</v>
      </c>
      <c r="U48" s="3243"/>
      <c r="V48" s="3243">
        <f>I48</f>
        <v>46560</v>
      </c>
      <c r="W48" s="3243"/>
      <c r="X48" s="446"/>
      <c r="Y48" s="780"/>
      <c r="Z48" s="446"/>
      <c r="AA48" s="446"/>
      <c r="AB48" s="446"/>
      <c r="AC48" s="630"/>
    </row>
    <row r="49" spans="1:29" ht="14.5" thickBot="1">
      <c r="A49" s="486" t="s">
        <v>2658</v>
      </c>
      <c r="B49" s="487"/>
      <c r="C49" s="1411">
        <f>R50</f>
        <v>45564</v>
      </c>
      <c r="D49" s="1412"/>
      <c r="E49" s="1413">
        <f>R49</f>
        <v>42557</v>
      </c>
      <c r="F49" s="1413"/>
      <c r="G49" s="1411">
        <f>T49</f>
        <v>47106</v>
      </c>
      <c r="H49" s="1412"/>
      <c r="I49" s="1413">
        <f>V49</f>
        <v>47030</v>
      </c>
      <c r="J49" s="489"/>
      <c r="K49" s="783"/>
      <c r="L49" s="1142"/>
      <c r="M49" s="1130"/>
      <c r="N49" s="1130"/>
      <c r="O49" s="1130"/>
      <c r="P49" s="3213" t="str">
        <f>A49</f>
        <v>比较价值（元/平方米）</v>
      </c>
      <c r="Q49" s="3242"/>
      <c r="R49" s="3243">
        <f>IF(F1="售价",ROUND(PRODUCT(R48,AA7:AA47),0),ROUND(PRODUCT(R48,AA7:AA47),1))</f>
        <v>42557</v>
      </c>
      <c r="S49" s="3243"/>
      <c r="T49" s="3243">
        <f>IF(F1="售价",ROUND(PRODUCT(T48,AB7:AB47),0),ROUND(PRODUCT(T48,AB7:AB47),1))</f>
        <v>47106</v>
      </c>
      <c r="U49" s="3243"/>
      <c r="V49" s="3243">
        <f>IF(F1="售价",ROUND(PRODUCT(V48,AC7:AC47),0),ROUND(PRODUCT(V48,AC7:AC47),1))</f>
        <v>47030</v>
      </c>
      <c r="W49" s="3243"/>
      <c r="X49" s="446"/>
      <c r="Y49" s="446"/>
      <c r="Z49" s="446"/>
      <c r="AA49" s="446"/>
      <c r="AB49" s="446"/>
      <c r="AC49" s="630"/>
    </row>
    <row r="50" spans="1:29" ht="14.5" thickBot="1">
      <c r="A50" s="492" t="s">
        <v>3165</v>
      </c>
      <c r="B50" s="493"/>
      <c r="C50" s="1415">
        <f>R50</f>
        <v>45564</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45564</v>
      </c>
      <c r="S50" s="3246"/>
      <c r="T50" s="3246"/>
      <c r="U50" s="3246"/>
      <c r="V50" s="3246"/>
      <c r="W50" s="3246"/>
      <c r="X50" s="2649"/>
      <c r="Y50" s="2649"/>
      <c r="Z50" s="2649"/>
      <c r="AA50" s="2649"/>
      <c r="AB50" s="2649"/>
      <c r="AC50" s="2650"/>
    </row>
    <row r="51" spans="1:29">
      <c r="A51" s="1143"/>
      <c r="B51" s="1143"/>
      <c r="C51" s="1143">
        <v>45439</v>
      </c>
      <c r="D51" s="1146">
        <v>0.97</v>
      </c>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2.0306880843922404E-2</v>
      </c>
      <c r="F53" s="500" t="str">
        <f>IF(OR(E53&gt;=0.3,E53&lt;=-0.3),"超过30%","")</f>
        <v/>
      </c>
      <c r="G53" s="499">
        <f>IF(G48&lt;G49,G49/G48-1,G48/G49-1)</f>
        <v>2.9592833184732381E-2</v>
      </c>
      <c r="H53" s="500" t="str">
        <f>IF(OR(G53&gt;=0.3,G53&lt;=-0.3),"超过30%","")</f>
        <v/>
      </c>
      <c r="I53" s="499">
        <f>IF(I48&lt;I49,I49/I48-1,I48/I49-1)</f>
        <v>1.0094501718213023E-2</v>
      </c>
      <c r="J53" s="500" t="str">
        <f>IF(OR(I53&gt;=0.3,I53&lt;=-0.3),"超过30%","")</f>
        <v/>
      </c>
      <c r="K53" s="1104"/>
      <c r="L53" s="1105"/>
      <c r="M53" s="1143"/>
      <c r="N53" s="1143"/>
      <c r="O53" s="1143"/>
    </row>
    <row r="54" spans="1:29" ht="13.5" customHeight="1">
      <c r="A54" s="1143"/>
      <c r="B54" s="1143"/>
      <c r="C54" s="497" t="s">
        <v>2661</v>
      </c>
      <c r="D54" s="501"/>
      <c r="E54" s="499">
        <f>IF(E49&lt;G49,G49/E49-1,E49/G49-1)</f>
        <v>0.10689193317198109</v>
      </c>
      <c r="F54" s="500" t="str">
        <f>IF(OR(E54&gt;=0.2,E54&lt;=-0.2),"超过20%","")</f>
        <v/>
      </c>
      <c r="G54" s="499">
        <f>IF(G49&lt;I49,I49/G49-1,G49/I49-1)</f>
        <v>1.6159897937486623E-3</v>
      </c>
      <c r="H54" s="500" t="str">
        <f>IF(OR(G54&gt;=0.2,G54&lt;=-0.2),"超过20%","")</f>
        <v/>
      </c>
      <c r="I54" s="499">
        <f>IF(I49&lt;E49,E49/I49-1,I49/E49-1)</f>
        <v>0.1051060930046761</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0.16279069767441867</v>
      </c>
      <c r="F55" s="500" t="str">
        <f>IF(OR(E55&gt;=0.3,E55&lt;=-0.3),"超过30%","")</f>
        <v/>
      </c>
      <c r="G55" s="499">
        <f>IF(G48&lt;I48,I48/G48-1,G48/I48-1)</f>
        <v>4.1666666666666741E-2</v>
      </c>
      <c r="H55" s="500" t="str">
        <f>IF(OR(G55&gt;=0.3,G55&lt;=-0.3),"超过30%","")</f>
        <v/>
      </c>
      <c r="I55" s="499">
        <f>IF(I48&lt;E48,E48/I48-1,I48/E48-1)</f>
        <v>0.11627906976744184</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5" thickBot="1">
      <c r="A58" s="762" t="s">
        <v>2663</v>
      </c>
      <c r="B58" s="758"/>
      <c r="C58" s="763"/>
      <c r="D58" s="763"/>
      <c r="E58" s="763"/>
      <c r="F58" s="764"/>
      <c r="G58" s="764"/>
      <c r="H58" s="763"/>
      <c r="I58" s="763"/>
      <c r="J58" s="763"/>
      <c r="K58" s="765"/>
      <c r="L58" s="1160"/>
      <c r="M58" s="1158"/>
      <c r="N58" s="1158"/>
      <c r="O58" s="1158"/>
      <c r="P58" s="2676"/>
      <c r="Q58" s="504"/>
    </row>
    <row r="59" spans="1:29" s="508" customFormat="1">
      <c r="A59" s="505" t="s">
        <v>2537</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4.5" thickBot="1">
      <c r="A61" s="515" t="s">
        <v>2574</v>
      </c>
      <c r="B61" s="516"/>
      <c r="C61" s="517"/>
      <c r="D61" s="518"/>
      <c r="E61" s="518"/>
      <c r="F61" s="518"/>
      <c r="G61" s="518"/>
      <c r="H61" s="518"/>
      <c r="I61" s="518"/>
      <c r="J61" s="518"/>
      <c r="K61" s="518"/>
      <c r="L61" s="518"/>
      <c r="M61" s="519"/>
      <c r="N61" s="518"/>
      <c r="O61" s="519"/>
      <c r="P61" s="2677"/>
      <c r="Q61" s="504"/>
    </row>
    <row r="62" spans="1:29" s="117" customFormat="1">
      <c r="A62" s="521" t="s">
        <v>2539</v>
      </c>
      <c r="B62" s="510"/>
      <c r="C62" s="522" t="s">
        <v>2641</v>
      </c>
      <c r="D62" s="523"/>
      <c r="E62" s="523"/>
      <c r="F62" s="523"/>
      <c r="G62" s="523"/>
      <c r="H62" s="523"/>
      <c r="I62" s="523"/>
      <c r="J62" s="523"/>
      <c r="K62" s="523"/>
      <c r="L62" s="524"/>
      <c r="M62" s="525"/>
      <c r="N62" s="1150"/>
      <c r="O62" s="1150"/>
      <c r="P62" s="2678"/>
      <c r="Q62" s="504"/>
    </row>
    <row r="63" spans="1:29" s="117" customFormat="1" ht="14.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4.5" thickBot="1">
      <c r="A65" s="534"/>
      <c r="B65" s="535"/>
      <c r="C65" s="536">
        <v>100</v>
      </c>
      <c r="D65" s="536"/>
      <c r="E65" s="536"/>
      <c r="F65" s="536"/>
      <c r="G65" s="536"/>
      <c r="H65" s="536"/>
      <c r="I65" s="536"/>
      <c r="J65" s="536"/>
      <c r="K65" s="536"/>
      <c r="L65" s="536"/>
      <c r="M65" s="537"/>
      <c r="N65" s="1152"/>
      <c r="O65" s="1152"/>
      <c r="P65" s="2679"/>
      <c r="Q65" s="504"/>
    </row>
    <row r="66" spans="1:17" ht="28.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4.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5" thickTop="1">
      <c r="A71" s="553"/>
      <c r="B71" s="538">
        <f>B12</f>
        <v>0</v>
      </c>
      <c r="C71" s="554"/>
      <c r="D71" s="554"/>
      <c r="E71" s="554"/>
      <c r="F71" s="554"/>
      <c r="G71" s="554"/>
      <c r="H71" s="555"/>
      <c r="I71" s="555"/>
      <c r="J71" s="555"/>
      <c r="K71" s="555"/>
      <c r="L71" s="556"/>
      <c r="M71" s="557"/>
      <c r="N71" s="1153"/>
      <c r="O71" s="1153"/>
      <c r="P71" s="2680"/>
      <c r="Q71" s="559"/>
    </row>
    <row r="72" spans="1:17" s="471" customFormat="1" ht="14.5" thickBot="1">
      <c r="A72" s="553"/>
      <c r="B72" s="543"/>
      <c r="C72" s="560"/>
      <c r="D72" s="536"/>
      <c r="E72" s="536"/>
      <c r="F72" s="536"/>
      <c r="G72" s="536"/>
      <c r="H72" s="536"/>
      <c r="I72" s="536"/>
      <c r="J72" s="536"/>
      <c r="K72" s="536"/>
      <c r="L72" s="536"/>
      <c r="M72" s="537"/>
      <c r="N72" s="1152"/>
      <c r="O72" s="1152"/>
      <c r="P72" s="2680"/>
      <c r="Q72" s="559"/>
    </row>
    <row r="73" spans="1:17" s="471" customFormat="1" ht="14.5" thickTop="1">
      <c r="A73" s="553"/>
      <c r="B73" s="538">
        <f>B13</f>
        <v>0</v>
      </c>
      <c r="C73" s="554"/>
      <c r="D73" s="554"/>
      <c r="E73" s="554"/>
      <c r="F73" s="554"/>
      <c r="G73" s="554"/>
      <c r="H73" s="555"/>
      <c r="I73" s="555"/>
      <c r="J73" s="555"/>
      <c r="K73" s="555"/>
      <c r="L73" s="556"/>
      <c r="M73" s="557"/>
      <c r="N73" s="1153"/>
      <c r="O73" s="1153"/>
      <c r="P73" s="2681"/>
      <c r="Q73" s="561"/>
    </row>
    <row r="74" spans="1:17" s="471" customFormat="1" ht="14.5" thickBot="1">
      <c r="A74" s="553"/>
      <c r="B74" s="543"/>
      <c r="C74" s="560"/>
      <c r="D74" s="560"/>
      <c r="E74" s="560"/>
      <c r="F74" s="560"/>
      <c r="G74" s="560"/>
      <c r="H74" s="562"/>
      <c r="I74" s="562"/>
      <c r="J74" s="562"/>
      <c r="K74" s="562"/>
      <c r="L74" s="562"/>
      <c r="M74" s="563"/>
      <c r="N74" s="1153"/>
      <c r="O74" s="1153"/>
      <c r="P74" s="2680"/>
      <c r="Q74" s="559"/>
    </row>
    <row r="75" spans="1:17" s="471" customFormat="1" ht="14.5" thickTop="1">
      <c r="A75" s="553"/>
      <c r="B75" s="546">
        <f>B14</f>
        <v>0</v>
      </c>
      <c r="C75" s="523"/>
      <c r="D75" s="523"/>
      <c r="E75" s="523"/>
      <c r="F75" s="523"/>
      <c r="G75" s="523"/>
      <c r="H75" s="564"/>
      <c r="I75" s="564"/>
      <c r="J75" s="564"/>
      <c r="K75" s="564"/>
      <c r="L75" s="565"/>
      <c r="M75" s="566"/>
      <c r="N75" s="1153"/>
      <c r="O75" s="1153"/>
      <c r="P75" s="2682"/>
      <c r="Q75" s="559"/>
    </row>
    <row r="76" spans="1:17" s="471" customFormat="1" ht="14.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4.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4.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4.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5"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4.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5"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8.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4.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4.5" thickTop="1">
      <c r="A93" s="534"/>
      <c r="B93" s="538">
        <f>B29</f>
        <v>0</v>
      </c>
      <c r="C93" s="554"/>
      <c r="D93" s="554"/>
      <c r="E93" s="554"/>
      <c r="F93" s="554"/>
      <c r="G93" s="554"/>
      <c r="H93" s="554"/>
      <c r="I93" s="554"/>
      <c r="J93" s="554"/>
      <c r="K93" s="554"/>
      <c r="L93" s="580"/>
      <c r="M93" s="581"/>
      <c r="N93" s="1151"/>
      <c r="O93" s="1151"/>
      <c r="P93" s="2679"/>
      <c r="Q93" s="504"/>
    </row>
    <row r="94" spans="1:17" ht="14.5" thickBot="1">
      <c r="A94" s="534"/>
      <c r="B94" s="543"/>
      <c r="C94" s="560"/>
      <c r="D94" s="536"/>
      <c r="E94" s="536"/>
      <c r="F94" s="536"/>
      <c r="G94" s="536"/>
      <c r="H94" s="536"/>
      <c r="I94" s="536"/>
      <c r="J94" s="536"/>
      <c r="K94" s="536"/>
      <c r="L94" s="536"/>
      <c r="M94" s="537"/>
      <c r="N94" s="1152"/>
      <c r="O94" s="1152"/>
      <c r="P94" s="2679"/>
      <c r="Q94" s="504"/>
    </row>
    <row r="95" spans="1:17" ht="14.5" thickTop="1">
      <c r="A95" s="534"/>
      <c r="B95" s="538">
        <f>B30</f>
        <v>0</v>
      </c>
      <c r="C95" s="554"/>
      <c r="D95" s="554"/>
      <c r="E95" s="554"/>
      <c r="F95" s="554"/>
      <c r="G95" s="583"/>
      <c r="H95" s="583"/>
      <c r="I95" s="583"/>
      <c r="J95" s="583"/>
      <c r="K95" s="584"/>
      <c r="L95" s="585"/>
      <c r="M95" s="586"/>
      <c r="N95" s="1151"/>
      <c r="O95" s="1151"/>
      <c r="P95" s="2679"/>
      <c r="Q95" s="504"/>
    </row>
    <row r="96" spans="1:17" ht="14.5" thickBot="1">
      <c r="A96" s="534"/>
      <c r="B96" s="543"/>
      <c r="C96" s="560"/>
      <c r="D96" s="560"/>
      <c r="E96" s="560"/>
      <c r="F96" s="560"/>
      <c r="G96" s="536"/>
      <c r="H96" s="536"/>
      <c r="I96" s="536"/>
      <c r="J96" s="536"/>
      <c r="K96" s="536"/>
      <c r="L96" s="536"/>
      <c r="M96" s="537"/>
      <c r="N96" s="1152"/>
      <c r="O96" s="1152"/>
      <c r="P96" s="2679"/>
      <c r="Q96" s="504"/>
    </row>
    <row r="97" spans="1:17" ht="14.5" thickTop="1">
      <c r="A97" s="534"/>
      <c r="B97" s="538">
        <f>B31</f>
        <v>0</v>
      </c>
      <c r="C97" s="554"/>
      <c r="D97" s="554"/>
      <c r="E97" s="554"/>
      <c r="F97" s="554"/>
      <c r="G97" s="583"/>
      <c r="H97" s="583"/>
      <c r="I97" s="583"/>
      <c r="J97" s="583"/>
      <c r="K97" s="584"/>
      <c r="L97" s="585"/>
      <c r="M97" s="586"/>
      <c r="N97" s="1151"/>
      <c r="O97" s="1151"/>
      <c r="P97" s="2679"/>
      <c r="Q97" s="504"/>
    </row>
    <row r="98" spans="1:17" ht="14.5" thickBot="1">
      <c r="A98" s="534"/>
      <c r="B98" s="543"/>
      <c r="C98" s="560"/>
      <c r="D98" s="536"/>
      <c r="E98" s="536"/>
      <c r="F98" s="536"/>
      <c r="G98" s="536"/>
      <c r="H98" s="536"/>
      <c r="I98" s="536"/>
      <c r="J98" s="536"/>
      <c r="K98" s="536"/>
      <c r="L98" s="536"/>
      <c r="M98" s="537"/>
      <c r="N98" s="1152"/>
      <c r="O98" s="1152"/>
      <c r="P98" s="2679"/>
      <c r="Q98" s="504"/>
    </row>
    <row r="99" spans="1:17" ht="14.5" thickTop="1">
      <c r="A99" s="534"/>
      <c r="B99" s="546">
        <f>B32</f>
        <v>0</v>
      </c>
      <c r="C99" s="523"/>
      <c r="D99" s="523"/>
      <c r="E99" s="523"/>
      <c r="F99" s="523"/>
      <c r="G99" s="587"/>
      <c r="H99" s="587"/>
      <c r="I99" s="587"/>
      <c r="J99" s="587"/>
      <c r="K99" s="588"/>
      <c r="L99" s="589"/>
      <c r="M99" s="590"/>
      <c r="N99" s="1151"/>
      <c r="O99" s="1151"/>
      <c r="P99" s="2679"/>
      <c r="Q99" s="504"/>
    </row>
    <row r="100" spans="1:17" ht="14.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5" thickBot="1">
      <c r="A105" s="553"/>
      <c r="B105" s="543"/>
      <c r="C105" s="560">
        <v>96</v>
      </c>
      <c r="D105" s="536">
        <v>97</v>
      </c>
      <c r="E105" s="560">
        <v>98</v>
      </c>
      <c r="F105" s="536">
        <v>99</v>
      </c>
      <c r="G105" s="560">
        <v>100</v>
      </c>
      <c r="H105" s="536">
        <v>101</v>
      </c>
      <c r="I105" s="560">
        <v>102</v>
      </c>
      <c r="J105" s="536"/>
      <c r="K105" s="536"/>
      <c r="L105" s="536"/>
      <c r="M105" s="537"/>
      <c r="N105" s="1152"/>
      <c r="O105" s="1152"/>
      <c r="P105" s="2680"/>
      <c r="Q105" s="559"/>
    </row>
    <row r="106" spans="1:17" ht="14.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4.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4.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4.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4.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4.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4.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4.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5" thickBot="1">
      <c r="A122" s="553"/>
      <c r="B122" s="535"/>
      <c r="C122" s="560"/>
      <c r="D122" s="560"/>
      <c r="E122" s="560"/>
      <c r="F122" s="560"/>
      <c r="G122" s="560"/>
      <c r="H122" s="560"/>
      <c r="I122" s="560"/>
      <c r="J122" s="560"/>
      <c r="K122" s="560"/>
      <c r="L122" s="560"/>
      <c r="M122" s="560"/>
      <c r="N122" s="1153"/>
      <c r="O122" s="1153"/>
      <c r="P122" s="2680"/>
      <c r="Q122" s="559"/>
    </row>
    <row r="123" spans="1:17" ht="14.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8.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5" thickBot="1">
      <c r="A128" s="553"/>
      <c r="B128" s="543"/>
      <c r="C128" s="560"/>
      <c r="D128" s="536"/>
      <c r="E128" s="536"/>
      <c r="F128" s="536"/>
      <c r="G128" s="560"/>
      <c r="H128" s="562"/>
      <c r="I128" s="562"/>
      <c r="J128" s="562"/>
      <c r="K128" s="562"/>
      <c r="L128" s="562"/>
      <c r="M128" s="563"/>
      <c r="N128" s="1153"/>
      <c r="O128" s="1153"/>
      <c r="P128" s="2680"/>
      <c r="Q128" s="559"/>
    </row>
    <row r="129" spans="1:17" ht="14.5" thickTop="1">
      <c r="A129" s="599"/>
      <c r="B129" s="538">
        <f>B46</f>
        <v>0</v>
      </c>
      <c r="C129" s="554"/>
      <c r="D129" s="554"/>
      <c r="E129" s="554"/>
      <c r="F129" s="554"/>
      <c r="G129" s="583"/>
      <c r="H129" s="583"/>
      <c r="I129" s="583"/>
      <c r="J129" s="583"/>
      <c r="K129" s="584"/>
      <c r="L129" s="585"/>
      <c r="M129" s="586"/>
      <c r="N129" s="1151"/>
      <c r="O129" s="1151"/>
      <c r="P129" s="2679"/>
      <c r="Q129" s="504"/>
    </row>
    <row r="130" spans="1:17" ht="14.5" thickBot="1">
      <c r="A130" s="534"/>
      <c r="B130" s="543"/>
      <c r="C130" s="560"/>
      <c r="D130" s="560"/>
      <c r="E130" s="560"/>
      <c r="F130" s="560"/>
      <c r="G130" s="536"/>
      <c r="H130" s="536"/>
      <c r="I130" s="536"/>
      <c r="J130" s="536"/>
      <c r="K130" s="536"/>
      <c r="L130" s="536"/>
      <c r="M130" s="537"/>
      <c r="N130" s="1152"/>
      <c r="O130" s="1152"/>
      <c r="P130" s="2679"/>
      <c r="Q130" s="504"/>
    </row>
    <row r="131" spans="1:17" ht="14.5" thickTop="1">
      <c r="A131" s="599"/>
      <c r="B131" s="546">
        <f>B47</f>
        <v>0</v>
      </c>
      <c r="C131" s="523"/>
      <c r="D131" s="523"/>
      <c r="E131" s="523"/>
      <c r="F131" s="523"/>
      <c r="G131" s="587"/>
      <c r="H131" s="587"/>
      <c r="I131" s="587"/>
      <c r="J131" s="587"/>
      <c r="K131" s="523"/>
      <c r="L131" s="524"/>
      <c r="M131" s="590"/>
      <c r="N131" s="1151"/>
      <c r="O131" s="1151"/>
      <c r="P131" s="2679"/>
      <c r="Q131" s="504"/>
    </row>
    <row r="132" spans="1:17" ht="14.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80" zoomScaleNormal="80" zoomScaleSheetLayoutView="90" workbookViewId="0">
      <selection activeCell="C40" sqref="C40"/>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2" customWidth="1"/>
    <col min="12" max="12" width="16.36328125" style="302" customWidth="1"/>
    <col min="13" max="13" width="13" style="302" customWidth="1"/>
    <col min="14" max="14" width="13.7265625" style="1840" customWidth="1"/>
    <col min="15" max="15" width="5.08984375" style="1840" customWidth="1"/>
    <col min="16" max="16" width="25.7265625" style="1840" customWidth="1"/>
    <col min="17" max="17" width="13.7265625" style="1840" customWidth="1"/>
    <col min="18" max="18" width="20.453125" style="1840" customWidth="1"/>
    <col min="19" max="19" width="13.26953125" style="1840" customWidth="1"/>
    <col min="20" max="37" width="9" style="1840"/>
    <col min="38" max="16384" width="9" style="302"/>
  </cols>
  <sheetData>
    <row r="1" spans="1:37" s="337" customFormat="1" ht="21">
      <c r="A1" s="1831" t="s">
        <v>1584</v>
      </c>
      <c r="B1" s="781"/>
      <c r="C1" s="1835" t="s">
        <v>3159</v>
      </c>
      <c r="D1" s="1818"/>
      <c r="E1" s="1819" t="s">
        <v>1382</v>
      </c>
      <c r="F1" s="1281">
        <f ca="1">J53</f>
        <v>42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752</v>
      </c>
      <c r="C2" s="1843" t="s">
        <v>1586</v>
      </c>
      <c r="D2" s="1935">
        <f ca="1">C40+J29+L46</f>
        <v>7522697</v>
      </c>
      <c r="E2" s="1844" t="s">
        <v>1587</v>
      </c>
      <c r="F2" s="1845"/>
      <c r="G2" s="1846"/>
      <c r="H2" s="1838"/>
      <c r="I2" s="1838"/>
      <c r="J2" s="1838"/>
      <c r="K2" s="1839"/>
      <c r="L2" s="1838"/>
      <c r="M2" s="1838"/>
    </row>
    <row r="3" spans="1:37" ht="18" customHeight="1" thickBot="1">
      <c r="A3" s="1847" t="s">
        <v>1588</v>
      </c>
      <c r="B3" s="1848">
        <f ca="1">IF(ISERROR(D2/F43),0,ROUND(D2/F43,0))</f>
        <v>28404</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392004</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391515</v>
      </c>
      <c r="D6" s="164" t="s">
        <v>3014</v>
      </c>
      <c r="E6" s="347" t="s">
        <v>1400</v>
      </c>
      <c r="F6" s="348">
        <f ca="1">INDIRECT("'数据-取费表'!u"&amp;$G$1)</f>
        <v>4.5</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489</v>
      </c>
      <c r="D10" s="1822" t="s">
        <v>3025</v>
      </c>
      <c r="E10" s="358" t="s">
        <v>1405</v>
      </c>
      <c r="F10" s="1364" t="s">
        <v>3066</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1441345</v>
      </c>
      <c r="D13" s="1329" t="s">
        <v>1410</v>
      </c>
      <c r="E13" s="1329" t="s">
        <v>1411</v>
      </c>
      <c r="F13" s="1330">
        <f ca="1">INDIRECT("'数据-取费表'!y"&amp;$G$1)</f>
        <v>0.9</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95730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65626</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20881</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44745</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2162</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3920</v>
      </c>
      <c r="D38" s="1340" t="s">
        <v>1454</v>
      </c>
      <c r="E38" s="1338" t="s">
        <v>1450</v>
      </c>
      <c r="F38" s="1334">
        <f ca="1">INDIRECT("'数据-取费表'!Am"&amp;$G$1)</f>
        <v>0.01</v>
      </c>
      <c r="G38" s="1849"/>
      <c r="H38" s="1857"/>
      <c r="I38" s="1858"/>
      <c r="J38" s="1859"/>
      <c r="K38" s="1863"/>
      <c r="L38" s="1857"/>
      <c r="M38" s="1857"/>
    </row>
    <row r="39" spans="1:18" ht="24.65" customHeight="1" thickTop="1">
      <c r="A39" s="1327" t="s">
        <v>1028</v>
      </c>
      <c r="B39" s="1342" t="s">
        <v>1478</v>
      </c>
      <c r="C39" s="355">
        <f ca="1">C5-C30</f>
        <v>296274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7522697</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28404</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-11603261</v>
      </c>
      <c r="D45" s="1937" t="s">
        <v>1599</v>
      </c>
      <c r="E45" s="1864"/>
      <c r="F45" s="1864"/>
      <c r="O45" s="1867" t="s">
        <v>1514</v>
      </c>
      <c r="P45" s="1837"/>
      <c r="Q45" s="1837"/>
      <c r="R45" s="1837"/>
    </row>
    <row r="46" spans="1:18" s="1840" customFormat="1" ht="14" thickBot="1">
      <c r="A46" s="1868" t="s">
        <v>1515</v>
      </c>
      <c r="C46" s="1869">
        <f ca="1">ROUND(C45/10000,0)</f>
        <v>-1160</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3068</v>
      </c>
      <c r="K47" s="1880" t="s">
        <v>1522</v>
      </c>
      <c r="L47" s="1881">
        <f ca="1">INDIRECT("'数据-取费表'!d"&amp;$G$1)</f>
        <v>50</v>
      </c>
      <c r="M47" s="1836" t="str">
        <f>IF(ISNUMBER(FIND("住宅",C1)),"住宅","非住宅")</f>
        <v>非住宅</v>
      </c>
      <c r="O47" s="1882" t="s">
        <v>1037</v>
      </c>
      <c r="P47" s="1883" t="s">
        <v>1523</v>
      </c>
      <c r="Q47" s="1884">
        <f ca="1">C40+J29</f>
        <v>7522697</v>
      </c>
      <c r="R47" s="1884" t="s">
        <v>1524</v>
      </c>
    </row>
    <row r="48" spans="1:18" s="1840" customFormat="1" ht="43.5" thickBot="1">
      <c r="A48" s="1358" t="s">
        <v>1132</v>
      </c>
      <c r="B48" s="345" t="s">
        <v>1396</v>
      </c>
      <c r="C48" s="1815">
        <f ca="1">C49+C53+C55</f>
        <v>0</v>
      </c>
      <c r="D48" s="1360"/>
      <c r="E48" s="1361"/>
      <c r="F48" s="1180"/>
      <c r="G48" s="791"/>
      <c r="H48" s="792"/>
      <c r="I48" s="1885" t="s">
        <v>1525</v>
      </c>
      <c r="J48" s="1886" t="s">
        <v>3069</v>
      </c>
      <c r="K48" s="1887" t="s">
        <v>1526</v>
      </c>
      <c r="L48" s="1888">
        <f ca="1">INDIRECT("'数据-取费表'!f"&amp;$G$1)</f>
        <v>42</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5"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3388333</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42</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42</v>
      </c>
      <c r="K53" s="3193" t="s">
        <v>1543</v>
      </c>
      <c r="L53" s="3194"/>
      <c r="O53" s="1882" t="s">
        <v>1043</v>
      </c>
      <c r="P53" s="1883" t="s">
        <v>1544</v>
      </c>
      <c r="Q53" s="1884">
        <f ca="1">Q47+Q48</f>
        <v>7522697</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1441345</v>
      </c>
      <c r="D56" s="1911"/>
      <c r="E56" s="1912"/>
      <c r="F56" s="1904"/>
      <c r="I56" s="1913" t="s">
        <v>1549</v>
      </c>
      <c r="J56" s="1914" t="s">
        <v>3061</v>
      </c>
      <c r="K56" s="1885" t="s">
        <v>1550</v>
      </c>
      <c r="L56" s="1888" t="str">
        <f ca="1">IF(L48&lt;J51,"——",L48-J51)</f>
        <v>——</v>
      </c>
      <c r="O56" s="1882" t="s">
        <v>1037</v>
      </c>
      <c r="P56" s="1883" t="s">
        <v>1523</v>
      </c>
      <c r="Q56" s="1884">
        <f ca="1">C40+J29</f>
        <v>7522697</v>
      </c>
      <c r="R56" s="1884" t="s">
        <v>1524</v>
      </c>
    </row>
    <row r="57" spans="1:18" s="1840" customFormat="1" ht="26.5"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6.5" thickBot="1">
      <c r="A58" s="360" t="s">
        <v>1027</v>
      </c>
      <c r="B58" s="1176" t="s">
        <v>1419</v>
      </c>
      <c r="C58" s="361">
        <f ca="1">ROUND(C59+C64+C65+C66,0)</f>
        <v>160709</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6.5"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7522697</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2162</v>
      </c>
      <c r="D65" s="1182" t="s">
        <v>1449</v>
      </c>
      <c r="E65" s="1168" t="s">
        <v>1450</v>
      </c>
      <c r="F65" s="376">
        <f t="shared" ca="1" si="0"/>
        <v>1.5E-3</v>
      </c>
      <c r="I65" s="1926" t="s">
        <v>1574</v>
      </c>
      <c r="J65" s="1927">
        <v>40</v>
      </c>
      <c r="K65" s="1927">
        <v>30</v>
      </c>
      <c r="L65" s="1927">
        <v>50</v>
      </c>
      <c r="M65" s="1929">
        <v>0.02</v>
      </c>
      <c r="O65" s="1882" t="s">
        <v>1037</v>
      </c>
      <c r="P65" s="1883" t="s">
        <v>1575</v>
      </c>
      <c r="Q65" s="1884">
        <f ca="1">C40+J29</f>
        <v>7522697</v>
      </c>
      <c r="R65" s="1884" t="s">
        <v>1524</v>
      </c>
    </row>
    <row r="66" spans="1:18" s="1840" customFormat="1" ht="16"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26.5" thickBot="1">
      <c r="A67" s="1175" t="s">
        <v>1028</v>
      </c>
      <c r="B67" s="1185" t="s">
        <v>1458</v>
      </c>
      <c r="C67" s="361">
        <f ca="1">C48-C58</f>
        <v>-160709</v>
      </c>
      <c r="D67" s="1181" t="s">
        <v>1459</v>
      </c>
      <c r="E67" s="1186"/>
      <c r="F67" s="1187"/>
      <c r="O67" s="1892" t="s">
        <v>1039</v>
      </c>
      <c r="P67" s="1883" t="s">
        <v>1557</v>
      </c>
      <c r="Q67" s="1930">
        <f ca="1">L51</f>
        <v>3388333</v>
      </c>
      <c r="R67" s="1884" t="s">
        <v>1577</v>
      </c>
    </row>
    <row r="68" spans="1:18" s="1840" customFormat="1" ht="16" thickBot="1">
      <c r="A68" s="1165" t="s">
        <v>1029</v>
      </c>
      <c r="B68" s="1166" t="s">
        <v>1480</v>
      </c>
      <c r="C68" s="346">
        <f ca="1">ROUND(C67*(1-((1+F70)/(1+F68))^F69)/(F68-F70),0)</f>
        <v>-4080564</v>
      </c>
      <c r="D68" s="1183" t="s">
        <v>1464</v>
      </c>
      <c r="E68" s="1168" t="s">
        <v>1465</v>
      </c>
      <c r="F68" s="357">
        <f ca="1">F40</f>
        <v>5.5E-2</v>
      </c>
      <c r="O68" s="1892" t="s">
        <v>1040</v>
      </c>
      <c r="P68" s="1931" t="s">
        <v>1578</v>
      </c>
      <c r="Q68" s="1884">
        <f ca="1">ROUND(Q69-Q70*Q71,0)</f>
        <v>180966</v>
      </c>
      <c r="R68" s="1884" t="s">
        <v>1048</v>
      </c>
    </row>
    <row r="69" spans="1:18" s="1840" customFormat="1" ht="13.5" thickBot="1">
      <c r="A69" s="1169"/>
      <c r="B69" s="1170"/>
      <c r="C69" s="351"/>
      <c r="D69" s="1188" t="s">
        <v>1468</v>
      </c>
      <c r="E69" s="1168" t="s">
        <v>1469</v>
      </c>
      <c r="F69" s="379">
        <f ca="1">F41</f>
        <v>42</v>
      </c>
      <c r="O69" s="1892" t="s">
        <v>1045</v>
      </c>
      <c r="P69" s="1931" t="s">
        <v>1579</v>
      </c>
      <c r="Q69" s="1884">
        <f ca="1">C39</f>
        <v>296274</v>
      </c>
      <c r="R69" s="1884" t="s">
        <v>1524</v>
      </c>
    </row>
    <row r="70" spans="1:18" s="1840" customFormat="1" ht="13.5" thickBot="1">
      <c r="A70" s="1172"/>
      <c r="B70" s="1173"/>
      <c r="C70" s="355"/>
      <c r="D70" s="1184"/>
      <c r="E70" s="1168" t="s">
        <v>1472</v>
      </c>
      <c r="F70" s="1273">
        <f ca="1">F42</f>
        <v>0.03</v>
      </c>
      <c r="O70" s="1892" t="s">
        <v>1046</v>
      </c>
      <c r="P70" s="1931" t="s">
        <v>1580</v>
      </c>
      <c r="Q70" s="1884">
        <f ca="1">C13</f>
        <v>1441345</v>
      </c>
      <c r="R70" s="1884" t="s">
        <v>1524</v>
      </c>
    </row>
    <row r="71" spans="1:18" s="1840" customFormat="1" ht="13.5" thickBot="1">
      <c r="A71" s="1189" t="s">
        <v>1030</v>
      </c>
      <c r="B71" s="1190" t="s">
        <v>1482</v>
      </c>
      <c r="C71" s="382">
        <f ca="1">ROUND(C68/F71,0)</f>
        <v>-15407</v>
      </c>
      <c r="D71" s="1191" t="s">
        <v>1483</v>
      </c>
      <c r="E71" s="1192" t="s">
        <v>1484</v>
      </c>
      <c r="F71" s="385">
        <f ca="1">F43</f>
        <v>264.85000000000002</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115308</v>
      </c>
      <c r="D75" s="1840"/>
      <c r="E75" s="1840"/>
      <c r="F75" s="1840"/>
      <c r="K75" s="1866"/>
      <c r="L75" s="1840"/>
      <c r="O75" s="1882" t="s">
        <v>1043</v>
      </c>
      <c r="P75" s="1883" t="s">
        <v>1544</v>
      </c>
      <c r="Q75" s="1884">
        <f ca="1">Q65+Q66</f>
        <v>7522697</v>
      </c>
      <c r="R75" s="1884" t="s">
        <v>1044</v>
      </c>
    </row>
    <row r="76" spans="1:18" ht="13">
      <c r="B76" s="388" t="s">
        <v>1502</v>
      </c>
      <c r="C76" s="389">
        <f ca="1">INDIRECT("'数据-取费表'!j"&amp;$G$1)</f>
        <v>0.08</v>
      </c>
      <c r="I76" s="1840"/>
      <c r="J76" s="1840"/>
      <c r="K76" s="1866"/>
      <c r="L76" s="1840"/>
    </row>
    <row r="77" spans="1:18" ht="13.5">
      <c r="B77" s="390" t="s">
        <v>1503</v>
      </c>
      <c r="C77" s="391"/>
      <c r="I77" s="1840"/>
      <c r="J77" s="1840"/>
      <c r="K77" s="1866"/>
      <c r="L77" s="1840"/>
    </row>
    <row r="78" spans="1:18" ht="13.5">
      <c r="B78" s="314" t="s">
        <v>1504</v>
      </c>
      <c r="C78" s="392"/>
    </row>
    <row r="79" spans="1:18" ht="13">
      <c r="B79" s="386" t="s">
        <v>1505</v>
      </c>
      <c r="C79" s="318">
        <f ca="1">1-C80</f>
        <v>0.61099999999999999</v>
      </c>
    </row>
    <row r="80" spans="1:18" ht="13">
      <c r="B80" s="386" t="s">
        <v>1506</v>
      </c>
      <c r="C80" s="318">
        <f ca="1">ROUND(C75/C39,3)</f>
        <v>0.38900000000000001</v>
      </c>
    </row>
    <row r="81" spans="2:3" ht="13.5">
      <c r="B81" s="314" t="s">
        <v>1507</v>
      </c>
      <c r="C81" s="282"/>
    </row>
    <row r="82" spans="2:3" ht="13">
      <c r="B82" s="317" t="s">
        <v>1508</v>
      </c>
      <c r="C82" s="319">
        <f ca="1">1-C83</f>
        <v>0.80800000000000005</v>
      </c>
    </row>
    <row r="83" spans="2:3" ht="13">
      <c r="B83" s="317" t="s">
        <v>1509</v>
      </c>
      <c r="C83" s="318">
        <f ca="1">ROUND(C13/C40,3)</f>
        <v>0.192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
  <cols>
    <col min="1" max="1" width="23.6328125" style="1942" customWidth="1"/>
    <col min="2" max="2" width="12" style="1942" customWidth="1"/>
    <col min="3" max="3" width="9" style="1942"/>
    <col min="4" max="4" width="14.08984375" style="1942" customWidth="1"/>
    <col min="5" max="5" width="9" style="1942"/>
    <col min="6" max="6" width="12.90625" style="1942" customWidth="1"/>
    <col min="7" max="16384" width="9" style="1942"/>
  </cols>
  <sheetData>
    <row r="1" spans="1:6" ht="21">
      <c r="A1" s="2556" t="s">
        <v>2515</v>
      </c>
      <c r="B1" s="2557"/>
      <c r="C1" s="2557"/>
      <c r="D1" s="2557"/>
      <c r="E1" s="2558"/>
    </row>
    <row r="2" spans="1:6" ht="15.5">
      <c r="A2" s="2559" t="s">
        <v>2316</v>
      </c>
      <c r="B2" s="2560">
        <f ca="1">SUMIF(B6:B13,"&lt;&gt;#ref!",B6:B13)</f>
        <v>752</v>
      </c>
      <c r="C2" s="2561" t="s">
        <v>2508</v>
      </c>
      <c r="D2" s="2562" t="s">
        <v>2509</v>
      </c>
      <c r="E2" s="2563">
        <f>SUM(E6:E13)</f>
        <v>264.85000000000002</v>
      </c>
    </row>
    <row r="3" spans="1:6" ht="15.5">
      <c r="A3" s="2559" t="s">
        <v>1390</v>
      </c>
      <c r="B3" s="2560">
        <f ca="1">ROUND(B2*10000/E2,0)</f>
        <v>28393</v>
      </c>
      <c r="C3" s="2561" t="s">
        <v>2516</v>
      </c>
      <c r="D3" s="2564"/>
      <c r="E3" s="2565"/>
    </row>
    <row r="4" spans="1:6" ht="15.5">
      <c r="A4" s="2566"/>
      <c r="B4" s="2564"/>
      <c r="C4" s="2564"/>
      <c r="D4" s="2564"/>
      <c r="E4" s="2565"/>
    </row>
    <row r="5" spans="1:6">
      <c r="A5" s="2567" t="s">
        <v>2510</v>
      </c>
      <c r="B5" s="3247" t="s">
        <v>2511</v>
      </c>
      <c r="C5" s="3247"/>
      <c r="D5" s="2568"/>
      <c r="E5" s="2569" t="s">
        <v>2512</v>
      </c>
      <c r="F5" s="2570" t="s">
        <v>2513</v>
      </c>
    </row>
    <row r="6" spans="1:6">
      <c r="A6" s="2571" t="str">
        <f>'数据-取费表'!AN6</f>
        <v>收益法 (元)</v>
      </c>
      <c r="B6" s="2570">
        <f ca="1">IF(F6="是",'数据-取费表'!AO6,0)</f>
        <v>752</v>
      </c>
      <c r="C6" s="2561" t="s">
        <v>2508</v>
      </c>
      <c r="D6" s="2564"/>
      <c r="E6" s="2572">
        <f>IF(OR(A6=0,F6="否"),0,'数据-取费表'!K6+'数据-取费表'!S6)</f>
        <v>264.85000000000002</v>
      </c>
      <c r="F6" s="2573" t="s">
        <v>2514</v>
      </c>
    </row>
    <row r="7" spans="1:6">
      <c r="A7" s="2571">
        <f>'数据-取费表'!AN7</f>
        <v>0</v>
      </c>
      <c r="B7" s="2570" t="e">
        <f ca="1">IF(F7="是",'数据-取费表'!AO7,0)</f>
        <v>#REF!</v>
      </c>
      <c r="C7" s="2561" t="s">
        <v>2508</v>
      </c>
      <c r="D7" s="2564"/>
      <c r="E7" s="2572">
        <f>IF(OR(A7=0,F7="否"),0,'数据-取费表'!K7+'数据-取费表'!S7)</f>
        <v>0</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4.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
  <cols>
    <col min="1" max="1" width="10.453125" customWidth="1"/>
    <col min="2" max="2" width="12.90625" customWidth="1"/>
    <col min="3" max="3" width="8.7265625" customWidth="1"/>
  </cols>
  <sheetData>
    <row r="1" spans="1:9" ht="15">
      <c r="A1" s="3248" t="s">
        <v>1073</v>
      </c>
      <c r="B1" s="3249"/>
      <c r="C1" s="3250"/>
      <c r="D1" s="3251">
        <f>SUM(I10,I15,I20,I21,I23)</f>
        <v>0</v>
      </c>
      <c r="E1" s="3251"/>
      <c r="F1" s="3251"/>
      <c r="G1" s="3251"/>
      <c r="H1" s="3251"/>
      <c r="I1" s="3252"/>
    </row>
    <row r="2" spans="1:9">
      <c r="A2" s="3253" t="s">
        <v>1074</v>
      </c>
      <c r="B2" s="3254" t="s">
        <v>1075</v>
      </c>
      <c r="C2" s="3254"/>
      <c r="D2" s="1299" t="s">
        <v>1076</v>
      </c>
      <c r="E2" s="1299" t="s">
        <v>1077</v>
      </c>
      <c r="F2" s="1299" t="s">
        <v>1078</v>
      </c>
      <c r="G2" s="1299" t="s">
        <v>1079</v>
      </c>
      <c r="H2" s="1299" t="s">
        <v>1080</v>
      </c>
      <c r="I2" s="1300" t="s">
        <v>1081</v>
      </c>
    </row>
    <row r="3" spans="1:9">
      <c r="A3" s="3253"/>
      <c r="B3" s="3254" t="s">
        <v>1082</v>
      </c>
      <c r="C3" s="3254"/>
      <c r="D3" s="1301"/>
      <c r="E3" s="1299"/>
      <c r="F3" s="1302"/>
      <c r="G3" s="1302"/>
      <c r="H3" s="1303"/>
      <c r="I3" s="1304">
        <f>ROUND(D3*E3*F3*G3*H3/10000,0)</f>
        <v>0</v>
      </c>
    </row>
    <row r="4" spans="1:9">
      <c r="A4" s="3253"/>
      <c r="B4" s="3254" t="s">
        <v>1083</v>
      </c>
      <c r="C4" s="3254"/>
      <c r="D4" s="1301"/>
      <c r="E4" s="1299"/>
      <c r="F4" s="1302"/>
      <c r="G4" s="1302"/>
      <c r="H4" s="1303"/>
      <c r="I4" s="1304">
        <f t="shared" ref="I4:I9" si="0">ROUND(D4*E4*F4*G4*H4/10000,0)</f>
        <v>0</v>
      </c>
    </row>
    <row r="5" spans="1:9">
      <c r="A5" s="3253"/>
      <c r="B5" s="3254" t="s">
        <v>1084</v>
      </c>
      <c r="C5" s="3254"/>
      <c r="D5" s="1301"/>
      <c r="E5" s="1299"/>
      <c r="F5" s="1302"/>
      <c r="G5" s="1302"/>
      <c r="H5" s="1303"/>
      <c r="I5" s="1304">
        <f t="shared" si="0"/>
        <v>0</v>
      </c>
    </row>
    <row r="6" spans="1:9">
      <c r="A6" s="3253"/>
      <c r="B6" s="3254" t="s">
        <v>1085</v>
      </c>
      <c r="C6" s="3254"/>
      <c r="D6" s="1301"/>
      <c r="E6" s="1299"/>
      <c r="F6" s="1302"/>
      <c r="G6" s="1302"/>
      <c r="H6" s="1303"/>
      <c r="I6" s="1304">
        <f t="shared" si="0"/>
        <v>0</v>
      </c>
    </row>
    <row r="7" spans="1:9">
      <c r="A7" s="3253"/>
      <c r="B7" s="3254" t="s">
        <v>1086</v>
      </c>
      <c r="C7" s="3254"/>
      <c r="D7" s="1301"/>
      <c r="E7" s="1299"/>
      <c r="F7" s="1302"/>
      <c r="G7" s="1302"/>
      <c r="H7" s="1303"/>
      <c r="I7" s="1304">
        <f t="shared" si="0"/>
        <v>0</v>
      </c>
    </row>
    <row r="8" spans="1:9">
      <c r="A8" s="3253"/>
      <c r="B8" s="3254" t="s">
        <v>1087</v>
      </c>
      <c r="C8" s="3254"/>
      <c r="D8" s="1301"/>
      <c r="E8" s="1299"/>
      <c r="F8" s="1302"/>
      <c r="G8" s="1302"/>
      <c r="H8" s="1303"/>
      <c r="I8" s="1304">
        <f t="shared" si="0"/>
        <v>0</v>
      </c>
    </row>
    <row r="9" spans="1:9">
      <c r="A9" s="3253"/>
      <c r="B9" s="3254" t="s">
        <v>1088</v>
      </c>
      <c r="C9" s="3254"/>
      <c r="D9" s="1301"/>
      <c r="E9" s="1299"/>
      <c r="F9" s="1302"/>
      <c r="G9" s="1302"/>
      <c r="H9" s="1303"/>
      <c r="I9" s="1304">
        <f t="shared" si="0"/>
        <v>0</v>
      </c>
    </row>
    <row r="10" spans="1:9">
      <c r="A10" s="3253"/>
      <c r="B10" s="3255" t="s">
        <v>1089</v>
      </c>
      <c r="C10" s="3255"/>
      <c r="D10" s="1305"/>
      <c r="E10" s="1305" t="e">
        <f>ROUND(D1*10000/D10/H9,0)</f>
        <v>#DIV/0!</v>
      </c>
      <c r="F10" s="1306"/>
      <c r="G10" s="1306"/>
      <c r="H10" s="1307"/>
      <c r="I10" s="1308">
        <f>SUM(I3:I9)</f>
        <v>0</v>
      </c>
    </row>
    <row r="11" spans="1:9" ht="15">
      <c r="A11" s="3253" t="s">
        <v>1090</v>
      </c>
      <c r="B11" s="3254" t="s">
        <v>1091</v>
      </c>
      <c r="C11" s="3254"/>
      <c r="D11" s="1301" t="s">
        <v>1092</v>
      </c>
      <c r="E11" s="1301" t="s">
        <v>1093</v>
      </c>
      <c r="F11" s="1302" t="s">
        <v>1094</v>
      </c>
      <c r="G11" s="1302" t="s">
        <v>1080</v>
      </c>
      <c r="H11" s="1309" t="s">
        <v>1095</v>
      </c>
      <c r="I11" s="1300" t="s">
        <v>1081</v>
      </c>
    </row>
    <row r="12" spans="1:9">
      <c r="A12" s="3253"/>
      <c r="B12" s="3254" t="s">
        <v>1096</v>
      </c>
      <c r="C12" s="3254"/>
      <c r="D12" s="1301"/>
      <c r="E12" s="1301"/>
      <c r="F12" s="1302"/>
      <c r="G12" s="1303"/>
      <c r="H12" s="1310"/>
      <c r="I12" s="1300">
        <f>ROUND(D12*E12*F12*G12/10000,0)</f>
        <v>0</v>
      </c>
    </row>
    <row r="13" spans="1:9">
      <c r="A13" s="3253"/>
      <c r="B13" s="3254" t="s">
        <v>1097</v>
      </c>
      <c r="C13" s="3254"/>
      <c r="D13" s="1301"/>
      <c r="E13" s="1301"/>
      <c r="F13" s="1302"/>
      <c r="G13" s="1303"/>
      <c r="H13" s="1310"/>
      <c r="I13" s="1300">
        <f>ROUND(D13*E13*F13*G13/10000,0)</f>
        <v>0</v>
      </c>
    </row>
    <row r="14" spans="1:9">
      <c r="A14" s="3253"/>
      <c r="B14" s="3254" t="s">
        <v>1098</v>
      </c>
      <c r="C14" s="3254"/>
      <c r="D14" s="1301"/>
      <c r="E14" s="1301"/>
      <c r="F14" s="1302"/>
      <c r="G14" s="1303"/>
      <c r="H14" s="1310"/>
      <c r="I14" s="1300">
        <f>ROUND(D14*E14*F14*G14/10000,0)</f>
        <v>0</v>
      </c>
    </row>
    <row r="15" spans="1:9">
      <c r="A15" s="3253"/>
      <c r="B15" s="3255" t="s">
        <v>1089</v>
      </c>
      <c r="C15" s="3255"/>
      <c r="D15" s="1305"/>
      <c r="E15" s="1305">
        <f>SUM(E12:E14)</f>
        <v>0</v>
      </c>
      <c r="F15" s="1306"/>
      <c r="G15" s="1303"/>
      <c r="H15" s="1310"/>
      <c r="I15" s="1311">
        <f>SUM(I12:I14)</f>
        <v>0</v>
      </c>
    </row>
    <row r="16" spans="1:9" ht="26">
      <c r="A16" s="3253" t="s">
        <v>1099</v>
      </c>
      <c r="B16" s="3254" t="s">
        <v>1100</v>
      </c>
      <c r="C16" s="3254"/>
      <c r="D16" s="1301" t="s">
        <v>1076</v>
      </c>
      <c r="E16" s="1312" t="s">
        <v>1101</v>
      </c>
      <c r="F16" s="1302" t="s">
        <v>1102</v>
      </c>
      <c r="G16" s="1303" t="s">
        <v>1080</v>
      </c>
      <c r="H16" s="1309" t="s">
        <v>1095</v>
      </c>
      <c r="I16" s="1300" t="s">
        <v>1081</v>
      </c>
    </row>
    <row r="17" spans="1:9" ht="15">
      <c r="A17" s="3253"/>
      <c r="B17" s="3254" t="s">
        <v>1103</v>
      </c>
      <c r="C17" s="3254"/>
      <c r="D17" s="1301"/>
      <c r="E17" s="1301"/>
      <c r="F17" s="1302"/>
      <c r="G17" s="1303"/>
      <c r="H17" s="1313"/>
      <c r="I17" s="1314">
        <f>ROUND(D17*E17*F17*G17/10000,0)</f>
        <v>0</v>
      </c>
    </row>
    <row r="18" spans="1:9" ht="15">
      <c r="A18" s="3253"/>
      <c r="B18" s="3254" t="s">
        <v>1104</v>
      </c>
      <c r="C18" s="3254"/>
      <c r="D18" s="1301"/>
      <c r="E18" s="1301"/>
      <c r="F18" s="1302"/>
      <c r="G18" s="1303"/>
      <c r="H18" s="1313"/>
      <c r="I18" s="1314">
        <f>ROUND(D18*E18*F18*G18/10000,0)</f>
        <v>0</v>
      </c>
    </row>
    <row r="19" spans="1:9" ht="15">
      <c r="A19" s="3253"/>
      <c r="B19" s="3254" t="s">
        <v>1105</v>
      </c>
      <c r="C19" s="3254"/>
      <c r="D19" s="1301"/>
      <c r="E19" s="1301"/>
      <c r="F19" s="1302"/>
      <c r="G19" s="1303"/>
      <c r="H19" s="1313"/>
      <c r="I19" s="1314">
        <f>ROUND(D19*E19*F19*G19/10000,0)</f>
        <v>0</v>
      </c>
    </row>
    <row r="20" spans="1:9">
      <c r="A20" s="3253"/>
      <c r="B20" s="3255" t="s">
        <v>1089</v>
      </c>
      <c r="C20" s="3255"/>
      <c r="D20" s="1305">
        <f>SUM(D17:D19)</f>
        <v>0</v>
      </c>
      <c r="E20" s="1305"/>
      <c r="F20" s="1306"/>
      <c r="G20" s="1303"/>
      <c r="H20" s="1310"/>
      <c r="I20" s="1311">
        <f>SUM(I17:I19)</f>
        <v>0</v>
      </c>
    </row>
    <row r="21" spans="1:9">
      <c r="A21" s="3253" t="s">
        <v>1106</v>
      </c>
      <c r="B21" s="3257"/>
      <c r="C21" s="3257"/>
      <c r="D21" s="3257"/>
      <c r="E21" s="3257"/>
      <c r="F21" s="3257"/>
      <c r="G21" s="3257"/>
      <c r="H21" s="1763">
        <v>0.1</v>
      </c>
      <c r="I21" s="1308">
        <f>ROUND(I10*H21,0)</f>
        <v>0</v>
      </c>
    </row>
    <row r="22" spans="1:9" ht="15">
      <c r="A22" s="3258" t="s">
        <v>1107</v>
      </c>
      <c r="B22" s="3259"/>
      <c r="C22" s="3260"/>
      <c r="D22" s="1315" t="s">
        <v>1108</v>
      </c>
      <c r="E22" s="1315" t="s">
        <v>1109</v>
      </c>
      <c r="F22" s="1316" t="s">
        <v>1110</v>
      </c>
      <c r="G22" s="1316" t="s">
        <v>1111</v>
      </c>
      <c r="H22" s="1309" t="s">
        <v>1112</v>
      </c>
      <c r="I22" s="1300" t="s">
        <v>1113</v>
      </c>
    </row>
    <row r="23" spans="1:9" ht="14.5" thickBot="1">
      <c r="A23" s="3261"/>
      <c r="B23" s="3262"/>
      <c r="C23" s="3263"/>
      <c r="D23" s="1317"/>
      <c r="E23" s="1317"/>
      <c r="F23" s="1317"/>
      <c r="G23" s="1318"/>
      <c r="H23" s="1319"/>
      <c r="I23" s="1320">
        <f>ROUND(E23*D23*F23*(1-G23)/10000,0)</f>
        <v>0</v>
      </c>
    </row>
    <row r="26" spans="1:9">
      <c r="A26" s="1321" t="s">
        <v>1114</v>
      </c>
      <c r="B26" s="1321"/>
      <c r="C26" s="1321"/>
      <c r="D26" s="1321"/>
      <c r="E26" s="3264">
        <f>C27-C30-C31-C32</f>
        <v>0</v>
      </c>
      <c r="F26" s="3264"/>
      <c r="G26" s="3264"/>
      <c r="H26" s="1735" t="s">
        <v>1336</v>
      </c>
    </row>
    <row r="27" spans="1:9">
      <c r="A27" s="1322">
        <v>1</v>
      </c>
      <c r="B27" s="1323" t="s">
        <v>1115</v>
      </c>
      <c r="C27" s="1323">
        <f>C28+C29</f>
        <v>0</v>
      </c>
      <c r="D27" s="1323"/>
      <c r="E27" s="3265"/>
      <c r="F27" s="3265"/>
      <c r="G27" s="3265"/>
    </row>
    <row r="28" spans="1:9">
      <c r="A28" s="1324" t="s">
        <v>1116</v>
      </c>
      <c r="B28" s="1323" t="s">
        <v>1117</v>
      </c>
      <c r="C28" s="1323"/>
      <c r="D28" s="1323"/>
      <c r="E28" s="3265"/>
      <c r="F28" s="3265"/>
      <c r="G28" s="326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6"/>
      <c r="F32" s="3256"/>
      <c r="G32" s="3256"/>
    </row>
    <row r="33" spans="1:7" hidden="1">
      <c r="A33" s="3266" t="s">
        <v>1126</v>
      </c>
      <c r="B33" s="3267"/>
      <c r="C33" s="3267"/>
      <c r="D33" s="3268"/>
      <c r="E33" s="3264"/>
      <c r="F33" s="3264"/>
      <c r="G33" s="3264"/>
    </row>
    <row r="34" spans="1:7" hidden="1">
      <c r="A34" s="1326">
        <v>1</v>
      </c>
      <c r="B34" s="1323" t="s">
        <v>1127</v>
      </c>
      <c r="C34" s="1323"/>
      <c r="D34" s="1323"/>
      <c r="E34" s="3265"/>
      <c r="F34" s="3265"/>
      <c r="G34" s="3265"/>
    </row>
    <row r="35" spans="1:7" hidden="1">
      <c r="A35" s="1326">
        <v>2</v>
      </c>
      <c r="B35" s="1323" t="s">
        <v>1128</v>
      </c>
      <c r="C35" s="1323"/>
      <c r="D35" s="1323"/>
      <c r="E35" s="3265"/>
      <c r="F35" s="3265"/>
      <c r="G35" s="3265"/>
    </row>
    <row r="36" spans="1:7" hidden="1">
      <c r="A36" s="1326">
        <v>3</v>
      </c>
      <c r="B36" s="1323" t="s">
        <v>1129</v>
      </c>
      <c r="C36" s="1323"/>
      <c r="D36" s="1323"/>
      <c r="E36" s="3265"/>
      <c r="F36" s="3265"/>
      <c r="G36" s="3265"/>
    </row>
    <row r="37" spans="1:7" hidden="1">
      <c r="A37" s="1326">
        <v>4</v>
      </c>
      <c r="B37" s="1323" t="s">
        <v>1130</v>
      </c>
      <c r="C37" s="1323"/>
      <c r="D37" s="1323"/>
      <c r="E37" s="3265"/>
      <c r="F37" s="3265"/>
      <c r="G37" s="3265"/>
    </row>
    <row r="38" spans="1:7" hidden="1">
      <c r="A38" s="3266" t="s">
        <v>1131</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19"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c r="A4" s="401" t="s">
        <v>2524</v>
      </c>
      <c r="B4" s="402"/>
      <c r="C4" s="3217" t="s">
        <v>2525</v>
      </c>
      <c r="D4" s="3218"/>
      <c r="E4" s="3219" t="s">
        <v>2526</v>
      </c>
      <c r="F4" s="3220"/>
      <c r="G4" s="3217" t="s">
        <v>2527</v>
      </c>
      <c r="H4" s="3218"/>
      <c r="I4" s="3217" t="s">
        <v>2528</v>
      </c>
      <c r="J4" s="3218"/>
      <c r="K4" s="2591" t="s">
        <v>2529</v>
      </c>
      <c r="L4" s="1129"/>
      <c r="M4" s="1130"/>
      <c r="N4" s="1130"/>
      <c r="O4" s="1130"/>
      <c r="P4" s="3277" t="s">
        <v>2530</v>
      </c>
      <c r="Q4" s="3278"/>
      <c r="R4" s="3270" t="s">
        <v>2526</v>
      </c>
      <c r="S4" s="3271"/>
      <c r="T4" s="3270" t="s">
        <v>2527</v>
      </c>
      <c r="U4" s="3271"/>
      <c r="V4" s="3230" t="s">
        <v>2528</v>
      </c>
      <c r="W4" s="3230"/>
      <c r="X4" s="1811"/>
      <c r="Y4" s="3270" t="s">
        <v>2530</v>
      </c>
      <c r="Z4" s="3271"/>
      <c r="AA4" s="3269" t="s">
        <v>2526</v>
      </c>
      <c r="AB4" s="3269" t="s">
        <v>2527</v>
      </c>
      <c r="AC4" s="3269" t="s">
        <v>2528</v>
      </c>
    </row>
    <row r="5" spans="1:29">
      <c r="A5" s="404"/>
      <c r="B5" s="405"/>
      <c r="C5" s="3273" t="s">
        <v>2531</v>
      </c>
      <c r="D5" s="3208"/>
      <c r="E5" s="3272" t="s">
        <v>2532</v>
      </c>
      <c r="F5" s="3210"/>
      <c r="G5" s="3273" t="s">
        <v>2533</v>
      </c>
      <c r="H5" s="3208"/>
      <c r="I5" s="3273" t="s">
        <v>2534</v>
      </c>
      <c r="J5" s="3208"/>
      <c r="K5" s="2592"/>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2592"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01" t="s">
        <v>2538</v>
      </c>
      <c r="Q7" s="3232"/>
      <c r="R7" s="769" t="s">
        <v>23</v>
      </c>
      <c r="S7" s="770">
        <f t="shared" ref="S7:S15" si="0">F7</f>
        <v>0</v>
      </c>
      <c r="T7" s="769" t="s">
        <v>23</v>
      </c>
      <c r="U7" s="770">
        <f t="shared" ref="U7:U15" si="1">H7</f>
        <v>0</v>
      </c>
      <c r="V7" s="769" t="s">
        <v>23</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01" t="s">
        <v>2541</v>
      </c>
      <c r="Q8" s="3202"/>
      <c r="R8" s="769" t="s">
        <v>23</v>
      </c>
      <c r="S8" s="770">
        <f t="shared" si="0"/>
        <v>0</v>
      </c>
      <c r="T8" s="769" t="s">
        <v>23</v>
      </c>
      <c r="U8" s="770">
        <f t="shared" si="1"/>
        <v>0</v>
      </c>
      <c r="V8" s="769" t="s">
        <v>23</v>
      </c>
      <c r="W8" s="770">
        <f t="shared" si="2"/>
        <v>0</v>
      </c>
      <c r="X8" s="771"/>
      <c r="Y8" s="3201" t="s">
        <v>2541</v>
      </c>
      <c r="Z8" s="3202"/>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3"/>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3"/>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3"/>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3"/>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15.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3" t="s">
        <v>2549</v>
      </c>
      <c r="Q15" s="1808" t="str">
        <f t="shared" si="6"/>
        <v>居住社区成熟度</v>
      </c>
      <c r="R15" s="773" t="s">
        <v>21</v>
      </c>
      <c r="S15" s="774">
        <f t="shared" si="0"/>
        <v>100</v>
      </c>
      <c r="T15" s="773" t="s">
        <v>21</v>
      </c>
      <c r="U15" s="774">
        <f t="shared" si="1"/>
        <v>100</v>
      </c>
      <c r="V15" s="773" t="s">
        <v>21</v>
      </c>
      <c r="W15" s="774">
        <f t="shared" si="2"/>
        <v>100</v>
      </c>
      <c r="X15" s="1811"/>
      <c r="Y15" s="3235" t="s">
        <v>2549</v>
      </c>
      <c r="Z15" s="1812" t="str">
        <f t="shared" si="7"/>
        <v>居住社区成熟度</v>
      </c>
      <c r="AA15" s="1809">
        <f t="shared" si="3"/>
        <v>1</v>
      </c>
      <c r="AB15" s="1809">
        <f t="shared" si="4"/>
        <v>1</v>
      </c>
      <c r="AC15" s="1809">
        <f t="shared" si="5"/>
        <v>1</v>
      </c>
    </row>
    <row r="16" spans="1:29" ht="15.5">
      <c r="A16" s="428"/>
      <c r="B16" s="446"/>
      <c r="C16" s="447"/>
      <c r="D16" s="448"/>
      <c r="E16" s="2599"/>
      <c r="F16" s="448"/>
      <c r="G16" s="2600"/>
      <c r="H16" s="450"/>
      <c r="I16" s="2600"/>
      <c r="J16" s="448"/>
      <c r="K16" s="2601"/>
      <c r="L16" s="1139"/>
      <c r="M16" s="1130"/>
      <c r="N16" s="1130"/>
      <c r="O16" s="1130"/>
      <c r="P16" s="3234"/>
      <c r="Q16" s="1808"/>
      <c r="R16" s="773"/>
      <c r="S16" s="774"/>
      <c r="T16" s="773"/>
      <c r="U16" s="774"/>
      <c r="V16" s="773"/>
      <c r="W16" s="774"/>
      <c r="X16" s="1811"/>
      <c r="Y16" s="3236"/>
      <c r="Z16" s="1812"/>
      <c r="AA16" s="1809">
        <v>1</v>
      </c>
      <c r="AB16" s="1809">
        <v>1</v>
      </c>
      <c r="AC16" s="1809">
        <v>1</v>
      </c>
    </row>
    <row r="17" spans="1:29" ht="252">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4"/>
      <c r="Q17" s="1808" t="str">
        <f>B17</f>
        <v>交通便捷度</v>
      </c>
      <c r="R17" s="773" t="s">
        <v>21</v>
      </c>
      <c r="S17" s="774">
        <f>F17</f>
        <v>100</v>
      </c>
      <c r="T17" s="773" t="s">
        <v>21</v>
      </c>
      <c r="U17" s="774">
        <f>H17</f>
        <v>100</v>
      </c>
      <c r="V17" s="773" t="s">
        <v>21</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4"/>
      <c r="F18" s="450"/>
      <c r="G18" s="2605"/>
      <c r="H18" s="448"/>
      <c r="I18" s="2605"/>
      <c r="J18" s="448"/>
      <c r="K18" s="2601"/>
      <c r="L18" s="1139"/>
      <c r="M18" s="1130"/>
      <c r="N18" s="1130"/>
      <c r="O18" s="1130"/>
      <c r="P18" s="3234"/>
      <c r="Q18" s="1808"/>
      <c r="R18" s="773"/>
      <c r="S18" s="774"/>
      <c r="T18" s="773"/>
      <c r="U18" s="774"/>
      <c r="V18" s="773"/>
      <c r="W18" s="774"/>
      <c r="X18" s="1811"/>
      <c r="Y18" s="3236"/>
      <c r="Z18" s="1812"/>
      <c r="AA18" s="1809">
        <v>1</v>
      </c>
      <c r="AB18" s="1809">
        <v>1</v>
      </c>
      <c r="AC18" s="1809">
        <v>1</v>
      </c>
    </row>
    <row r="19" spans="1:29" ht="252">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4"/>
      <c r="Q19" s="1808" t="str">
        <f>B19</f>
        <v>公共配套设施</v>
      </c>
      <c r="R19" s="773" t="s">
        <v>21</v>
      </c>
      <c r="S19" s="774">
        <f>F19</f>
        <v>100</v>
      </c>
      <c r="T19" s="773" t="s">
        <v>21</v>
      </c>
      <c r="U19" s="774">
        <f>H19</f>
        <v>100</v>
      </c>
      <c r="V19" s="773" t="s">
        <v>21</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599"/>
      <c r="F20" s="448"/>
      <c r="G20" s="2600"/>
      <c r="H20" s="448"/>
      <c r="I20" s="2600"/>
      <c r="J20" s="448"/>
      <c r="K20" s="2601"/>
      <c r="L20" s="1139"/>
      <c r="M20" s="1130"/>
      <c r="N20" s="1130"/>
      <c r="O20" s="1130"/>
      <c r="P20" s="3234"/>
      <c r="Q20" s="1808"/>
      <c r="R20" s="773"/>
      <c r="S20" s="774"/>
      <c r="T20" s="773"/>
      <c r="U20" s="774"/>
      <c r="V20" s="773"/>
      <c r="W20" s="774"/>
      <c r="X20" s="1811"/>
      <c r="Y20" s="3236"/>
      <c r="Z20" s="1812"/>
      <c r="AA20" s="1809">
        <v>1</v>
      </c>
      <c r="AB20" s="1809">
        <v>1</v>
      </c>
      <c r="AC20" s="1809">
        <v>1</v>
      </c>
    </row>
    <row r="21" spans="1:29" ht="28">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8"/>
      <c r="G22" s="2606"/>
      <c r="H22" s="448"/>
      <c r="I22" s="447"/>
      <c r="J22" s="448"/>
      <c r="K22" s="2607"/>
      <c r="L22" s="1139"/>
      <c r="M22" s="1130"/>
      <c r="N22" s="1130"/>
      <c r="O22" s="1130"/>
      <c r="P22" s="3234"/>
      <c r="Q22" s="1808"/>
      <c r="R22" s="773"/>
      <c r="S22" s="774"/>
      <c r="T22" s="773"/>
      <c r="U22" s="774"/>
      <c r="V22" s="773"/>
      <c r="W22" s="774"/>
      <c r="X22" s="1811"/>
      <c r="Y22" s="3236"/>
      <c r="Z22" s="1812"/>
      <c r="AA22" s="1809">
        <v>1</v>
      </c>
      <c r="AB22" s="1809">
        <v>1</v>
      </c>
      <c r="AC22" s="1809">
        <v>1</v>
      </c>
    </row>
    <row r="23" spans="1:29" ht="196">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4"/>
      <c r="Q23" s="1808" t="str">
        <f>B23</f>
        <v>自然及人文环境</v>
      </c>
      <c r="R23" s="773" t="s">
        <v>21</v>
      </c>
      <c r="S23" s="774">
        <f>F23</f>
        <v>100</v>
      </c>
      <c r="T23" s="773" t="s">
        <v>21</v>
      </c>
      <c r="U23" s="774">
        <f>H23</f>
        <v>100</v>
      </c>
      <c r="V23" s="773" t="s">
        <v>21</v>
      </c>
      <c r="W23" s="774">
        <f>J23</f>
        <v>100</v>
      </c>
      <c r="X23" s="1811"/>
      <c r="Y23" s="3236"/>
      <c r="Z23" s="1812" t="str">
        <f>Q23</f>
        <v>自然及人文环境</v>
      </c>
      <c r="AA23" s="1809">
        <f>D23/F23</f>
        <v>1</v>
      </c>
      <c r="AB23" s="1809">
        <f>D23/H23</f>
        <v>1</v>
      </c>
      <c r="AC23" s="1809">
        <f>D23/J23</f>
        <v>1</v>
      </c>
    </row>
    <row r="24" spans="1:29" ht="15.5">
      <c r="A24" s="428"/>
      <c r="B24" s="456"/>
      <c r="C24" s="447"/>
      <c r="D24" s="448"/>
      <c r="E24" s="2599"/>
      <c r="F24" s="448"/>
      <c r="G24" s="2600"/>
      <c r="H24" s="448"/>
      <c r="I24" s="2600"/>
      <c r="J24" s="448"/>
      <c r="K24" s="2601"/>
      <c r="L24" s="1139"/>
      <c r="M24" s="1130"/>
      <c r="N24" s="1130"/>
      <c r="O24" s="1130"/>
      <c r="P24" s="3234"/>
      <c r="Q24" s="1808"/>
      <c r="R24" s="773"/>
      <c r="S24" s="774"/>
      <c r="T24" s="773"/>
      <c r="U24" s="774"/>
      <c r="V24" s="773"/>
      <c r="W24" s="774"/>
      <c r="X24" s="1811"/>
      <c r="Y24" s="3236"/>
      <c r="Z24" s="1812"/>
      <c r="AA24" s="1809">
        <v>1</v>
      </c>
      <c r="AB24" s="1809">
        <v>1</v>
      </c>
      <c r="AC24" s="1809">
        <v>1</v>
      </c>
    </row>
    <row r="25" spans="1:29" ht="15.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3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6"/>
      <c r="Z25" s="1812" t="str">
        <f>Q25</f>
        <v>楼层-1</v>
      </c>
      <c r="AA25" s="1809">
        <f t="shared" ref="AA25:AA46" si="15">D25/F25</f>
        <v>1</v>
      </c>
      <c r="AB25" s="1809">
        <f t="shared" ref="AB25:AB46" si="16">D25/H25</f>
        <v>1</v>
      </c>
      <c r="AC25" s="1809">
        <f t="shared" ref="AC25:AC46" si="17">D25/J25</f>
        <v>1</v>
      </c>
    </row>
    <row r="26" spans="1:29" ht="15.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34"/>
      <c r="Q26" s="1808" t="str">
        <f t="shared" si="11"/>
        <v>朝向</v>
      </c>
      <c r="R26" s="773" t="s">
        <v>21</v>
      </c>
      <c r="S26" s="774">
        <f t="shared" si="12"/>
        <v>100</v>
      </c>
      <c r="T26" s="773" t="s">
        <v>21</v>
      </c>
      <c r="U26" s="774">
        <f t="shared" si="13"/>
        <v>100</v>
      </c>
      <c r="V26" s="773" t="s">
        <v>21</v>
      </c>
      <c r="W26" s="774">
        <f t="shared" si="14"/>
        <v>100</v>
      </c>
      <c r="X26" s="1811"/>
      <c r="Y26" s="3236"/>
      <c r="Z26" s="1812" t="str">
        <f>Q26</f>
        <v>朝向</v>
      </c>
      <c r="AA26" s="1809">
        <f t="shared" si="15"/>
        <v>1</v>
      </c>
      <c r="AB26" s="1809">
        <f t="shared" si="16"/>
        <v>1</v>
      </c>
      <c r="AC26" s="1809">
        <f t="shared" si="17"/>
        <v>1</v>
      </c>
    </row>
    <row r="27" spans="1:29" s="117" customFormat="1" ht="15.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34"/>
      <c r="Q27" s="1793">
        <f t="shared" si="11"/>
        <v>111</v>
      </c>
      <c r="R27" s="769" t="s">
        <v>21</v>
      </c>
      <c r="S27" s="770">
        <f t="shared" si="12"/>
        <v>100</v>
      </c>
      <c r="T27" s="769" t="s">
        <v>21</v>
      </c>
      <c r="U27" s="770">
        <f t="shared" si="13"/>
        <v>100</v>
      </c>
      <c r="V27" s="769" t="s">
        <v>21</v>
      </c>
      <c r="W27" s="770">
        <f t="shared" si="14"/>
        <v>100</v>
      </c>
      <c r="X27" s="771"/>
      <c r="Y27" s="3236"/>
      <c r="Z27" s="55">
        <f>Q27</f>
        <v>111</v>
      </c>
      <c r="AA27" s="1809">
        <f t="shared" si="15"/>
        <v>1</v>
      </c>
      <c r="AB27" s="1809">
        <f t="shared" si="16"/>
        <v>1</v>
      </c>
      <c r="AC27" s="1809">
        <f t="shared" si="17"/>
        <v>1</v>
      </c>
    </row>
    <row r="28" spans="1:29" ht="15.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34"/>
      <c r="Q28" s="1808">
        <f t="shared" si="11"/>
        <v>111</v>
      </c>
      <c r="R28" s="773" t="s">
        <v>21</v>
      </c>
      <c r="S28" s="774">
        <f t="shared" si="12"/>
        <v>100</v>
      </c>
      <c r="T28" s="773" t="s">
        <v>21</v>
      </c>
      <c r="U28" s="774">
        <f t="shared" si="13"/>
        <v>100</v>
      </c>
      <c r="V28" s="773" t="s">
        <v>21</v>
      </c>
      <c r="W28" s="774">
        <f t="shared" si="14"/>
        <v>100</v>
      </c>
      <c r="X28" s="1811"/>
      <c r="Y28" s="3236"/>
      <c r="Z28" s="1812">
        <f t="shared" ref="Z28:Z46" si="18">Q28</f>
        <v>111</v>
      </c>
      <c r="AA28" s="1809">
        <f t="shared" si="15"/>
        <v>1</v>
      </c>
      <c r="AB28" s="1809">
        <f t="shared" si="16"/>
        <v>1</v>
      </c>
      <c r="AC28" s="1809">
        <f t="shared" si="17"/>
        <v>1</v>
      </c>
    </row>
    <row r="29" spans="1:29" ht="15.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34"/>
      <c r="Q29" s="1808">
        <f t="shared" si="11"/>
        <v>111</v>
      </c>
      <c r="R29" s="773" t="s">
        <v>21</v>
      </c>
      <c r="S29" s="774">
        <f t="shared" si="12"/>
        <v>100</v>
      </c>
      <c r="T29" s="773" t="s">
        <v>21</v>
      </c>
      <c r="U29" s="774">
        <f t="shared" si="13"/>
        <v>100</v>
      </c>
      <c r="V29" s="773" t="s">
        <v>21</v>
      </c>
      <c r="W29" s="774">
        <f t="shared" si="14"/>
        <v>100</v>
      </c>
      <c r="X29" s="1811"/>
      <c r="Y29" s="3236"/>
      <c r="Z29" s="1812">
        <f t="shared" si="18"/>
        <v>111</v>
      </c>
      <c r="AA29" s="1809">
        <f t="shared" si="15"/>
        <v>1</v>
      </c>
      <c r="AB29" s="1809">
        <f t="shared" si="16"/>
        <v>1</v>
      </c>
      <c r="AC29" s="1809">
        <f t="shared" si="17"/>
        <v>1</v>
      </c>
    </row>
    <row r="30" spans="1:29" ht="15.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34"/>
      <c r="Q30" s="1808">
        <f t="shared" si="11"/>
        <v>111</v>
      </c>
      <c r="R30" s="773" t="s">
        <v>21</v>
      </c>
      <c r="S30" s="774">
        <f t="shared" si="12"/>
        <v>100</v>
      </c>
      <c r="T30" s="773" t="s">
        <v>21</v>
      </c>
      <c r="U30" s="774">
        <f t="shared" si="13"/>
        <v>100</v>
      </c>
      <c r="V30" s="773" t="s">
        <v>21</v>
      </c>
      <c r="W30" s="774">
        <f t="shared" si="14"/>
        <v>100</v>
      </c>
      <c r="X30" s="1811"/>
      <c r="Y30" s="3236"/>
      <c r="Z30" s="1812">
        <f t="shared" si="18"/>
        <v>111</v>
      </c>
      <c r="AA30" s="1809">
        <f t="shared" si="15"/>
        <v>1</v>
      </c>
      <c r="AB30" s="1809">
        <f t="shared" si="16"/>
        <v>1</v>
      </c>
      <c r="AC30" s="1809">
        <f t="shared" si="17"/>
        <v>1</v>
      </c>
    </row>
    <row r="31" spans="1:29" ht="16"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34"/>
      <c r="Q31" s="1808">
        <f t="shared" si="11"/>
        <v>111</v>
      </c>
      <c r="R31" s="773" t="s">
        <v>21</v>
      </c>
      <c r="S31" s="774">
        <f t="shared" si="12"/>
        <v>100</v>
      </c>
      <c r="T31" s="773" t="s">
        <v>21</v>
      </c>
      <c r="U31" s="774">
        <f t="shared" si="13"/>
        <v>100</v>
      </c>
      <c r="V31" s="773" t="s">
        <v>21</v>
      </c>
      <c r="W31" s="774">
        <f t="shared" si="14"/>
        <v>100</v>
      </c>
      <c r="X31" s="1811"/>
      <c r="Y31" s="3236"/>
      <c r="Z31" s="1812">
        <f t="shared" si="18"/>
        <v>111</v>
      </c>
      <c r="AA31" s="1809">
        <f t="shared" si="15"/>
        <v>1</v>
      </c>
      <c r="AB31" s="1809">
        <f t="shared" si="16"/>
        <v>1</v>
      </c>
      <c r="AC31" s="1809">
        <f t="shared" si="17"/>
        <v>1</v>
      </c>
    </row>
    <row r="32" spans="1:29" ht="15.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7" t="s">
        <v>2554</v>
      </c>
      <c r="Q32" s="1808" t="str">
        <f t="shared" si="11"/>
        <v>建筑类型</v>
      </c>
      <c r="R32" s="773" t="s">
        <v>21</v>
      </c>
      <c r="S32" s="774">
        <f t="shared" si="12"/>
        <v>100</v>
      </c>
      <c r="T32" s="773" t="s">
        <v>21</v>
      </c>
      <c r="U32" s="774">
        <f t="shared" si="13"/>
        <v>100</v>
      </c>
      <c r="V32" s="773" t="s">
        <v>21</v>
      </c>
      <c r="W32" s="774">
        <f t="shared" si="14"/>
        <v>100</v>
      </c>
      <c r="X32" s="1811"/>
      <c r="Y32" s="3240" t="s">
        <v>2554</v>
      </c>
      <c r="Z32" s="1812" t="str">
        <f t="shared" si="18"/>
        <v>建筑类型</v>
      </c>
      <c r="AA32" s="1809">
        <f t="shared" si="15"/>
        <v>1</v>
      </c>
      <c r="AB32" s="1809">
        <f t="shared" si="16"/>
        <v>1</v>
      </c>
      <c r="AC32" s="1809">
        <f t="shared" si="17"/>
        <v>1</v>
      </c>
    </row>
    <row r="33" spans="1:29" s="471" customFormat="1" ht="15.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8"/>
      <c r="Q33" s="775" t="str">
        <f t="shared" si="11"/>
        <v>项目建筑规模</v>
      </c>
      <c r="R33" s="776" t="s">
        <v>21</v>
      </c>
      <c r="S33" s="777" t="e">
        <f t="shared" si="12"/>
        <v>#N/A</v>
      </c>
      <c r="T33" s="776" t="s">
        <v>21</v>
      </c>
      <c r="U33" s="777" t="e">
        <f t="shared" si="13"/>
        <v>#N/A</v>
      </c>
      <c r="V33" s="776" t="s">
        <v>21</v>
      </c>
      <c r="W33" s="777" t="e">
        <f t="shared" si="14"/>
        <v>#N/A</v>
      </c>
      <c r="X33" s="778"/>
      <c r="Y33" s="3240"/>
      <c r="Z33" s="779" t="str">
        <f t="shared" si="18"/>
        <v>项目建筑规模</v>
      </c>
      <c r="AA33" s="1809" t="e">
        <f t="shared" si="15"/>
        <v>#N/A</v>
      </c>
      <c r="AB33" s="1809" t="e">
        <f t="shared" si="16"/>
        <v>#N/A</v>
      </c>
      <c r="AC33" s="1809" t="e">
        <f t="shared" si="17"/>
        <v>#N/A</v>
      </c>
    </row>
    <row r="34" spans="1:29" ht="15.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8"/>
      <c r="Q34" s="1808" t="str">
        <f t="shared" si="11"/>
        <v>建筑结构</v>
      </c>
      <c r="R34" s="773" t="s">
        <v>21</v>
      </c>
      <c r="S34" s="774">
        <f t="shared" si="12"/>
        <v>100</v>
      </c>
      <c r="T34" s="773" t="s">
        <v>21</v>
      </c>
      <c r="U34" s="774">
        <f t="shared" si="13"/>
        <v>100</v>
      </c>
      <c r="V34" s="773" t="s">
        <v>21</v>
      </c>
      <c r="W34" s="774">
        <f t="shared" si="14"/>
        <v>100</v>
      </c>
      <c r="X34" s="1811"/>
      <c r="Y34" s="3240"/>
      <c r="Z34" s="1812" t="str">
        <f t="shared" si="18"/>
        <v>建筑结构</v>
      </c>
      <c r="AA34" s="1809">
        <f t="shared" si="15"/>
        <v>1</v>
      </c>
      <c r="AB34" s="1809">
        <f t="shared" si="16"/>
        <v>1</v>
      </c>
      <c r="AC34" s="1809">
        <f t="shared" si="17"/>
        <v>1</v>
      </c>
    </row>
    <row r="35" spans="1:29" ht="15.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8"/>
      <c r="Q35" s="1808" t="str">
        <f t="shared" si="11"/>
        <v>建筑品质</v>
      </c>
      <c r="R35" s="773" t="s">
        <v>21</v>
      </c>
      <c r="S35" s="774">
        <f t="shared" si="12"/>
        <v>100</v>
      </c>
      <c r="T35" s="773" t="s">
        <v>21</v>
      </c>
      <c r="U35" s="774">
        <f t="shared" si="13"/>
        <v>100</v>
      </c>
      <c r="V35" s="773" t="s">
        <v>21</v>
      </c>
      <c r="W35" s="774">
        <f t="shared" si="14"/>
        <v>100</v>
      </c>
      <c r="X35" s="1811"/>
      <c r="Y35" s="3240"/>
      <c r="Z35" s="1812" t="str">
        <f t="shared" si="18"/>
        <v>建筑品质</v>
      </c>
      <c r="AA35" s="1809">
        <f t="shared" si="15"/>
        <v>1</v>
      </c>
      <c r="AB35" s="1809">
        <f t="shared" si="16"/>
        <v>1</v>
      </c>
      <c r="AC35" s="1809">
        <f t="shared" si="17"/>
        <v>1</v>
      </c>
    </row>
    <row r="36" spans="1:29" ht="15.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8"/>
      <c r="Q36" s="1808" t="str">
        <f t="shared" si="11"/>
        <v>公共部分装修</v>
      </c>
      <c r="R36" s="773" t="s">
        <v>21</v>
      </c>
      <c r="S36" s="774">
        <f t="shared" si="12"/>
        <v>100</v>
      </c>
      <c r="T36" s="773" t="s">
        <v>21</v>
      </c>
      <c r="U36" s="774">
        <f t="shared" si="13"/>
        <v>100</v>
      </c>
      <c r="V36" s="773" t="s">
        <v>21</v>
      </c>
      <c r="W36" s="774">
        <f t="shared" si="14"/>
        <v>100</v>
      </c>
      <c r="X36" s="1811"/>
      <c r="Y36" s="3240"/>
      <c r="Z36" s="1812" t="str">
        <f t="shared" si="18"/>
        <v>公共部分装修</v>
      </c>
      <c r="AA36" s="1809">
        <f t="shared" si="15"/>
        <v>1</v>
      </c>
      <c r="AB36" s="1809">
        <f t="shared" si="16"/>
        <v>1</v>
      </c>
      <c r="AC36" s="1809">
        <f t="shared" si="17"/>
        <v>1</v>
      </c>
    </row>
    <row r="37" spans="1:29" s="117" customFormat="1" ht="15.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8"/>
      <c r="Q37" s="1793" t="str">
        <f t="shared" si="11"/>
        <v>成新度</v>
      </c>
      <c r="R37" s="769" t="s">
        <v>21</v>
      </c>
      <c r="S37" s="770" t="e">
        <f t="shared" si="12"/>
        <v>#N/A</v>
      </c>
      <c r="T37" s="769" t="s">
        <v>21</v>
      </c>
      <c r="U37" s="770" t="e">
        <f t="shared" si="13"/>
        <v>#N/A</v>
      </c>
      <c r="V37" s="769" t="s">
        <v>21</v>
      </c>
      <c r="W37" s="770" t="e">
        <f t="shared" si="14"/>
        <v>#N/A</v>
      </c>
      <c r="X37" s="771"/>
      <c r="Y37" s="3240"/>
      <c r="Z37" s="55" t="str">
        <f t="shared" si="18"/>
        <v>成新度</v>
      </c>
      <c r="AA37" s="772" t="e">
        <f t="shared" si="15"/>
        <v>#N/A</v>
      </c>
      <c r="AB37" s="772" t="e">
        <f t="shared" si="16"/>
        <v>#N/A</v>
      </c>
      <c r="AC37" s="772" t="e">
        <f t="shared" si="17"/>
        <v>#N/A</v>
      </c>
    </row>
    <row r="38" spans="1:29" ht="15.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8" t="s">
        <v>2554</v>
      </c>
      <c r="Q38" s="1808" t="str">
        <f t="shared" si="11"/>
        <v>物业管理</v>
      </c>
      <c r="R38" s="773" t="s">
        <v>21</v>
      </c>
      <c r="S38" s="774">
        <f t="shared" si="12"/>
        <v>100</v>
      </c>
      <c r="T38" s="773" t="s">
        <v>21</v>
      </c>
      <c r="U38" s="774">
        <f t="shared" si="13"/>
        <v>100</v>
      </c>
      <c r="V38" s="773" t="s">
        <v>21</v>
      </c>
      <c r="W38" s="774">
        <f t="shared" si="14"/>
        <v>100</v>
      </c>
      <c r="X38" s="1811"/>
      <c r="Y38" s="3240" t="s">
        <v>2554</v>
      </c>
      <c r="Z38" s="1812" t="str">
        <f t="shared" si="18"/>
        <v>物业管理</v>
      </c>
      <c r="AA38" s="1809">
        <f t="shared" si="15"/>
        <v>1</v>
      </c>
      <c r="AB38" s="1809">
        <f t="shared" si="16"/>
        <v>1</v>
      </c>
      <c r="AC38" s="1809">
        <f t="shared" si="17"/>
        <v>1</v>
      </c>
    </row>
    <row r="39" spans="1:29" ht="15.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8"/>
      <c r="Q39" s="1808" t="str">
        <f t="shared" si="11"/>
        <v>市政基础设施</v>
      </c>
      <c r="R39" s="773" t="s">
        <v>21</v>
      </c>
      <c r="S39" s="774">
        <f t="shared" si="12"/>
        <v>100</v>
      </c>
      <c r="T39" s="773" t="s">
        <v>21</v>
      </c>
      <c r="U39" s="774">
        <f t="shared" si="13"/>
        <v>100</v>
      </c>
      <c r="V39" s="773" t="s">
        <v>21</v>
      </c>
      <c r="W39" s="774">
        <f t="shared" si="14"/>
        <v>100</v>
      </c>
      <c r="X39" s="1811"/>
      <c r="Y39" s="3240"/>
      <c r="Z39" s="1812" t="str">
        <f t="shared" si="18"/>
        <v>市政基础设施</v>
      </c>
      <c r="AA39" s="1809">
        <f t="shared" si="15"/>
        <v>1</v>
      </c>
      <c r="AB39" s="1809">
        <f t="shared" si="16"/>
        <v>1</v>
      </c>
      <c r="AC39" s="1809">
        <f t="shared" si="17"/>
        <v>1</v>
      </c>
    </row>
    <row r="40" spans="1:29" ht="15.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8"/>
      <c r="Q40" s="1808" t="str">
        <f t="shared" si="11"/>
        <v>房型</v>
      </c>
      <c r="R40" s="773" t="s">
        <v>21</v>
      </c>
      <c r="S40" s="774">
        <f t="shared" si="12"/>
        <v>100</v>
      </c>
      <c r="T40" s="773" t="s">
        <v>21</v>
      </c>
      <c r="U40" s="774">
        <f t="shared" si="13"/>
        <v>100</v>
      </c>
      <c r="V40" s="773" t="s">
        <v>21</v>
      </c>
      <c r="W40" s="774">
        <f t="shared" si="14"/>
        <v>100</v>
      </c>
      <c r="X40" s="1811"/>
      <c r="Y40" s="3240"/>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240"/>
      <c r="Z41" s="779" t="str">
        <f t="shared" si="18"/>
        <v>单套/主力户型建筑面积</v>
      </c>
      <c r="AA41" s="1809">
        <f t="shared" si="15"/>
        <v>1</v>
      </c>
      <c r="AB41" s="1809">
        <f t="shared" si="16"/>
        <v>1</v>
      </c>
      <c r="AC41" s="1809">
        <f t="shared" si="17"/>
        <v>1</v>
      </c>
    </row>
    <row r="42" spans="1:29" ht="15.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8"/>
      <c r="Q42" s="1808" t="str">
        <f t="shared" si="11"/>
        <v>内部装修</v>
      </c>
      <c r="R42" s="773" t="s">
        <v>21</v>
      </c>
      <c r="S42" s="774">
        <f t="shared" si="12"/>
        <v>100</v>
      </c>
      <c r="T42" s="773" t="s">
        <v>21</v>
      </c>
      <c r="U42" s="774">
        <f t="shared" si="13"/>
        <v>100</v>
      </c>
      <c r="V42" s="773" t="s">
        <v>21</v>
      </c>
      <c r="W42" s="774">
        <f t="shared" si="14"/>
        <v>100</v>
      </c>
      <c r="X42" s="1811"/>
      <c r="Y42" s="3240"/>
      <c r="Z42" s="1812" t="str">
        <f t="shared" si="18"/>
        <v>内部装修</v>
      </c>
      <c r="AA42" s="1809">
        <f t="shared" si="15"/>
        <v>1</v>
      </c>
      <c r="AB42" s="1809">
        <f t="shared" si="16"/>
        <v>1</v>
      </c>
      <c r="AC42" s="1809">
        <f t="shared" si="17"/>
        <v>1</v>
      </c>
    </row>
    <row r="43" spans="1:29" ht="28">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8"/>
      <c r="Q43" s="1808" t="str">
        <f t="shared" si="11"/>
        <v>内部装修维护情况</v>
      </c>
      <c r="R43" s="773" t="s">
        <v>21</v>
      </c>
      <c r="S43" s="774">
        <f t="shared" si="12"/>
        <v>100</v>
      </c>
      <c r="T43" s="773" t="s">
        <v>21</v>
      </c>
      <c r="U43" s="774">
        <f t="shared" si="13"/>
        <v>100</v>
      </c>
      <c r="V43" s="773" t="s">
        <v>21</v>
      </c>
      <c r="W43" s="774">
        <f t="shared" si="14"/>
        <v>100</v>
      </c>
      <c r="X43" s="1811"/>
      <c r="Y43" s="3240"/>
      <c r="Z43" s="1812" t="str">
        <f t="shared" si="18"/>
        <v>内部装修维护情况</v>
      </c>
      <c r="AA43" s="1809">
        <f t="shared" si="15"/>
        <v>1</v>
      </c>
      <c r="AB43" s="1809">
        <f t="shared" si="16"/>
        <v>1</v>
      </c>
      <c r="AC43" s="1809">
        <f t="shared" si="17"/>
        <v>1</v>
      </c>
    </row>
    <row r="44" spans="1:29" s="117" customFormat="1" ht="15.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8"/>
      <c r="Q44" s="1793">
        <f t="shared" si="11"/>
        <v>111</v>
      </c>
      <c r="R44" s="769" t="s">
        <v>21</v>
      </c>
      <c r="S44" s="770">
        <f t="shared" si="12"/>
        <v>100</v>
      </c>
      <c r="T44" s="769" t="s">
        <v>21</v>
      </c>
      <c r="U44" s="770">
        <f t="shared" si="13"/>
        <v>100</v>
      </c>
      <c r="V44" s="769" t="s">
        <v>21</v>
      </c>
      <c r="W44" s="770">
        <f t="shared" si="14"/>
        <v>100</v>
      </c>
      <c r="X44" s="771"/>
      <c r="Y44" s="3240"/>
      <c r="Z44" s="55">
        <f t="shared" si="18"/>
        <v>111</v>
      </c>
      <c r="AA44" s="772">
        <f t="shared" si="15"/>
        <v>1</v>
      </c>
      <c r="AB44" s="772">
        <f t="shared" si="16"/>
        <v>1</v>
      </c>
      <c r="AC44" s="772">
        <f t="shared" si="17"/>
        <v>1</v>
      </c>
    </row>
    <row r="45" spans="1:29" ht="15.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8"/>
      <c r="Q45" s="1808">
        <f t="shared" si="11"/>
        <v>111</v>
      </c>
      <c r="R45" s="773" t="s">
        <v>21</v>
      </c>
      <c r="S45" s="774">
        <f t="shared" si="12"/>
        <v>100</v>
      </c>
      <c r="T45" s="773" t="s">
        <v>21</v>
      </c>
      <c r="U45" s="774">
        <f t="shared" si="13"/>
        <v>100</v>
      </c>
      <c r="V45" s="773" t="s">
        <v>21</v>
      </c>
      <c r="W45" s="774">
        <f t="shared" si="14"/>
        <v>100</v>
      </c>
      <c r="X45" s="1811"/>
      <c r="Y45" s="3240"/>
      <c r="Z45" s="1812">
        <f t="shared" si="18"/>
        <v>111</v>
      </c>
      <c r="AA45" s="1809">
        <f t="shared" si="15"/>
        <v>1</v>
      </c>
      <c r="AB45" s="1809">
        <f t="shared" si="16"/>
        <v>1</v>
      </c>
      <c r="AC45" s="1809">
        <f t="shared" si="17"/>
        <v>1</v>
      </c>
    </row>
    <row r="46" spans="1:29" ht="1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9"/>
      <c r="Q46" s="1808">
        <f t="shared" si="11"/>
        <v>111</v>
      </c>
      <c r="R46" s="773" t="s">
        <v>20</v>
      </c>
      <c r="S46" s="774">
        <f t="shared" si="12"/>
        <v>100</v>
      </c>
      <c r="T46" s="773" t="s">
        <v>20</v>
      </c>
      <c r="U46" s="774">
        <f t="shared" si="13"/>
        <v>100</v>
      </c>
      <c r="V46" s="773" t="s">
        <v>20</v>
      </c>
      <c r="W46" s="774">
        <f t="shared" si="14"/>
        <v>100</v>
      </c>
      <c r="X46" s="1811"/>
      <c r="Y46" s="3241"/>
      <c r="Z46" s="1812">
        <f t="shared" si="18"/>
        <v>111</v>
      </c>
      <c r="AA46" s="1809">
        <f t="shared" si="15"/>
        <v>1</v>
      </c>
      <c r="AB46" s="1809">
        <f t="shared" si="16"/>
        <v>1</v>
      </c>
      <c r="AC46" s="1809">
        <f t="shared" si="17"/>
        <v>1</v>
      </c>
    </row>
    <row r="47" spans="1:29">
      <c r="A47" s="479" t="s">
        <v>2566</v>
      </c>
      <c r="B47" s="480"/>
      <c r="C47" s="1405" t="s">
        <v>19</v>
      </c>
      <c r="D47" s="1406"/>
      <c r="E47" s="1407"/>
      <c r="F47" s="1408"/>
      <c r="G47" s="1409"/>
      <c r="H47" s="1410"/>
      <c r="I47" s="1407"/>
      <c r="J47" s="1410"/>
      <c r="K47" s="2616"/>
      <c r="L47" s="1142"/>
      <c r="M47" s="1143"/>
      <c r="N47" s="1130"/>
      <c r="O47" s="1143"/>
      <c r="P47" s="3242" t="str">
        <f>A47</f>
        <v>成交单价（元/平方米）</v>
      </c>
      <c r="Q47" s="3242"/>
      <c r="R47" s="3243">
        <f>E47</f>
        <v>0</v>
      </c>
      <c r="S47" s="3243"/>
      <c r="T47" s="3243">
        <f>G47</f>
        <v>0</v>
      </c>
      <c r="U47" s="3243"/>
      <c r="V47" s="3243">
        <f>I47</f>
        <v>0</v>
      </c>
      <c r="W47" s="3243"/>
      <c r="X47" s="758"/>
      <c r="Y47" s="780"/>
      <c r="Z47" s="758"/>
      <c r="AA47" s="758"/>
      <c r="AB47" s="758"/>
      <c r="AC47" s="758"/>
    </row>
    <row r="48" spans="1:29" ht="14.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4.5" thickBot="1">
      <c r="A49" s="492" t="s">
        <v>2568</v>
      </c>
      <c r="B49" s="493"/>
      <c r="C49" s="1414" t="e">
        <f>R49</f>
        <v>#DIV/0!</v>
      </c>
      <c r="D49" s="1415"/>
      <c r="E49" s="1415"/>
      <c r="F49" s="1415"/>
      <c r="G49" s="1415"/>
      <c r="H49" s="1415"/>
      <c r="I49" s="1415"/>
      <c r="J49" s="1415"/>
      <c r="K49" s="2618"/>
      <c r="L49" s="1142"/>
      <c r="M49" s="1143"/>
      <c r="N49" s="1143"/>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5" thickBot="1">
      <c r="A57" s="762" t="s">
        <v>2572</v>
      </c>
      <c r="B57" s="758"/>
      <c r="C57" s="763"/>
      <c r="D57" s="763"/>
      <c r="E57" s="763"/>
      <c r="F57" s="764"/>
      <c r="G57" s="764"/>
      <c r="H57" s="763"/>
      <c r="I57" s="763"/>
      <c r="J57" s="763"/>
      <c r="K57" s="1159"/>
      <c r="L57" s="1160"/>
      <c r="M57" s="1158"/>
      <c r="N57" s="1158"/>
      <c r="O57" s="1158"/>
      <c r="P57" s="2621"/>
      <c r="Q57" s="504"/>
    </row>
    <row r="58" spans="1:29" s="508" customFormat="1">
      <c r="A58" s="505" t="s">
        <v>2573</v>
      </c>
      <c r="B58" s="506"/>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c r="A59" s="509"/>
      <c r="B59" s="2622"/>
      <c r="C59" s="1571">
        <v>100</v>
      </c>
      <c r="D59" s="511"/>
      <c r="E59" s="512"/>
      <c r="F59" s="512"/>
      <c r="G59" s="512"/>
      <c r="H59" s="512"/>
      <c r="I59" s="512"/>
      <c r="J59" s="512"/>
      <c r="K59" s="512"/>
      <c r="L59" s="512"/>
      <c r="M59" s="513"/>
      <c r="N59" s="512"/>
      <c r="O59" s="513"/>
      <c r="P59" s="2623"/>
    </row>
    <row r="60" spans="1:29" s="117" customFormat="1" ht="14.5" thickBot="1">
      <c r="A60" s="515" t="s">
        <v>2574</v>
      </c>
      <c r="B60" s="516"/>
      <c r="C60" s="517"/>
      <c r="D60" s="518"/>
      <c r="E60" s="518"/>
      <c r="F60" s="518"/>
      <c r="G60" s="518"/>
      <c r="H60" s="518"/>
      <c r="I60" s="518"/>
      <c r="J60" s="518"/>
      <c r="K60" s="518"/>
      <c r="L60" s="518"/>
      <c r="M60" s="519"/>
      <c r="N60" s="518"/>
      <c r="O60" s="519"/>
      <c r="P60" s="2623"/>
      <c r="Q60" s="504"/>
    </row>
    <row r="61" spans="1:29" s="117" customFormat="1">
      <c r="A61" s="521" t="s">
        <v>2575</v>
      </c>
      <c r="B61" s="510"/>
      <c r="C61" s="522" t="s">
        <v>2576</v>
      </c>
      <c r="D61" s="523"/>
      <c r="E61" s="523"/>
      <c r="F61" s="523"/>
      <c r="G61" s="523"/>
      <c r="H61" s="523"/>
      <c r="I61" s="523"/>
      <c r="J61" s="523"/>
      <c r="K61" s="523"/>
      <c r="L61" s="524"/>
      <c r="M61" s="525"/>
      <c r="N61" s="1150"/>
      <c r="O61" s="1150"/>
      <c r="P61" s="2624"/>
      <c r="Q61" s="504"/>
    </row>
    <row r="62" spans="1:29" s="117" customFormat="1" ht="14.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4.5" thickBot="1">
      <c r="A64" s="534"/>
      <c r="B64" s="535"/>
      <c r="C64" s="536">
        <v>100</v>
      </c>
      <c r="D64" s="536"/>
      <c r="E64" s="536"/>
      <c r="F64" s="536"/>
      <c r="G64" s="536"/>
      <c r="H64" s="536"/>
      <c r="I64" s="536"/>
      <c r="J64" s="536"/>
      <c r="K64" s="536"/>
      <c r="L64" s="536"/>
      <c r="M64" s="537"/>
      <c r="N64" s="1152"/>
      <c r="O64" s="1152"/>
      <c r="P64" s="2625"/>
      <c r="Q64" s="504"/>
    </row>
    <row r="65" spans="1:17" ht="28.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4.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4.5" thickTop="1">
      <c r="A70" s="553"/>
      <c r="B70" s="538">
        <f>B12</f>
        <v>111</v>
      </c>
      <c r="C70" s="554"/>
      <c r="D70" s="554"/>
      <c r="E70" s="554"/>
      <c r="F70" s="554"/>
      <c r="G70" s="554"/>
      <c r="H70" s="555"/>
      <c r="I70" s="555"/>
      <c r="J70" s="555"/>
      <c r="K70" s="555"/>
      <c r="L70" s="556"/>
      <c r="M70" s="557"/>
      <c r="N70" s="1153"/>
      <c r="O70" s="1153"/>
      <c r="P70" s="2626"/>
      <c r="Q70" s="559"/>
    </row>
    <row r="71" spans="1:17" s="471" customFormat="1" ht="14.5" thickBot="1">
      <c r="A71" s="553"/>
      <c r="B71" s="543"/>
      <c r="C71" s="560"/>
      <c r="D71" s="536"/>
      <c r="E71" s="536"/>
      <c r="F71" s="536"/>
      <c r="G71" s="536"/>
      <c r="H71" s="536"/>
      <c r="I71" s="536"/>
      <c r="J71" s="536"/>
      <c r="K71" s="536"/>
      <c r="L71" s="536"/>
      <c r="M71" s="537"/>
      <c r="N71" s="1152"/>
      <c r="O71" s="1152"/>
      <c r="P71" s="2626"/>
      <c r="Q71" s="559"/>
    </row>
    <row r="72" spans="1:17" s="471" customFormat="1" ht="14.5" thickTop="1">
      <c r="A72" s="553"/>
      <c r="B72" s="538">
        <f>B13</f>
        <v>111</v>
      </c>
      <c r="C72" s="554"/>
      <c r="D72" s="554"/>
      <c r="E72" s="554"/>
      <c r="F72" s="554"/>
      <c r="G72" s="554"/>
      <c r="H72" s="555"/>
      <c r="I72" s="555"/>
      <c r="J72" s="555"/>
      <c r="K72" s="555"/>
      <c r="L72" s="556"/>
      <c r="M72" s="557"/>
      <c r="N72" s="1153"/>
      <c r="O72" s="1153"/>
      <c r="P72" s="2627"/>
      <c r="Q72" s="561"/>
    </row>
    <row r="73" spans="1:17" s="471" customFormat="1" ht="14.5" thickBot="1">
      <c r="A73" s="553"/>
      <c r="B73" s="543"/>
      <c r="C73" s="560"/>
      <c r="D73" s="560"/>
      <c r="E73" s="560"/>
      <c r="F73" s="560"/>
      <c r="G73" s="560"/>
      <c r="H73" s="562"/>
      <c r="I73" s="562"/>
      <c r="J73" s="562"/>
      <c r="K73" s="562"/>
      <c r="L73" s="562"/>
      <c r="M73" s="563"/>
      <c r="N73" s="1153"/>
      <c r="O73" s="1153"/>
      <c r="P73" s="2626"/>
      <c r="Q73" s="559"/>
    </row>
    <row r="74" spans="1:17" s="471" customFormat="1" ht="14.5" thickTop="1">
      <c r="A74" s="553"/>
      <c r="B74" s="546">
        <f>B14</f>
        <v>111</v>
      </c>
      <c r="C74" s="554"/>
      <c r="D74" s="554"/>
      <c r="E74" s="554"/>
      <c r="F74" s="554"/>
      <c r="G74" s="523"/>
      <c r="H74" s="564"/>
      <c r="I74" s="564"/>
      <c r="J74" s="564"/>
      <c r="K74" s="564"/>
      <c r="L74" s="565"/>
      <c r="M74" s="566"/>
      <c r="N74" s="1153"/>
      <c r="O74" s="1153"/>
      <c r="P74" s="2628"/>
      <c r="Q74" s="559"/>
    </row>
    <row r="75" spans="1:17" s="471" customFormat="1" ht="14.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4.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4.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4.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4.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 thickTop="1">
      <c r="A86" s="579"/>
      <c r="B86" s="538" t="s">
        <v>2599</v>
      </c>
      <c r="C86" s="554"/>
      <c r="D86" s="554"/>
      <c r="E86" s="554"/>
      <c r="F86" s="554"/>
      <c r="G86" s="554"/>
      <c r="H86" s="554"/>
      <c r="I86" s="554"/>
      <c r="J86" s="554"/>
      <c r="K86" s="554"/>
      <c r="L86" s="580"/>
      <c r="M86" s="581"/>
      <c r="N86" s="1150"/>
      <c r="O86" s="1150"/>
      <c r="P86" s="2625"/>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4.5" thickTop="1">
      <c r="A88" s="579"/>
      <c r="B88" s="538" t="s">
        <v>2600</v>
      </c>
      <c r="C88" s="554"/>
      <c r="D88" s="554"/>
      <c r="E88" s="554"/>
      <c r="F88" s="2630"/>
      <c r="G88" s="554"/>
      <c r="H88" s="554"/>
      <c r="I88" s="554"/>
      <c r="J88" s="554"/>
      <c r="K88" s="554"/>
      <c r="L88" s="554"/>
      <c r="M88" s="581"/>
      <c r="N88" s="1150"/>
      <c r="O88" s="1150"/>
      <c r="P88" s="2625"/>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4.5" thickTop="1">
      <c r="A90" s="553"/>
      <c r="B90" s="538">
        <f>B27</f>
        <v>111</v>
      </c>
      <c r="C90" s="554"/>
      <c r="D90" s="554"/>
      <c r="E90" s="554"/>
      <c r="F90" s="554"/>
      <c r="G90" s="554"/>
      <c r="H90" s="555"/>
      <c r="I90" s="555"/>
      <c r="J90" s="555"/>
      <c r="K90" s="555"/>
      <c r="L90" s="556"/>
      <c r="M90" s="557"/>
      <c r="N90" s="1153"/>
      <c r="O90" s="1153"/>
      <c r="P90" s="2626"/>
      <c r="Q90" s="559"/>
    </row>
    <row r="91" spans="1:17" s="471" customFormat="1" ht="14.5" thickBot="1">
      <c r="A91" s="553"/>
      <c r="B91" s="543"/>
      <c r="C91" s="560"/>
      <c r="D91" s="560"/>
      <c r="E91" s="560"/>
      <c r="F91" s="560"/>
      <c r="G91" s="560"/>
      <c r="H91" s="562"/>
      <c r="I91" s="562"/>
      <c r="J91" s="562"/>
      <c r="K91" s="562"/>
      <c r="L91" s="562"/>
      <c r="M91" s="563"/>
      <c r="N91" s="1153"/>
      <c r="O91" s="1153"/>
      <c r="P91" s="2626"/>
      <c r="Q91" s="559"/>
    </row>
    <row r="92" spans="1:17" ht="14.5" thickTop="1">
      <c r="A92" s="534"/>
      <c r="B92" s="538">
        <f>B28</f>
        <v>111</v>
      </c>
      <c r="C92" s="554"/>
      <c r="D92" s="554"/>
      <c r="E92" s="554"/>
      <c r="F92" s="554"/>
      <c r="G92" s="583"/>
      <c r="H92" s="583"/>
      <c r="I92" s="583"/>
      <c r="J92" s="583"/>
      <c r="K92" s="584"/>
      <c r="L92" s="585"/>
      <c r="M92" s="586"/>
      <c r="N92" s="1151"/>
      <c r="O92" s="1151"/>
      <c r="P92" s="2625"/>
      <c r="Q92" s="504"/>
    </row>
    <row r="93" spans="1:17" ht="14.5" thickBot="1">
      <c r="A93" s="534"/>
      <c r="B93" s="543"/>
      <c r="C93" s="560"/>
      <c r="D93" s="536"/>
      <c r="E93" s="536"/>
      <c r="F93" s="536"/>
      <c r="G93" s="536"/>
      <c r="H93" s="536"/>
      <c r="I93" s="536"/>
      <c r="J93" s="536"/>
      <c r="K93" s="536"/>
      <c r="L93" s="536"/>
      <c r="M93" s="537"/>
      <c r="N93" s="1152"/>
      <c r="O93" s="1152"/>
      <c r="P93" s="2625"/>
      <c r="Q93" s="504"/>
    </row>
    <row r="94" spans="1:17" ht="14.5" thickTop="1">
      <c r="A94" s="534"/>
      <c r="B94" s="538">
        <f>B29</f>
        <v>111</v>
      </c>
      <c r="C94" s="554"/>
      <c r="D94" s="554"/>
      <c r="E94" s="554"/>
      <c r="F94" s="554"/>
      <c r="G94" s="583"/>
      <c r="H94" s="583"/>
      <c r="I94" s="583"/>
      <c r="J94" s="583"/>
      <c r="K94" s="584"/>
      <c r="L94" s="585"/>
      <c r="M94" s="586"/>
      <c r="N94" s="1151"/>
      <c r="O94" s="1151"/>
      <c r="P94" s="2625"/>
      <c r="Q94" s="504"/>
    </row>
    <row r="95" spans="1:17" ht="14.5" thickBot="1">
      <c r="A95" s="534"/>
      <c r="B95" s="543"/>
      <c r="C95" s="560"/>
      <c r="D95" s="560"/>
      <c r="E95" s="560"/>
      <c r="F95" s="560"/>
      <c r="G95" s="536"/>
      <c r="H95" s="536"/>
      <c r="I95" s="536"/>
      <c r="J95" s="536"/>
      <c r="K95" s="536"/>
      <c r="L95" s="536"/>
      <c r="M95" s="537"/>
      <c r="N95" s="1152"/>
      <c r="O95" s="1152"/>
      <c r="P95" s="2625"/>
      <c r="Q95" s="504"/>
    </row>
    <row r="96" spans="1:17" ht="14.5" thickTop="1">
      <c r="A96" s="534"/>
      <c r="B96" s="538">
        <f>B30</f>
        <v>111</v>
      </c>
      <c r="C96" s="554"/>
      <c r="D96" s="554"/>
      <c r="E96" s="554"/>
      <c r="F96" s="554"/>
      <c r="G96" s="583"/>
      <c r="H96" s="583"/>
      <c r="I96" s="583"/>
      <c r="J96" s="583"/>
      <c r="K96" s="584"/>
      <c r="L96" s="585"/>
      <c r="M96" s="586"/>
      <c r="N96" s="1151"/>
      <c r="O96" s="1151"/>
      <c r="P96" s="2625"/>
      <c r="Q96" s="504"/>
    </row>
    <row r="97" spans="1:17" ht="14.5" thickBot="1">
      <c r="A97" s="534"/>
      <c r="B97" s="543"/>
      <c r="C97" s="570"/>
      <c r="D97" s="570"/>
      <c r="E97" s="570"/>
      <c r="F97" s="570"/>
      <c r="G97" s="536"/>
      <c r="H97" s="536"/>
      <c r="I97" s="536"/>
      <c r="J97" s="536"/>
      <c r="K97" s="536"/>
      <c r="L97" s="536"/>
      <c r="M97" s="537"/>
      <c r="N97" s="1152"/>
      <c r="O97" s="1152"/>
      <c r="P97" s="2625"/>
      <c r="Q97" s="504"/>
    </row>
    <row r="98" spans="1:17" ht="14.5" thickTop="1">
      <c r="A98" s="534"/>
      <c r="B98" s="546">
        <f>B31</f>
        <v>111</v>
      </c>
      <c r="C98" s="587"/>
      <c r="D98" s="587"/>
      <c r="E98" s="587"/>
      <c r="F98" s="587"/>
      <c r="G98" s="587"/>
      <c r="H98" s="587"/>
      <c r="I98" s="587"/>
      <c r="J98" s="587"/>
      <c r="K98" s="588"/>
      <c r="L98" s="589"/>
      <c r="M98" s="590"/>
      <c r="N98" s="1151"/>
      <c r="O98" s="1151"/>
      <c r="P98" s="2625"/>
      <c r="Q98" s="504"/>
    </row>
    <row r="99" spans="1:17" ht="14.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4.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5" thickBot="1">
      <c r="A104" s="553"/>
      <c r="B104" s="543"/>
      <c r="C104" s="560"/>
      <c r="D104" s="536"/>
      <c r="E104" s="536"/>
      <c r="F104" s="536"/>
      <c r="G104" s="536"/>
      <c r="H104" s="536"/>
      <c r="I104" s="536"/>
      <c r="J104" s="536"/>
      <c r="K104" s="536"/>
      <c r="L104" s="536"/>
      <c r="M104" s="536"/>
      <c r="N104" s="1152"/>
      <c r="O104" s="1152"/>
      <c r="P104" s="2626"/>
      <c r="Q104" s="559"/>
    </row>
    <row r="105" spans="1:17" ht="14.5" thickTop="1">
      <c r="A105" s="599"/>
      <c r="B105" s="538" t="s">
        <v>2603</v>
      </c>
      <c r="C105" s="554"/>
      <c r="D105" s="554"/>
      <c r="E105" s="583"/>
      <c r="F105" s="583"/>
      <c r="G105" s="583"/>
      <c r="H105" s="583"/>
      <c r="I105" s="583"/>
      <c r="J105" s="583"/>
      <c r="K105" s="584"/>
      <c r="L105" s="585"/>
      <c r="M105" s="586"/>
      <c r="N105" s="1151"/>
      <c r="O105" s="1151"/>
      <c r="P105" s="2625"/>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4.5" thickTop="1">
      <c r="A107" s="599"/>
      <c r="B107" s="538" t="s">
        <v>2604</v>
      </c>
      <c r="C107" s="583"/>
      <c r="D107" s="583"/>
      <c r="E107" s="583"/>
      <c r="F107" s="583"/>
      <c r="G107" s="583"/>
      <c r="H107" s="583"/>
      <c r="I107" s="583"/>
      <c r="J107" s="583"/>
      <c r="K107" s="584"/>
      <c r="L107" s="585"/>
      <c r="M107" s="586"/>
      <c r="N107" s="1151"/>
      <c r="O107" s="1151"/>
      <c r="P107" s="2625"/>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4.5" thickTop="1">
      <c r="A109" s="599"/>
      <c r="B109" s="538" t="s">
        <v>2605</v>
      </c>
      <c r="C109" s="554"/>
      <c r="D109" s="554"/>
      <c r="E109" s="554"/>
      <c r="F109" s="583"/>
      <c r="G109" s="583"/>
      <c r="H109" s="583"/>
      <c r="I109" s="583"/>
      <c r="J109" s="583"/>
      <c r="K109" s="584"/>
      <c r="L109" s="585"/>
      <c r="M109" s="586"/>
      <c r="N109" s="1151"/>
      <c r="O109" s="1151"/>
      <c r="P109" s="2625"/>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4.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4.5" thickTop="1">
      <c r="A114" s="599"/>
      <c r="B114" s="538" t="s">
        <v>2606</v>
      </c>
      <c r="C114" s="554"/>
      <c r="D114" s="554"/>
      <c r="E114" s="583"/>
      <c r="F114" s="583"/>
      <c r="G114" s="583"/>
      <c r="H114" s="583"/>
      <c r="I114" s="583"/>
      <c r="J114" s="583"/>
      <c r="K114" s="584"/>
      <c r="L114" s="585"/>
      <c r="M114" s="586"/>
      <c r="N114" s="1151"/>
      <c r="O114" s="1151"/>
      <c r="P114" s="2625"/>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4.5" thickTop="1">
      <c r="A116" s="599"/>
      <c r="B116" s="538" t="s">
        <v>2607</v>
      </c>
      <c r="C116" s="554"/>
      <c r="D116" s="554"/>
      <c r="E116" s="554"/>
      <c r="F116" s="554"/>
      <c r="G116" s="554"/>
      <c r="H116" s="583"/>
      <c r="I116" s="583"/>
      <c r="J116" s="583"/>
      <c r="K116" s="584"/>
      <c r="L116" s="585"/>
      <c r="M116" s="586"/>
      <c r="N116" s="1151"/>
      <c r="O116" s="1151"/>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4.5" thickTop="1">
      <c r="A118" s="599"/>
      <c r="B118" s="538" t="s">
        <v>2608</v>
      </c>
      <c r="C118" s="583"/>
      <c r="D118" s="583"/>
      <c r="E118" s="583"/>
      <c r="F118" s="583"/>
      <c r="G118" s="583"/>
      <c r="H118" s="583"/>
      <c r="I118" s="583"/>
      <c r="J118" s="583"/>
      <c r="K118" s="584"/>
      <c r="L118" s="585"/>
      <c r="M118" s="586"/>
      <c r="N118" s="1151"/>
      <c r="O118" s="1151"/>
      <c r="P118" s="2625"/>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9"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4.5" thickBot="1">
      <c r="A121" s="553"/>
      <c r="B121" s="535"/>
      <c r="C121" s="560"/>
      <c r="D121" s="536"/>
      <c r="E121" s="536"/>
      <c r="F121" s="536"/>
      <c r="G121" s="536"/>
      <c r="H121" s="536"/>
      <c r="I121" s="536"/>
      <c r="J121" s="536"/>
      <c r="K121" s="536"/>
      <c r="L121" s="536"/>
      <c r="M121" s="536"/>
      <c r="N121" s="1153"/>
      <c r="O121" s="1153"/>
      <c r="P121" s="2626"/>
      <c r="Q121" s="559"/>
    </row>
    <row r="122" spans="1:17" ht="14.5" thickTop="1">
      <c r="A122" s="599"/>
      <c r="B122" s="538" t="s">
        <v>2609</v>
      </c>
      <c r="C122" s="554"/>
      <c r="D122" s="554"/>
      <c r="E122" s="554"/>
      <c r="F122" s="583"/>
      <c r="G122" s="583"/>
      <c r="H122" s="583"/>
      <c r="I122" s="583"/>
      <c r="J122" s="583"/>
      <c r="K122" s="584"/>
      <c r="L122" s="585"/>
      <c r="M122" s="586"/>
      <c r="N122" s="1151"/>
      <c r="O122" s="1151"/>
      <c r="P122" s="2625"/>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28.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5" thickBot="1">
      <c r="A127" s="553"/>
      <c r="B127" s="543"/>
      <c r="C127" s="560"/>
      <c r="D127" s="536"/>
      <c r="E127" s="536"/>
      <c r="F127" s="536"/>
      <c r="G127" s="560"/>
      <c r="H127" s="562"/>
      <c r="I127" s="562"/>
      <c r="J127" s="562"/>
      <c r="K127" s="562"/>
      <c r="L127" s="562"/>
      <c r="M127" s="563"/>
      <c r="N127" s="1153"/>
      <c r="O127" s="1153"/>
      <c r="P127" s="2626"/>
      <c r="Q127" s="559"/>
    </row>
    <row r="128" spans="1:17" ht="14.5" thickTop="1">
      <c r="A128" s="599"/>
      <c r="B128" s="538">
        <f>B45</f>
        <v>111</v>
      </c>
      <c r="C128" s="554"/>
      <c r="D128" s="554"/>
      <c r="E128" s="554"/>
      <c r="F128" s="554"/>
      <c r="G128" s="583"/>
      <c r="H128" s="583"/>
      <c r="I128" s="583"/>
      <c r="J128" s="583"/>
      <c r="K128" s="584"/>
      <c r="L128" s="585"/>
      <c r="M128" s="586"/>
      <c r="N128" s="1151"/>
      <c r="O128" s="1151"/>
      <c r="P128" s="2625"/>
      <c r="Q128" s="504"/>
    </row>
    <row r="129" spans="1:17" ht="14.5" thickBot="1">
      <c r="A129" s="534"/>
      <c r="B129" s="543"/>
      <c r="C129" s="560"/>
      <c r="D129" s="560"/>
      <c r="E129" s="560"/>
      <c r="F129" s="560"/>
      <c r="G129" s="536"/>
      <c r="H129" s="536"/>
      <c r="I129" s="536"/>
      <c r="J129" s="536"/>
      <c r="K129" s="536"/>
      <c r="L129" s="536"/>
      <c r="M129" s="537"/>
      <c r="N129" s="1152"/>
      <c r="O129" s="1152"/>
      <c r="P129" s="2625"/>
      <c r="Q129" s="504"/>
    </row>
    <row r="130" spans="1:17" ht="14.5" thickTop="1">
      <c r="A130" s="599"/>
      <c r="B130" s="546">
        <f>B46</f>
        <v>111</v>
      </c>
      <c r="C130" s="554"/>
      <c r="D130" s="554"/>
      <c r="E130" s="554"/>
      <c r="F130" s="554"/>
      <c r="G130" s="587"/>
      <c r="H130" s="587"/>
      <c r="I130" s="587"/>
      <c r="J130" s="587"/>
      <c r="K130" s="523"/>
      <c r="L130" s="524"/>
      <c r="M130" s="590"/>
      <c r="N130" s="1151"/>
      <c r="O130" s="1151"/>
      <c r="P130" s="2625"/>
      <c r="Q130" s="504"/>
    </row>
    <row r="131" spans="1:17" ht="14.5" thickBot="1">
      <c r="A131" s="2631"/>
      <c r="B131" s="569"/>
      <c r="C131" s="570"/>
      <c r="D131" s="570"/>
      <c r="E131" s="570"/>
      <c r="F131" s="570"/>
      <c r="G131" s="591"/>
      <c r="H131" s="591"/>
      <c r="I131" s="591"/>
      <c r="J131" s="591"/>
      <c r="K131" s="591"/>
      <c r="L131" s="591"/>
      <c r="M131" s="592"/>
      <c r="N131" s="1152"/>
      <c r="O131" s="1152"/>
      <c r="P131" s="2625"/>
      <c r="Q131" s="504"/>
    </row>
    <row r="136" spans="1:17" ht="14.5" thickBot="1">
      <c r="B136" s="2632" t="s">
        <v>2611</v>
      </c>
    </row>
    <row r="137" spans="1:17" ht="15.5">
      <c r="B137" s="2633" t="s">
        <v>2612</v>
      </c>
      <c r="C137" s="2634"/>
      <c r="D137" s="2634"/>
      <c r="E137" s="2634"/>
      <c r="F137" s="2634"/>
      <c r="G137" s="2635"/>
      <c r="H137" s="2636"/>
      <c r="I137" s="2637" t="s">
        <v>2613</v>
      </c>
      <c r="J137" s="2634"/>
      <c r="K137" s="2638"/>
    </row>
    <row r="138" spans="1:17" ht="15.5">
      <c r="B138" s="2639"/>
      <c r="C138" s="146" t="s">
        <v>2614</v>
      </c>
      <c r="D138" s="146" t="s">
        <v>2615</v>
      </c>
      <c r="E138" s="2640" t="s">
        <v>2616</v>
      </c>
      <c r="F138" s="2641" t="s">
        <v>2617</v>
      </c>
      <c r="G138" s="146" t="s">
        <v>2615</v>
      </c>
      <c r="H138" s="147" t="s">
        <v>2616</v>
      </c>
      <c r="I138" s="2642"/>
      <c r="J138" s="146" t="s">
        <v>2618</v>
      </c>
      <c r="K138" s="147" t="s">
        <v>2619</v>
      </c>
    </row>
    <row r="139" spans="1:17" ht="15.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5">
      <c r="B140" s="1089">
        <v>5</v>
      </c>
      <c r="C140" s="1090">
        <v>100</v>
      </c>
      <c r="D140" s="1090"/>
      <c r="E140" s="1091"/>
      <c r="F140" s="1092">
        <v>102</v>
      </c>
      <c r="G140" s="1090"/>
      <c r="H140" s="1093"/>
      <c r="I140" s="2645" t="s">
        <v>2622</v>
      </c>
      <c r="J140" s="315">
        <f>ROUNDUP((J139-1)/2,0)</f>
        <v>10</v>
      </c>
      <c r="K140" s="1094">
        <v>100</v>
      </c>
    </row>
    <row r="141" spans="1:17" ht="15.5">
      <c r="B141" s="1089">
        <v>4</v>
      </c>
      <c r="C141" s="1090">
        <v>102</v>
      </c>
      <c r="D141" s="1090"/>
      <c r="E141" s="1091"/>
      <c r="F141" s="1092">
        <v>101.5</v>
      </c>
      <c r="G141" s="1090"/>
      <c r="H141" s="1093"/>
      <c r="I141" s="2645" t="s">
        <v>2623</v>
      </c>
      <c r="J141" s="315">
        <v>1</v>
      </c>
      <c r="K141" s="1095">
        <f>ROUND(100+(J141-J140)*K139*100,1)</f>
        <v>96.4</v>
      </c>
    </row>
    <row r="142" spans="1:17" ht="15.5">
      <c r="B142" s="1089">
        <v>3</v>
      </c>
      <c r="C142" s="1090">
        <v>103</v>
      </c>
      <c r="D142" s="1090"/>
      <c r="E142" s="1091"/>
      <c r="F142" s="1092">
        <v>101</v>
      </c>
      <c r="G142" s="1090"/>
      <c r="H142" s="1093"/>
      <c r="I142" s="2645" t="s">
        <v>2624</v>
      </c>
      <c r="J142" s="315">
        <f>J139</f>
        <v>20</v>
      </c>
      <c r="K142" s="1096">
        <v>95</v>
      </c>
    </row>
    <row r="143" spans="1:17" ht="15.5">
      <c r="B143" s="1089">
        <v>2</v>
      </c>
      <c r="C143" s="1090">
        <v>100</v>
      </c>
      <c r="D143" s="1090"/>
      <c r="E143" s="1091"/>
      <c r="F143" s="1092">
        <v>100.5</v>
      </c>
      <c r="G143" s="1090"/>
      <c r="H143" s="1093"/>
      <c r="I143" s="2645" t="s">
        <v>2625</v>
      </c>
      <c r="J143" s="1090">
        <v>15</v>
      </c>
      <c r="K143" s="1095">
        <f>ROUND(100+(J143-J140)*K139*100,1)</f>
        <v>102</v>
      </c>
    </row>
    <row r="144" spans="1:17" ht="15.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6"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19"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230"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230"/>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30"/>
      <c r="AC6" s="3200"/>
    </row>
    <row r="7" spans="1:29" s="117" customFormat="1" ht="14.5" thickBot="1">
      <c r="A7" s="408" t="s">
        <v>2537</v>
      </c>
      <c r="B7" s="409"/>
      <c r="C7" s="410">
        <f>'数据-取费表'!B2</f>
        <v>43908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5.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3" t="s">
        <v>2549</v>
      </c>
      <c r="Q15" s="1808" t="str">
        <f t="shared" si="6"/>
        <v>商业繁华度</v>
      </c>
      <c r="R15" s="773" t="s">
        <v>17</v>
      </c>
      <c r="S15" s="774">
        <f t="shared" si="0"/>
        <v>100</v>
      </c>
      <c r="T15" s="773" t="s">
        <v>17</v>
      </c>
      <c r="U15" s="774">
        <f t="shared" si="1"/>
        <v>100</v>
      </c>
      <c r="V15" s="773" t="s">
        <v>17</v>
      </c>
      <c r="W15" s="774">
        <f t="shared" si="2"/>
        <v>100</v>
      </c>
      <c r="X15" s="1811"/>
      <c r="Y15" s="3235" t="s">
        <v>2549</v>
      </c>
      <c r="Z15" s="1812" t="str">
        <f t="shared" si="7"/>
        <v>商业繁华度</v>
      </c>
      <c r="AA15" s="1809">
        <f t="shared" si="3"/>
        <v>1</v>
      </c>
      <c r="AB15" s="1809">
        <f t="shared" si="4"/>
        <v>1</v>
      </c>
      <c r="AC15" s="1809">
        <f t="shared" si="5"/>
        <v>1</v>
      </c>
    </row>
    <row r="16" spans="1:29" ht="15.5">
      <c r="A16" s="428"/>
      <c r="B16" s="446"/>
      <c r="C16" s="447"/>
      <c r="D16" s="448"/>
      <c r="E16" s="447"/>
      <c r="F16" s="449"/>
      <c r="G16" s="447"/>
      <c r="H16" s="450"/>
      <c r="I16" s="447"/>
      <c r="J16" s="448"/>
      <c r="K16" s="615"/>
      <c r="L16" s="1139"/>
      <c r="M16" s="1130"/>
      <c r="N16" s="1130"/>
      <c r="O16" s="1130"/>
      <c r="P16" s="3234"/>
      <c r="Q16" s="1808"/>
      <c r="R16" s="773"/>
      <c r="S16" s="774"/>
      <c r="T16" s="773"/>
      <c r="U16" s="774"/>
      <c r="V16" s="773"/>
      <c r="W16" s="774"/>
      <c r="X16" s="1811"/>
      <c r="Y16" s="3236"/>
      <c r="Z16" s="1812"/>
      <c r="AA16" s="1809">
        <v>1</v>
      </c>
      <c r="AB16" s="1809">
        <v>1</v>
      </c>
      <c r="AC16" s="1809">
        <v>1</v>
      </c>
    </row>
    <row r="17" spans="1:29" ht="252">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5"/>
      <c r="F18" s="453"/>
      <c r="G18" s="2604"/>
      <c r="H18" s="448"/>
      <c r="I18" s="2605"/>
      <c r="J18" s="448"/>
      <c r="K18" s="615"/>
      <c r="L18" s="1139"/>
      <c r="M18" s="1130"/>
      <c r="N18" s="1130"/>
      <c r="O18" s="1130"/>
      <c r="P18" s="3234"/>
      <c r="Q18" s="1808"/>
      <c r="R18" s="773"/>
      <c r="S18" s="774"/>
      <c r="T18" s="773"/>
      <c r="U18" s="774"/>
      <c r="V18" s="773"/>
      <c r="W18" s="774"/>
      <c r="X18" s="1811"/>
      <c r="Y18" s="3236"/>
      <c r="Z18" s="1812"/>
      <c r="AA18" s="1809">
        <v>1</v>
      </c>
      <c r="AB18" s="1809">
        <v>1</v>
      </c>
      <c r="AC18" s="1809">
        <v>1</v>
      </c>
    </row>
    <row r="19" spans="1:29" ht="252">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600"/>
      <c r="F20" s="449"/>
      <c r="G20" s="2599"/>
      <c r="H20" s="448"/>
      <c r="I20" s="2600"/>
      <c r="J20" s="448"/>
      <c r="K20" s="615"/>
      <c r="L20" s="1139"/>
      <c r="M20" s="1130"/>
      <c r="N20" s="1130"/>
      <c r="O20" s="1130"/>
      <c r="P20" s="3234"/>
      <c r="Q20" s="1808"/>
      <c r="R20" s="773"/>
      <c r="S20" s="774"/>
      <c r="T20" s="773"/>
      <c r="U20" s="774"/>
      <c r="V20" s="773"/>
      <c r="W20" s="774"/>
      <c r="X20" s="1811"/>
      <c r="Y20" s="3236"/>
      <c r="Z20" s="1812"/>
      <c r="AA20" s="1809">
        <v>1</v>
      </c>
      <c r="AB20" s="1809">
        <v>1</v>
      </c>
      <c r="AC20" s="1809">
        <v>1</v>
      </c>
    </row>
    <row r="21" spans="1:29" ht="28">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9"/>
      <c r="G22" s="447"/>
      <c r="H22" s="448"/>
      <c r="I22" s="447"/>
      <c r="J22" s="448"/>
      <c r="K22" s="1381"/>
      <c r="L22" s="1139"/>
      <c r="M22" s="1130"/>
      <c r="N22" s="1130"/>
      <c r="O22" s="1130"/>
      <c r="P22" s="3234"/>
      <c r="Q22" s="1808"/>
      <c r="R22" s="773"/>
      <c r="S22" s="774"/>
      <c r="T22" s="773"/>
      <c r="U22" s="774"/>
      <c r="V22" s="773"/>
      <c r="W22" s="774"/>
      <c r="X22" s="1811"/>
      <c r="Y22" s="3236"/>
      <c r="Z22" s="1812"/>
      <c r="AA22" s="1809">
        <v>1</v>
      </c>
      <c r="AB22" s="1809">
        <v>1</v>
      </c>
      <c r="AC22" s="1809">
        <v>1</v>
      </c>
    </row>
    <row r="23" spans="1:29" ht="196">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4"/>
      <c r="Q23" s="1808" t="str">
        <f>B23</f>
        <v>自然及人文环境</v>
      </c>
      <c r="R23" s="773" t="s">
        <v>17</v>
      </c>
      <c r="S23" s="774">
        <f>F23</f>
        <v>100</v>
      </c>
      <c r="T23" s="773" t="s">
        <v>17</v>
      </c>
      <c r="U23" s="774">
        <f>H23</f>
        <v>100</v>
      </c>
      <c r="V23" s="773" t="s">
        <v>17</v>
      </c>
      <c r="W23" s="774">
        <f>J23</f>
        <v>100</v>
      </c>
      <c r="X23" s="1811"/>
      <c r="Y23" s="3236"/>
      <c r="Z23" s="1812" t="str">
        <f>Q23</f>
        <v>自然及人文环境</v>
      </c>
      <c r="AA23" s="1809">
        <f t="shared" si="3"/>
        <v>1</v>
      </c>
      <c r="AB23" s="1809">
        <f t="shared" si="4"/>
        <v>1</v>
      </c>
      <c r="AC23" s="1809">
        <f t="shared" si="5"/>
        <v>1</v>
      </c>
    </row>
    <row r="24" spans="1:29" ht="15.5">
      <c r="A24" s="428"/>
      <c r="B24" s="456"/>
      <c r="C24" s="447"/>
      <c r="D24" s="448"/>
      <c r="E24" s="2600"/>
      <c r="F24" s="449"/>
      <c r="G24" s="2599"/>
      <c r="H24" s="448"/>
      <c r="I24" s="2600"/>
      <c r="J24" s="448"/>
      <c r="K24" s="615"/>
      <c r="L24" s="1139"/>
      <c r="M24" s="1130"/>
      <c r="N24" s="1130"/>
      <c r="O24" s="1130"/>
      <c r="P24" s="3234"/>
      <c r="Q24" s="1808"/>
      <c r="R24" s="773"/>
      <c r="S24" s="774"/>
      <c r="T24" s="773"/>
      <c r="U24" s="774"/>
      <c r="V24" s="773"/>
      <c r="W24" s="774"/>
      <c r="X24" s="1811"/>
      <c r="Y24" s="3236"/>
      <c r="Z24" s="1812"/>
      <c r="AA24" s="1809">
        <v>1</v>
      </c>
      <c r="AB24" s="1809">
        <v>1</v>
      </c>
      <c r="AC24" s="1809">
        <v>1</v>
      </c>
    </row>
    <row r="25" spans="1:29" ht="15.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4"/>
      <c r="Q25" s="1808" t="str">
        <f t="shared" ref="Q25:Q46" si="11">B25</f>
        <v>临街状况</v>
      </c>
      <c r="R25" s="773" t="s">
        <v>17</v>
      </c>
      <c r="S25" s="774">
        <f>F25</f>
        <v>100</v>
      </c>
      <c r="T25" s="773" t="s">
        <v>17</v>
      </c>
      <c r="U25" s="774">
        <f>H25</f>
        <v>100</v>
      </c>
      <c r="V25" s="773" t="s">
        <v>17</v>
      </c>
      <c r="W25" s="774">
        <f>J25</f>
        <v>100</v>
      </c>
      <c r="X25" s="1811"/>
      <c r="Y25" s="3236"/>
      <c r="Z25" s="1812" t="str">
        <f>Q25</f>
        <v>临街状况</v>
      </c>
      <c r="AA25" s="1809">
        <f t="shared" si="3"/>
        <v>1</v>
      </c>
      <c r="AB25" s="1809">
        <f t="shared" si="4"/>
        <v>1</v>
      </c>
      <c r="AC25" s="1809">
        <f t="shared" si="5"/>
        <v>1</v>
      </c>
    </row>
    <row r="26" spans="1:29" ht="15.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4"/>
      <c r="Q26" s="1808" t="str">
        <f t="shared" si="11"/>
        <v>平面位置/可视性</v>
      </c>
      <c r="R26" s="773" t="s">
        <v>17</v>
      </c>
      <c r="S26" s="774">
        <f>F26</f>
        <v>100</v>
      </c>
      <c r="T26" s="773" t="s">
        <v>17</v>
      </c>
      <c r="U26" s="774">
        <f>H26</f>
        <v>100</v>
      </c>
      <c r="V26" s="773" t="s">
        <v>17</v>
      </c>
      <c r="W26" s="774">
        <f>J26</f>
        <v>100</v>
      </c>
      <c r="X26" s="1811"/>
      <c r="Y26" s="3236"/>
      <c r="Z26" s="1812" t="str">
        <f>Q26</f>
        <v>平面位置/可视性</v>
      </c>
      <c r="AA26" s="1809">
        <f t="shared" si="3"/>
        <v>1</v>
      </c>
      <c r="AB26" s="1809">
        <f t="shared" si="4"/>
        <v>1</v>
      </c>
      <c r="AC26" s="1809">
        <f t="shared" si="5"/>
        <v>1</v>
      </c>
    </row>
    <row r="27" spans="1:29" s="117" customFormat="1" ht="15.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34"/>
      <c r="Q27" s="1793" t="str">
        <f t="shared" si="11"/>
        <v>人流量</v>
      </c>
      <c r="R27" s="769" t="s">
        <v>17</v>
      </c>
      <c r="S27" s="770">
        <f>F27</f>
        <v>100</v>
      </c>
      <c r="T27" s="769" t="s">
        <v>17</v>
      </c>
      <c r="U27" s="770">
        <f>H27</f>
        <v>100</v>
      </c>
      <c r="V27" s="769" t="s">
        <v>17</v>
      </c>
      <c r="W27" s="770">
        <f>J27</f>
        <v>100</v>
      </c>
      <c r="X27" s="771"/>
      <c r="Y27" s="3236"/>
      <c r="Z27" s="55" t="str">
        <f>Q27</f>
        <v>人流量</v>
      </c>
      <c r="AA27" s="1809">
        <f>D27/F27</f>
        <v>1</v>
      </c>
      <c r="AB27" s="1809">
        <f>D27/H27</f>
        <v>1</v>
      </c>
      <c r="AC27" s="1809">
        <f>D27/J27</f>
        <v>1</v>
      </c>
    </row>
    <row r="28" spans="1:29" ht="15.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6"/>
      <c r="Z28" s="1812" t="str">
        <f t="shared" ref="Z28:Z46" si="15">Q28</f>
        <v>楼层</v>
      </c>
      <c r="AA28" s="1809">
        <f t="shared" si="3"/>
        <v>1</v>
      </c>
      <c r="AB28" s="1809">
        <f t="shared" si="4"/>
        <v>1</v>
      </c>
      <c r="AC28" s="1809">
        <f t="shared" si="5"/>
        <v>1</v>
      </c>
    </row>
    <row r="29" spans="1:29" ht="15.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1808">
        <f t="shared" si="11"/>
        <v>111</v>
      </c>
      <c r="R29" s="773" t="s">
        <v>17</v>
      </c>
      <c r="S29" s="774">
        <f t="shared" si="12"/>
        <v>100</v>
      </c>
      <c r="T29" s="773" t="s">
        <v>17</v>
      </c>
      <c r="U29" s="774">
        <f t="shared" si="13"/>
        <v>100</v>
      </c>
      <c r="V29" s="773" t="s">
        <v>17</v>
      </c>
      <c r="W29" s="774">
        <f t="shared" si="14"/>
        <v>100</v>
      </c>
      <c r="X29" s="1811"/>
      <c r="Y29" s="3236"/>
      <c r="Z29" s="1812">
        <f t="shared" si="15"/>
        <v>111</v>
      </c>
      <c r="AA29" s="1809">
        <f t="shared" si="3"/>
        <v>1</v>
      </c>
      <c r="AB29" s="1809">
        <f t="shared" si="4"/>
        <v>1</v>
      </c>
      <c r="AC29" s="1809">
        <f t="shared" si="5"/>
        <v>1</v>
      </c>
    </row>
    <row r="30" spans="1:29" ht="15.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1808">
        <f t="shared" si="11"/>
        <v>111</v>
      </c>
      <c r="R30" s="773" t="s">
        <v>17</v>
      </c>
      <c r="S30" s="774">
        <f t="shared" si="12"/>
        <v>100</v>
      </c>
      <c r="T30" s="773" t="s">
        <v>17</v>
      </c>
      <c r="U30" s="774">
        <f t="shared" si="13"/>
        <v>100</v>
      </c>
      <c r="V30" s="773" t="s">
        <v>17</v>
      </c>
      <c r="W30" s="774">
        <f t="shared" si="14"/>
        <v>100</v>
      </c>
      <c r="X30" s="1811"/>
      <c r="Y30" s="3236"/>
      <c r="Z30" s="1812">
        <f t="shared" si="15"/>
        <v>111</v>
      </c>
      <c r="AA30" s="1809">
        <f t="shared" si="3"/>
        <v>1</v>
      </c>
      <c r="AB30" s="1809">
        <f t="shared" si="4"/>
        <v>1</v>
      </c>
      <c r="AC30" s="1809">
        <f t="shared" si="5"/>
        <v>1</v>
      </c>
    </row>
    <row r="31" spans="1:29" ht="1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1808">
        <f t="shared" si="11"/>
        <v>111</v>
      </c>
      <c r="R31" s="773" t="s">
        <v>17</v>
      </c>
      <c r="S31" s="774">
        <f t="shared" si="12"/>
        <v>100</v>
      </c>
      <c r="T31" s="773" t="s">
        <v>17</v>
      </c>
      <c r="U31" s="774">
        <f t="shared" si="13"/>
        <v>100</v>
      </c>
      <c r="V31" s="773" t="s">
        <v>17</v>
      </c>
      <c r="W31" s="774">
        <f t="shared" si="14"/>
        <v>100</v>
      </c>
      <c r="X31" s="1811"/>
      <c r="Y31" s="3236"/>
      <c r="Z31" s="1812">
        <f t="shared" si="15"/>
        <v>111</v>
      </c>
      <c r="AA31" s="1809">
        <f t="shared" si="3"/>
        <v>1</v>
      </c>
      <c r="AB31" s="1809">
        <f t="shared" si="4"/>
        <v>1</v>
      </c>
      <c r="AC31" s="1809">
        <f t="shared" si="5"/>
        <v>1</v>
      </c>
    </row>
    <row r="32" spans="1:29" ht="15.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37" t="s">
        <v>2554</v>
      </c>
      <c r="Q32" s="1808" t="str">
        <f t="shared" si="11"/>
        <v>商业类型</v>
      </c>
      <c r="R32" s="773" t="s">
        <v>17</v>
      </c>
      <c r="S32" s="774">
        <f t="shared" si="12"/>
        <v>100</v>
      </c>
      <c r="T32" s="773" t="s">
        <v>17</v>
      </c>
      <c r="U32" s="774">
        <f t="shared" si="13"/>
        <v>100</v>
      </c>
      <c r="V32" s="773" t="s">
        <v>17</v>
      </c>
      <c r="W32" s="774">
        <f t="shared" si="14"/>
        <v>100</v>
      </c>
      <c r="X32" s="1811"/>
      <c r="Y32" s="3240" t="s">
        <v>2554</v>
      </c>
      <c r="Z32" s="1812" t="str">
        <f t="shared" si="15"/>
        <v>商业类型</v>
      </c>
      <c r="AA32" s="1809">
        <f t="shared" si="3"/>
        <v>1</v>
      </c>
      <c r="AB32" s="1809">
        <f t="shared" si="4"/>
        <v>1</v>
      </c>
      <c r="AC32" s="1809">
        <f t="shared" si="5"/>
        <v>1</v>
      </c>
    </row>
    <row r="33" spans="1:29" s="471" customFormat="1" ht="15.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240"/>
      <c r="Z33" s="779" t="str">
        <f t="shared" si="15"/>
        <v>项目建筑规模</v>
      </c>
      <c r="AA33" s="1809" t="e">
        <f t="shared" si="3"/>
        <v>#N/A</v>
      </c>
      <c r="AB33" s="1809" t="e">
        <f t="shared" si="4"/>
        <v>#N/A</v>
      </c>
      <c r="AC33" s="1809" t="e">
        <f t="shared" si="5"/>
        <v>#N/A</v>
      </c>
    </row>
    <row r="34" spans="1:29" ht="15.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38"/>
      <c r="Q34" s="1808" t="str">
        <f t="shared" si="11"/>
        <v>建筑结构</v>
      </c>
      <c r="R34" s="773" t="s">
        <v>17</v>
      </c>
      <c r="S34" s="774">
        <f t="shared" si="12"/>
        <v>100</v>
      </c>
      <c r="T34" s="773" t="s">
        <v>17</v>
      </c>
      <c r="U34" s="774">
        <f t="shared" si="13"/>
        <v>100</v>
      </c>
      <c r="V34" s="773" t="s">
        <v>17</v>
      </c>
      <c r="W34" s="774">
        <f t="shared" si="14"/>
        <v>100</v>
      </c>
      <c r="X34" s="1811"/>
      <c r="Y34" s="3240"/>
      <c r="Z34" s="1812" t="str">
        <f t="shared" si="15"/>
        <v>建筑结构</v>
      </c>
      <c r="AA34" s="1809">
        <f t="shared" si="3"/>
        <v>1</v>
      </c>
      <c r="AB34" s="1809">
        <f t="shared" si="4"/>
        <v>1</v>
      </c>
      <c r="AC34" s="1809">
        <f t="shared" si="5"/>
        <v>1</v>
      </c>
    </row>
    <row r="35" spans="1:29" ht="15.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38"/>
      <c r="Q35" s="1808" t="str">
        <f t="shared" si="11"/>
        <v>公共部分装修</v>
      </c>
      <c r="R35" s="773" t="s">
        <v>17</v>
      </c>
      <c r="S35" s="774">
        <f t="shared" si="12"/>
        <v>100</v>
      </c>
      <c r="T35" s="773" t="s">
        <v>17</v>
      </c>
      <c r="U35" s="774">
        <f t="shared" si="13"/>
        <v>100</v>
      </c>
      <c r="V35" s="773" t="s">
        <v>17</v>
      </c>
      <c r="W35" s="774">
        <f t="shared" si="14"/>
        <v>100</v>
      </c>
      <c r="X35" s="1811"/>
      <c r="Y35" s="3240"/>
      <c r="Z35" s="1812" t="str">
        <f t="shared" si="15"/>
        <v>公共部分装修</v>
      </c>
      <c r="AA35" s="1809">
        <f t="shared" si="3"/>
        <v>1</v>
      </c>
      <c r="AB35" s="1809">
        <f t="shared" si="4"/>
        <v>1</v>
      </c>
      <c r="AC35" s="1809">
        <f t="shared" si="5"/>
        <v>1</v>
      </c>
    </row>
    <row r="36" spans="1:29" ht="15.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8"/>
      <c r="Q36" s="1808" t="str">
        <f t="shared" si="11"/>
        <v>成新度</v>
      </c>
      <c r="R36" s="773" t="s">
        <v>17</v>
      </c>
      <c r="S36" s="774" t="e">
        <f t="shared" si="12"/>
        <v>#N/A</v>
      </c>
      <c r="T36" s="773" t="s">
        <v>17</v>
      </c>
      <c r="U36" s="774" t="e">
        <f t="shared" si="13"/>
        <v>#N/A</v>
      </c>
      <c r="V36" s="773" t="s">
        <v>17</v>
      </c>
      <c r="W36" s="774" t="e">
        <f t="shared" si="14"/>
        <v>#N/A</v>
      </c>
      <c r="X36" s="1811"/>
      <c r="Y36" s="3240"/>
      <c r="Z36" s="1812" t="str">
        <f t="shared" si="15"/>
        <v>成新度</v>
      </c>
      <c r="AA36" s="1809" t="e">
        <f t="shared" si="3"/>
        <v>#N/A</v>
      </c>
      <c r="AB36" s="1809" t="e">
        <f t="shared" si="4"/>
        <v>#N/A</v>
      </c>
      <c r="AC36" s="1809" t="e">
        <f t="shared" si="5"/>
        <v>#N/A</v>
      </c>
    </row>
    <row r="37" spans="1:29" s="117" customFormat="1" ht="15.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38"/>
      <c r="Q37" s="1793" t="str">
        <f t="shared" si="11"/>
        <v>市政基础设施</v>
      </c>
      <c r="R37" s="769" t="s">
        <v>17</v>
      </c>
      <c r="S37" s="770">
        <f t="shared" si="12"/>
        <v>100</v>
      </c>
      <c r="T37" s="769" t="s">
        <v>17</v>
      </c>
      <c r="U37" s="770">
        <f t="shared" si="13"/>
        <v>100</v>
      </c>
      <c r="V37" s="769" t="s">
        <v>17</v>
      </c>
      <c r="W37" s="770">
        <f t="shared" si="14"/>
        <v>100</v>
      </c>
      <c r="X37" s="771"/>
      <c r="Y37" s="3240"/>
      <c r="Z37" s="55" t="str">
        <f t="shared" si="15"/>
        <v>市政基础设施</v>
      </c>
      <c r="AA37" s="772">
        <f t="shared" si="3"/>
        <v>1</v>
      </c>
      <c r="AB37" s="772">
        <f t="shared" si="4"/>
        <v>1</v>
      </c>
      <c r="AC37" s="772">
        <f t="shared" si="5"/>
        <v>1</v>
      </c>
    </row>
    <row r="38" spans="1:29" ht="15.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38" t="s">
        <v>2554</v>
      </c>
      <c r="Q38" s="1808" t="str">
        <f t="shared" si="11"/>
        <v>业态</v>
      </c>
      <c r="R38" s="773" t="s">
        <v>17</v>
      </c>
      <c r="S38" s="774">
        <f t="shared" si="12"/>
        <v>100</v>
      </c>
      <c r="T38" s="773" t="s">
        <v>17</v>
      </c>
      <c r="U38" s="774">
        <f t="shared" si="13"/>
        <v>100</v>
      </c>
      <c r="V38" s="773" t="s">
        <v>17</v>
      </c>
      <c r="W38" s="774">
        <f t="shared" si="14"/>
        <v>100</v>
      </c>
      <c r="X38" s="1811"/>
      <c r="Y38" s="3240" t="s">
        <v>2554</v>
      </c>
      <c r="Z38" s="1812" t="str">
        <f t="shared" si="15"/>
        <v>业态</v>
      </c>
      <c r="AA38" s="1809">
        <f t="shared" si="3"/>
        <v>1</v>
      </c>
      <c r="AB38" s="1809">
        <f t="shared" si="4"/>
        <v>1</v>
      </c>
      <c r="AC38" s="1809">
        <f t="shared" si="5"/>
        <v>1</v>
      </c>
    </row>
    <row r="39" spans="1:29" ht="15.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38"/>
      <c r="Q39" s="1808" t="str">
        <f t="shared" si="11"/>
        <v>层高</v>
      </c>
      <c r="R39" s="773" t="s">
        <v>17</v>
      </c>
      <c r="S39" s="774">
        <f t="shared" si="12"/>
        <v>100</v>
      </c>
      <c r="T39" s="773" t="s">
        <v>17</v>
      </c>
      <c r="U39" s="774">
        <f t="shared" si="13"/>
        <v>100</v>
      </c>
      <c r="V39" s="773" t="s">
        <v>17</v>
      </c>
      <c r="W39" s="774">
        <f t="shared" si="14"/>
        <v>100</v>
      </c>
      <c r="X39" s="1811"/>
      <c r="Y39" s="3240"/>
      <c r="Z39" s="1812" t="str">
        <f t="shared" si="15"/>
        <v>层高</v>
      </c>
      <c r="AA39" s="1809">
        <f t="shared" si="3"/>
        <v>1</v>
      </c>
      <c r="AB39" s="1809">
        <f t="shared" si="4"/>
        <v>1</v>
      </c>
      <c r="AC39" s="1809">
        <f t="shared" si="5"/>
        <v>1</v>
      </c>
    </row>
    <row r="40" spans="1:29" ht="15.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8"/>
      <c r="Q40" s="1808" t="str">
        <f t="shared" si="11"/>
        <v>单套建筑面积</v>
      </c>
      <c r="R40" s="773" t="s">
        <v>17</v>
      </c>
      <c r="S40" s="774">
        <f t="shared" si="12"/>
        <v>100</v>
      </c>
      <c r="T40" s="773" t="s">
        <v>17</v>
      </c>
      <c r="U40" s="774">
        <f t="shared" si="13"/>
        <v>100</v>
      </c>
      <c r="V40" s="773" t="s">
        <v>17</v>
      </c>
      <c r="W40" s="774">
        <f t="shared" si="14"/>
        <v>100</v>
      </c>
      <c r="X40" s="1811"/>
      <c r="Y40" s="3240"/>
      <c r="Z40" s="1812" t="str">
        <f t="shared" si="15"/>
        <v>单套建筑面积</v>
      </c>
      <c r="AA40" s="1809">
        <f t="shared" si="3"/>
        <v>1</v>
      </c>
      <c r="AB40" s="1809">
        <f t="shared" si="4"/>
        <v>1</v>
      </c>
      <c r="AC40" s="1809">
        <f t="shared" si="5"/>
        <v>1</v>
      </c>
    </row>
    <row r="41" spans="1:29" s="471" customFormat="1" ht="15.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240"/>
      <c r="Z41" s="779" t="str">
        <f t="shared" si="15"/>
        <v>进深比</v>
      </c>
      <c r="AA41" s="1809">
        <f t="shared" si="3"/>
        <v>1</v>
      </c>
      <c r="AB41" s="1809">
        <f t="shared" si="4"/>
        <v>1</v>
      </c>
      <c r="AC41" s="1809">
        <f t="shared" si="5"/>
        <v>1</v>
      </c>
    </row>
    <row r="42" spans="1:29" ht="15.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38"/>
      <c r="Q42" s="1808" t="str">
        <f t="shared" si="11"/>
        <v>内部装修</v>
      </c>
      <c r="R42" s="773" t="s">
        <v>17</v>
      </c>
      <c r="S42" s="774">
        <f t="shared" si="12"/>
        <v>100</v>
      </c>
      <c r="T42" s="773" t="s">
        <v>17</v>
      </c>
      <c r="U42" s="774">
        <f t="shared" si="13"/>
        <v>100</v>
      </c>
      <c r="V42" s="773" t="s">
        <v>17</v>
      </c>
      <c r="W42" s="774">
        <f t="shared" si="14"/>
        <v>100</v>
      </c>
      <c r="X42" s="1811"/>
      <c r="Y42" s="3240"/>
      <c r="Z42" s="1812" t="str">
        <f t="shared" si="15"/>
        <v>内部装修</v>
      </c>
      <c r="AA42" s="1809">
        <f t="shared" si="3"/>
        <v>1</v>
      </c>
      <c r="AB42" s="1809">
        <f t="shared" si="4"/>
        <v>1</v>
      </c>
      <c r="AC42" s="1809">
        <f t="shared" si="5"/>
        <v>1</v>
      </c>
    </row>
    <row r="43" spans="1:29" ht="28">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38"/>
      <c r="Q43" s="1808" t="str">
        <f t="shared" si="11"/>
        <v>内部装修维护情况</v>
      </c>
      <c r="R43" s="773" t="s">
        <v>17</v>
      </c>
      <c r="S43" s="774">
        <f t="shared" si="12"/>
        <v>100</v>
      </c>
      <c r="T43" s="773" t="s">
        <v>17</v>
      </c>
      <c r="U43" s="774">
        <f t="shared" si="13"/>
        <v>100</v>
      </c>
      <c r="V43" s="773" t="s">
        <v>17</v>
      </c>
      <c r="W43" s="774">
        <f t="shared" si="14"/>
        <v>100</v>
      </c>
      <c r="X43" s="1811"/>
      <c r="Y43" s="3240"/>
      <c r="Z43" s="1812" t="str">
        <f t="shared" si="15"/>
        <v>内部装修维护情况</v>
      </c>
      <c r="AA43" s="1809">
        <f t="shared" si="3"/>
        <v>1</v>
      </c>
      <c r="AB43" s="1809">
        <f t="shared" si="4"/>
        <v>1</v>
      </c>
      <c r="AC43" s="1809">
        <f t="shared" si="5"/>
        <v>1</v>
      </c>
    </row>
    <row r="44" spans="1:29" s="117" customFormat="1" ht="15.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8"/>
      <c r="Q44" s="1793">
        <f t="shared" si="11"/>
        <v>111</v>
      </c>
      <c r="R44" s="769" t="s">
        <v>17</v>
      </c>
      <c r="S44" s="770">
        <f t="shared" si="12"/>
        <v>100</v>
      </c>
      <c r="T44" s="769" t="s">
        <v>17</v>
      </c>
      <c r="U44" s="770">
        <f t="shared" si="13"/>
        <v>100</v>
      </c>
      <c r="V44" s="769" t="s">
        <v>17</v>
      </c>
      <c r="W44" s="770">
        <f t="shared" si="14"/>
        <v>100</v>
      </c>
      <c r="X44" s="771"/>
      <c r="Y44" s="3240"/>
      <c r="Z44" s="55">
        <f t="shared" si="15"/>
        <v>111</v>
      </c>
      <c r="AA44" s="772">
        <f t="shared" si="3"/>
        <v>1</v>
      </c>
      <c r="AB44" s="772">
        <f t="shared" si="4"/>
        <v>1</v>
      </c>
      <c r="AC44" s="772">
        <f t="shared" si="5"/>
        <v>1</v>
      </c>
    </row>
    <row r="45" spans="1:29" ht="15.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8"/>
      <c r="Q45" s="1808">
        <f t="shared" si="11"/>
        <v>111</v>
      </c>
      <c r="R45" s="773" t="s">
        <v>17</v>
      </c>
      <c r="S45" s="774">
        <f t="shared" si="12"/>
        <v>100</v>
      </c>
      <c r="T45" s="773" t="s">
        <v>17</v>
      </c>
      <c r="U45" s="774">
        <f t="shared" si="13"/>
        <v>100</v>
      </c>
      <c r="V45" s="773" t="s">
        <v>17</v>
      </c>
      <c r="W45" s="774">
        <f t="shared" si="14"/>
        <v>100</v>
      </c>
      <c r="X45" s="1811"/>
      <c r="Y45" s="3240"/>
      <c r="Z45" s="1812">
        <f t="shared" si="15"/>
        <v>111</v>
      </c>
      <c r="AA45" s="1809">
        <f t="shared" si="3"/>
        <v>1</v>
      </c>
      <c r="AB45" s="1809">
        <f t="shared" si="4"/>
        <v>1</v>
      </c>
      <c r="AC45" s="1809">
        <f t="shared" si="5"/>
        <v>1</v>
      </c>
    </row>
    <row r="46" spans="1:29" ht="1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9"/>
      <c r="Q46" s="1808">
        <f t="shared" si="11"/>
        <v>111</v>
      </c>
      <c r="R46" s="773" t="s">
        <v>17</v>
      </c>
      <c r="S46" s="774">
        <f t="shared" si="12"/>
        <v>100</v>
      </c>
      <c r="T46" s="773" t="s">
        <v>17</v>
      </c>
      <c r="U46" s="774">
        <f t="shared" si="13"/>
        <v>100</v>
      </c>
      <c r="V46" s="773" t="s">
        <v>17</v>
      </c>
      <c r="W46" s="774">
        <f t="shared" si="14"/>
        <v>100</v>
      </c>
      <c r="X46" s="1811"/>
      <c r="Y46" s="3241"/>
      <c r="Z46" s="1812">
        <f t="shared" si="15"/>
        <v>111</v>
      </c>
      <c r="AA46" s="1809">
        <f t="shared" si="3"/>
        <v>1</v>
      </c>
      <c r="AB46" s="1809">
        <f t="shared" si="4"/>
        <v>1</v>
      </c>
      <c r="AC46" s="1809">
        <f t="shared" si="5"/>
        <v>1</v>
      </c>
    </row>
    <row r="47" spans="1:29">
      <c r="A47" s="479" t="s">
        <v>2566</v>
      </c>
      <c r="B47" s="480"/>
      <c r="C47" s="1405" t="s">
        <v>1</v>
      </c>
      <c r="D47" s="1406"/>
      <c r="E47" s="1407"/>
      <c r="F47" s="1408"/>
      <c r="G47" s="1409"/>
      <c r="H47" s="1410"/>
      <c r="I47" s="1407"/>
      <c r="J47" s="1410"/>
      <c r="K47" s="782"/>
      <c r="L47" s="1142"/>
      <c r="M47" s="1143"/>
      <c r="N47" s="1130"/>
      <c r="O47" s="1143"/>
      <c r="P47" s="3242" t="str">
        <f>A47</f>
        <v>成交单价（元/平方米）</v>
      </c>
      <c r="Q47" s="3242"/>
      <c r="R47" s="3230">
        <f>E47</f>
        <v>0</v>
      </c>
      <c r="S47" s="3230"/>
      <c r="T47" s="3230">
        <f>G47</f>
        <v>0</v>
      </c>
      <c r="U47" s="3230"/>
      <c r="V47" s="3230">
        <f>I47</f>
        <v>0</v>
      </c>
      <c r="W47" s="3230"/>
      <c r="X47" s="758"/>
      <c r="Y47" s="780"/>
      <c r="Z47" s="758"/>
      <c r="AA47" s="758"/>
      <c r="AB47" s="758"/>
      <c r="AC47" s="758"/>
    </row>
    <row r="48" spans="1:29" ht="14.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4.5" thickBot="1">
      <c r="A49" s="492" t="s">
        <v>2659</v>
      </c>
      <c r="B49" s="493"/>
      <c r="C49" s="1415" t="e">
        <f>R49</f>
        <v>#DIV/0!</v>
      </c>
      <c r="D49" s="1415"/>
      <c r="E49" s="1415"/>
      <c r="F49" s="1415"/>
      <c r="G49" s="1415"/>
      <c r="H49" s="1415"/>
      <c r="I49" s="1415"/>
      <c r="J49" s="1415"/>
      <c r="K49" s="784"/>
      <c r="L49" s="1142"/>
      <c r="M49" s="1143"/>
      <c r="N49" s="1130"/>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c r="A58" s="505" t="s">
        <v>2537</v>
      </c>
      <c r="B58" s="506"/>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c r="A59" s="509"/>
      <c r="B59" s="510"/>
      <c r="C59" s="1571">
        <v>100</v>
      </c>
      <c r="D59" s="512"/>
      <c r="E59" s="512"/>
      <c r="F59" s="512"/>
      <c r="G59" s="512"/>
      <c r="H59" s="512"/>
      <c r="I59" s="512"/>
      <c r="J59" s="512"/>
      <c r="K59" s="512"/>
      <c r="L59" s="512"/>
      <c r="M59" s="513"/>
      <c r="N59" s="512"/>
      <c r="O59" s="513"/>
      <c r="P59" s="2623"/>
    </row>
    <row r="60" spans="1:29" s="117" customFormat="1" ht="14.5" thickBot="1">
      <c r="A60" s="515" t="s">
        <v>2574</v>
      </c>
      <c r="B60" s="516"/>
      <c r="C60" s="517"/>
      <c r="D60" s="518"/>
      <c r="E60" s="518"/>
      <c r="F60" s="518"/>
      <c r="G60" s="518"/>
      <c r="H60" s="518"/>
      <c r="I60" s="518"/>
      <c r="J60" s="518"/>
      <c r="K60" s="518"/>
      <c r="L60" s="518"/>
      <c r="M60" s="519"/>
      <c r="N60" s="518"/>
      <c r="O60" s="519"/>
      <c r="P60" s="2623"/>
      <c r="Q60" s="504"/>
    </row>
    <row r="61" spans="1:29" s="117" customFormat="1">
      <c r="A61" s="521" t="s">
        <v>2539</v>
      </c>
      <c r="B61" s="510"/>
      <c r="C61" s="522" t="s">
        <v>2641</v>
      </c>
      <c r="D61" s="523"/>
      <c r="E61" s="523"/>
      <c r="F61" s="523"/>
      <c r="G61" s="523"/>
      <c r="H61" s="523"/>
      <c r="I61" s="523"/>
      <c r="J61" s="523"/>
      <c r="K61" s="523"/>
      <c r="L61" s="524"/>
      <c r="M61" s="525"/>
      <c r="N61" s="1150"/>
      <c r="O61" s="1150"/>
      <c r="P61" s="2624"/>
      <c r="Q61" s="504"/>
    </row>
    <row r="62" spans="1:29" s="117" customFormat="1" ht="14.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4.5" thickBot="1">
      <c r="A64" s="534"/>
      <c r="B64" s="535"/>
      <c r="C64" s="536">
        <v>100</v>
      </c>
      <c r="D64" s="536"/>
      <c r="E64" s="536"/>
      <c r="F64" s="536"/>
      <c r="G64" s="536"/>
      <c r="H64" s="536"/>
      <c r="I64" s="536"/>
      <c r="J64" s="536"/>
      <c r="K64" s="536"/>
      <c r="L64" s="536"/>
      <c r="M64" s="537"/>
      <c r="N64" s="1152"/>
      <c r="O64" s="1152"/>
      <c r="P64" s="2625"/>
      <c r="Q64" s="504"/>
    </row>
    <row r="65" spans="1:17" ht="28.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4.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4.5" thickTop="1">
      <c r="A70" s="553"/>
      <c r="B70" s="538">
        <f>B12</f>
        <v>111</v>
      </c>
      <c r="C70" s="554"/>
      <c r="D70" s="554"/>
      <c r="E70" s="554"/>
      <c r="F70" s="554"/>
      <c r="G70" s="554"/>
      <c r="H70" s="555"/>
      <c r="I70" s="555"/>
      <c r="J70" s="555"/>
      <c r="K70" s="555"/>
      <c r="L70" s="556"/>
      <c r="M70" s="557"/>
      <c r="N70" s="1153"/>
      <c r="O70" s="1153"/>
      <c r="P70" s="2626"/>
      <c r="Q70" s="559"/>
    </row>
    <row r="71" spans="1:17" s="471" customFormat="1" ht="14.5" thickBot="1">
      <c r="A71" s="553"/>
      <c r="B71" s="543"/>
      <c r="C71" s="560"/>
      <c r="D71" s="536"/>
      <c r="E71" s="536"/>
      <c r="F71" s="536"/>
      <c r="G71" s="536"/>
      <c r="H71" s="536"/>
      <c r="I71" s="536"/>
      <c r="J71" s="536"/>
      <c r="K71" s="536"/>
      <c r="L71" s="536"/>
      <c r="M71" s="537"/>
      <c r="N71" s="1152"/>
      <c r="O71" s="1152"/>
      <c r="P71" s="2626"/>
      <c r="Q71" s="559"/>
    </row>
    <row r="72" spans="1:17" s="471" customFormat="1" ht="14.5" thickTop="1">
      <c r="A72" s="553"/>
      <c r="B72" s="538">
        <f>B13</f>
        <v>111</v>
      </c>
      <c r="C72" s="554"/>
      <c r="D72" s="554"/>
      <c r="E72" s="554"/>
      <c r="F72" s="554"/>
      <c r="G72" s="554"/>
      <c r="H72" s="555"/>
      <c r="I72" s="555"/>
      <c r="J72" s="555"/>
      <c r="K72" s="555"/>
      <c r="L72" s="556"/>
      <c r="M72" s="557"/>
      <c r="N72" s="1153"/>
      <c r="O72" s="1153"/>
      <c r="P72" s="2627"/>
      <c r="Q72" s="561"/>
    </row>
    <row r="73" spans="1:17" s="471" customFormat="1" ht="14.5" thickBot="1">
      <c r="A73" s="553"/>
      <c r="B73" s="543"/>
      <c r="C73" s="560"/>
      <c r="D73" s="536"/>
      <c r="E73" s="536"/>
      <c r="F73" s="536"/>
      <c r="G73" s="560"/>
      <c r="H73" s="562"/>
      <c r="I73" s="562"/>
      <c r="J73" s="562"/>
      <c r="K73" s="562"/>
      <c r="L73" s="562"/>
      <c r="M73" s="563"/>
      <c r="N73" s="1153"/>
      <c r="O73" s="1153"/>
      <c r="P73" s="2626"/>
      <c r="Q73" s="559"/>
    </row>
    <row r="74" spans="1:17" s="471" customFormat="1" ht="14.5" thickTop="1">
      <c r="A74" s="553"/>
      <c r="B74" s="546">
        <f>B14</f>
        <v>111</v>
      </c>
      <c r="C74" s="554"/>
      <c r="D74" s="554"/>
      <c r="E74" s="554"/>
      <c r="F74" s="554"/>
      <c r="G74" s="523"/>
      <c r="H74" s="564"/>
      <c r="I74" s="564"/>
      <c r="J74" s="564"/>
      <c r="K74" s="564"/>
      <c r="L74" s="565"/>
      <c r="M74" s="566"/>
      <c r="N74" s="1153"/>
      <c r="O74" s="1153"/>
      <c r="P74" s="2628"/>
      <c r="Q74" s="559"/>
    </row>
    <row r="75" spans="1:17" s="471" customFormat="1" ht="14.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4.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4.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4.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4.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4.5" thickTop="1">
      <c r="A86" s="579"/>
      <c r="B86" s="538" t="s">
        <v>2669</v>
      </c>
      <c r="C86" s="554"/>
      <c r="D86" s="554"/>
      <c r="E86" s="554"/>
      <c r="F86" s="554"/>
      <c r="G86" s="554"/>
      <c r="H86" s="554"/>
      <c r="I86" s="554"/>
      <c r="J86" s="554"/>
      <c r="K86" s="554"/>
      <c r="L86" s="580"/>
      <c r="M86" s="581"/>
      <c r="N86" s="1150"/>
      <c r="O86" s="1150"/>
      <c r="P86" s="2625"/>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4.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4.5" thickBot="1">
      <c r="A89" s="579"/>
      <c r="B89" s="543"/>
      <c r="C89" s="560"/>
      <c r="D89" s="536"/>
      <c r="E89" s="536"/>
      <c r="F89" s="536"/>
      <c r="G89" s="536"/>
      <c r="H89" s="536"/>
      <c r="I89" s="536"/>
      <c r="J89" s="536"/>
      <c r="K89" s="536"/>
      <c r="L89" s="536"/>
      <c r="M89" s="536"/>
      <c r="N89" s="1152"/>
      <c r="O89" s="1152"/>
      <c r="P89" s="2625"/>
      <c r="Q89" s="504"/>
    </row>
    <row r="90" spans="1:17" s="471" customFormat="1" ht="14.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4.5" thickTop="1">
      <c r="A92" s="534"/>
      <c r="B92" s="538" t="str">
        <f>B28</f>
        <v>楼层</v>
      </c>
      <c r="C92" s="554"/>
      <c r="D92" s="554"/>
      <c r="E92" s="554"/>
      <c r="F92" s="554"/>
      <c r="G92" s="554"/>
      <c r="H92" s="554"/>
      <c r="I92" s="554"/>
      <c r="J92" s="554"/>
      <c r="K92" s="554"/>
      <c r="L92" s="580"/>
      <c r="M92" s="581"/>
      <c r="N92" s="1151"/>
      <c r="O92" s="1151"/>
      <c r="P92" s="2625"/>
      <c r="Q92" s="504"/>
    </row>
    <row r="93" spans="1:17" ht="14.5" thickBot="1">
      <c r="A93" s="534"/>
      <c r="B93" s="543"/>
      <c r="C93" s="536"/>
      <c r="D93" s="536"/>
      <c r="E93" s="536"/>
      <c r="F93" s="536"/>
      <c r="G93" s="536"/>
      <c r="H93" s="536"/>
      <c r="I93" s="536"/>
      <c r="J93" s="536"/>
      <c r="K93" s="536"/>
      <c r="L93" s="536"/>
      <c r="M93" s="537"/>
      <c r="N93" s="1152"/>
      <c r="O93" s="1152"/>
      <c r="P93" s="2625"/>
      <c r="Q93" s="504"/>
    </row>
    <row r="94" spans="1:17" ht="14.5" thickTop="1">
      <c r="A94" s="534"/>
      <c r="B94" s="538">
        <f>B29</f>
        <v>111</v>
      </c>
      <c r="C94" s="554"/>
      <c r="D94" s="554"/>
      <c r="E94" s="554"/>
      <c r="F94" s="554"/>
      <c r="G94" s="583"/>
      <c r="H94" s="583"/>
      <c r="I94" s="583"/>
      <c r="J94" s="583"/>
      <c r="K94" s="584"/>
      <c r="L94" s="585"/>
      <c r="M94" s="586"/>
      <c r="N94" s="1151"/>
      <c r="O94" s="1151"/>
      <c r="P94" s="2625"/>
      <c r="Q94" s="504"/>
    </row>
    <row r="95" spans="1:17" ht="14.5" thickBot="1">
      <c r="A95" s="534"/>
      <c r="B95" s="543"/>
      <c r="C95" s="560"/>
      <c r="D95" s="536"/>
      <c r="E95" s="536"/>
      <c r="F95" s="536"/>
      <c r="G95" s="536"/>
      <c r="H95" s="536"/>
      <c r="I95" s="536"/>
      <c r="J95" s="536"/>
      <c r="K95" s="536"/>
      <c r="L95" s="536"/>
      <c r="M95" s="537"/>
      <c r="N95" s="1152"/>
      <c r="O95" s="1152"/>
      <c r="P95" s="2625"/>
      <c r="Q95" s="504"/>
    </row>
    <row r="96" spans="1:17" ht="14.5" thickTop="1">
      <c r="A96" s="534"/>
      <c r="B96" s="538">
        <f>B30</f>
        <v>111</v>
      </c>
      <c r="C96" s="554"/>
      <c r="D96" s="554"/>
      <c r="E96" s="554"/>
      <c r="F96" s="554"/>
      <c r="G96" s="583"/>
      <c r="H96" s="583"/>
      <c r="I96" s="583"/>
      <c r="J96" s="583"/>
      <c r="K96" s="584"/>
      <c r="L96" s="585"/>
      <c r="M96" s="586"/>
      <c r="N96" s="1151"/>
      <c r="O96" s="1151"/>
      <c r="P96" s="2625"/>
      <c r="Q96" s="504"/>
    </row>
    <row r="97" spans="1:17" ht="14.5" thickBot="1">
      <c r="A97" s="534"/>
      <c r="B97" s="543"/>
      <c r="C97" s="560"/>
      <c r="D97" s="536"/>
      <c r="E97" s="536"/>
      <c r="F97" s="536"/>
      <c r="G97" s="536"/>
      <c r="H97" s="536"/>
      <c r="I97" s="536"/>
      <c r="J97" s="536"/>
      <c r="K97" s="536"/>
      <c r="L97" s="536"/>
      <c r="M97" s="537"/>
      <c r="N97" s="1152"/>
      <c r="O97" s="1152"/>
      <c r="P97" s="2625"/>
      <c r="Q97" s="504"/>
    </row>
    <row r="98" spans="1:17" ht="14.5" thickTop="1">
      <c r="A98" s="534"/>
      <c r="B98" s="546">
        <f>B31</f>
        <v>111</v>
      </c>
      <c r="C98" s="554"/>
      <c r="D98" s="554"/>
      <c r="E98" s="554"/>
      <c r="F98" s="554"/>
      <c r="G98" s="587"/>
      <c r="H98" s="587"/>
      <c r="I98" s="587"/>
      <c r="J98" s="587"/>
      <c r="K98" s="588"/>
      <c r="L98" s="589"/>
      <c r="M98" s="590"/>
      <c r="N98" s="1151"/>
      <c r="O98" s="1151"/>
      <c r="P98" s="2625"/>
      <c r="Q98" s="504"/>
    </row>
    <row r="99" spans="1:17" ht="14.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530"/>
      <c r="D100" s="530"/>
      <c r="E100" s="530"/>
      <c r="F100" s="530"/>
      <c r="G100" s="530"/>
      <c r="H100" s="530"/>
      <c r="I100" s="530"/>
      <c r="J100" s="530"/>
      <c r="K100" s="531"/>
      <c r="L100" s="532"/>
      <c r="M100" s="533"/>
      <c r="N100" s="1151"/>
      <c r="O100" s="1151"/>
      <c r="P100" s="2625"/>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4.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5" thickBot="1">
      <c r="A104" s="553"/>
      <c r="B104" s="543"/>
      <c r="C104" s="560"/>
      <c r="D104" s="536"/>
      <c r="E104" s="536"/>
      <c r="F104" s="536"/>
      <c r="G104" s="536"/>
      <c r="H104" s="536"/>
      <c r="I104" s="536"/>
      <c r="J104" s="536"/>
      <c r="K104" s="536"/>
      <c r="L104" s="536"/>
      <c r="M104" s="537"/>
      <c r="N104" s="1152"/>
      <c r="O104" s="1152"/>
      <c r="P104" s="2626"/>
      <c r="Q104" s="559"/>
    </row>
    <row r="105" spans="1:17" ht="14.5" thickTop="1">
      <c r="A105" s="599"/>
      <c r="B105" s="538" t="s">
        <v>2603</v>
      </c>
      <c r="C105" s="554"/>
      <c r="D105" s="554"/>
      <c r="E105" s="583"/>
      <c r="F105" s="583"/>
      <c r="G105" s="583"/>
      <c r="H105" s="583"/>
      <c r="I105" s="583"/>
      <c r="J105" s="583"/>
      <c r="K105" s="584"/>
      <c r="L105" s="585"/>
      <c r="M105" s="586"/>
      <c r="N105" s="1151"/>
      <c r="O105" s="1151"/>
      <c r="P105" s="2625"/>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4.5" thickTop="1">
      <c r="A107" s="599"/>
      <c r="B107" s="538" t="s">
        <v>2605</v>
      </c>
      <c r="C107" s="554"/>
      <c r="D107" s="554"/>
      <c r="E107" s="554"/>
      <c r="F107" s="583"/>
      <c r="G107" s="583"/>
      <c r="H107" s="583"/>
      <c r="I107" s="583"/>
      <c r="J107" s="583"/>
      <c r="K107" s="584"/>
      <c r="L107" s="585"/>
      <c r="M107" s="586"/>
      <c r="N107" s="1151"/>
      <c r="O107" s="1151"/>
      <c r="P107" s="2625"/>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4.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4.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4.5" thickTop="1">
      <c r="A114" s="599"/>
      <c r="B114" s="538" t="s">
        <v>2671</v>
      </c>
      <c r="C114" s="554"/>
      <c r="D114" s="554"/>
      <c r="E114" s="583"/>
      <c r="F114" s="583"/>
      <c r="G114" s="583"/>
      <c r="H114" s="583"/>
      <c r="I114" s="583"/>
      <c r="J114" s="583"/>
      <c r="K114" s="584"/>
      <c r="L114" s="585"/>
      <c r="M114" s="586"/>
      <c r="N114" s="1151"/>
      <c r="O114" s="1151"/>
      <c r="P114" s="2625"/>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4.5" thickTop="1">
      <c r="A116" s="599"/>
      <c r="B116" s="538" t="s">
        <v>2672</v>
      </c>
      <c r="C116" s="554"/>
      <c r="D116" s="554"/>
      <c r="E116" s="554"/>
      <c r="F116" s="554"/>
      <c r="G116" s="554"/>
      <c r="H116" s="583"/>
      <c r="I116" s="583"/>
      <c r="J116" s="583"/>
      <c r="K116" s="584"/>
      <c r="L116" s="585"/>
      <c r="M116" s="586"/>
      <c r="N116" s="1151"/>
      <c r="O116" s="1151"/>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4.5" thickTop="1">
      <c r="A118" s="599"/>
      <c r="B118" s="538" t="s">
        <v>2673</v>
      </c>
      <c r="C118" s="627"/>
      <c r="D118" s="627"/>
      <c r="E118" s="627"/>
      <c r="F118" s="627"/>
      <c r="G118" s="627"/>
      <c r="H118" s="555"/>
      <c r="I118" s="555"/>
      <c r="J118" s="555"/>
      <c r="K118" s="555"/>
      <c r="L118" s="556"/>
      <c r="M118" s="557"/>
      <c r="N118" s="1151"/>
      <c r="O118" s="1151"/>
      <c r="P118" s="2625"/>
      <c r="Q118" s="504"/>
    </row>
    <row r="119" spans="1:17" ht="14.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4.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4.5" thickTop="1">
      <c r="A122" s="599"/>
      <c r="B122" s="538" t="s">
        <v>2609</v>
      </c>
      <c r="C122" s="554"/>
      <c r="D122" s="554"/>
      <c r="E122" s="554"/>
      <c r="F122" s="583"/>
      <c r="G122" s="583"/>
      <c r="H122" s="583"/>
      <c r="I122" s="583"/>
      <c r="J122" s="583"/>
      <c r="K122" s="584"/>
      <c r="L122" s="585"/>
      <c r="M122" s="586"/>
      <c r="N122" s="1151"/>
      <c r="O122" s="1151"/>
      <c r="P122" s="2625"/>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28.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5" thickBot="1">
      <c r="A127" s="553"/>
      <c r="B127" s="543"/>
      <c r="C127" s="560"/>
      <c r="D127" s="536"/>
      <c r="E127" s="536"/>
      <c r="F127" s="536"/>
      <c r="G127" s="560"/>
      <c r="H127" s="562"/>
      <c r="I127" s="562"/>
      <c r="J127" s="562"/>
      <c r="K127" s="562"/>
      <c r="L127" s="562"/>
      <c r="M127" s="563"/>
      <c r="N127" s="1153"/>
      <c r="O127" s="1153"/>
      <c r="P127" s="2626"/>
      <c r="Q127" s="559"/>
    </row>
    <row r="128" spans="1:17" ht="14.5" thickTop="1">
      <c r="A128" s="599"/>
      <c r="B128" s="538">
        <f>B45</f>
        <v>111</v>
      </c>
      <c r="C128" s="554"/>
      <c r="D128" s="554"/>
      <c r="E128" s="554"/>
      <c r="F128" s="554"/>
      <c r="G128" s="583"/>
      <c r="H128" s="583"/>
      <c r="I128" s="583"/>
      <c r="J128" s="583"/>
      <c r="K128" s="584"/>
      <c r="L128" s="585"/>
      <c r="M128" s="586"/>
      <c r="N128" s="1151"/>
      <c r="O128" s="1151"/>
      <c r="P128" s="2625"/>
      <c r="Q128" s="504"/>
    </row>
    <row r="129" spans="1:17" ht="14.5" thickBot="1">
      <c r="A129" s="534"/>
      <c r="B129" s="543"/>
      <c r="C129" s="560"/>
      <c r="D129" s="536"/>
      <c r="E129" s="536"/>
      <c r="F129" s="536"/>
      <c r="G129" s="536"/>
      <c r="H129" s="536"/>
      <c r="I129" s="536"/>
      <c r="J129" s="536"/>
      <c r="K129" s="536"/>
      <c r="L129" s="536"/>
      <c r="M129" s="537"/>
      <c r="N129" s="1152"/>
      <c r="O129" s="1152"/>
      <c r="P129" s="2625"/>
      <c r="Q129" s="504"/>
    </row>
    <row r="130" spans="1:17" ht="14.5" thickTop="1">
      <c r="A130" s="599"/>
      <c r="B130" s="546">
        <f>B46</f>
        <v>111</v>
      </c>
      <c r="C130" s="554"/>
      <c r="D130" s="554"/>
      <c r="E130" s="554"/>
      <c r="F130" s="554"/>
      <c r="G130" s="587"/>
      <c r="H130" s="587"/>
      <c r="I130" s="587"/>
      <c r="J130" s="587"/>
      <c r="K130" s="523"/>
      <c r="L130" s="524"/>
      <c r="M130" s="590"/>
      <c r="N130" s="1151"/>
      <c r="O130" s="1151"/>
      <c r="P130" s="2625"/>
      <c r="Q130" s="504"/>
    </row>
    <row r="131" spans="1:17" ht="14.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2" customWidth="1"/>
    <col min="2" max="16384" width="9" style="1942"/>
  </cols>
  <sheetData>
    <row r="1" spans="1:1" ht="23">
      <c r="A1" s="1941" t="s">
        <v>1606</v>
      </c>
    </row>
    <row r="2" spans="1:1">
      <c r="A2" s="1943"/>
    </row>
    <row r="3" spans="1:1" ht="18">
      <c r="A3" s="1944" t="str">
        <f>项目基本情况!B5&amp;"："</f>
        <v>北京万相融通科技股份有限公司：</v>
      </c>
    </row>
    <row r="4" spans="1:1" ht="35">
      <c r="A4" s="1945" t="str">
        <f>"受贵公司委托，我公司对"&amp;项目基本情况!S1&amp;"进行了预评估。"</f>
        <v>受贵公司委托，我公司对北京市丰台区汽车博物馆东路1号房地产抵押价值进行了预评估。</v>
      </c>
    </row>
    <row r="5" spans="1:1" ht="18">
      <c r="A5" s="1946" t="s">
        <v>1607</v>
      </c>
    </row>
    <row r="6" spans="1:1" ht="17.5">
      <c r="A6" s="1947" t="s">
        <v>1608</v>
      </c>
    </row>
    <row r="7" spans="1:1" ht="5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估价对象为北京市丰台区汽车博物馆东路1号房地产，为所有。根据《国有土地使用证》[]，估价对象（分摊）出让国有建设用地使用权面积为0平方米，建筑面积为768.88平方米。</v>
      </c>
    </row>
    <row r="8" spans="1:1" ht="53.5">
      <c r="A8" s="1948" t="s">
        <v>1609</v>
      </c>
    </row>
    <row r="9" spans="1:1" ht="17.5">
      <c r="A9" s="1947" t="s">
        <v>1610</v>
      </c>
    </row>
    <row r="10" spans="1:1" ht="7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开发建设的办公项目，该项目尚在开发建设中。根据《国有土地使用证》[]，估价对象（分摊）出让国有建设用地使用权面积为0平方米，规划建筑面积为768.88平方米。</v>
      </c>
    </row>
    <row r="11" spans="1:1" ht="71">
      <c r="A11" s="1948" t="s">
        <v>1611</v>
      </c>
    </row>
    <row r="12" spans="1:1" ht="18">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
      <c r="A14" s="1950" t="s">
        <v>1613</v>
      </c>
    </row>
    <row r="15" spans="1:1" ht="17.5">
      <c r="A15" s="1951" t="str">
        <f>TEXT(项目基本情况!D3,"yyyy年m月d日;;")&amp;IF(项目基本情况!D3=项目基本情况!B3,"（评估专业人员实地查勘之日）","")</f>
        <v>2020年3月18日（评估专业人员实地查勘之日）</v>
      </c>
    </row>
    <row r="16" spans="1:1" ht="18">
      <c r="A16" s="1950" t="s">
        <v>1614</v>
      </c>
    </row>
    <row r="17" spans="1:1" ht="70">
      <c r="A17" s="1945" t="s">
        <v>1615</v>
      </c>
    </row>
    <row r="18" spans="1:1" ht="70">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18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5" t="str">
        <f>IF(项目基本情况!B9="房地产市场价值","——",IF(项目基本情况!E9="——","",定义!C57))</f>
        <v/>
      </c>
    </row>
    <row r="23" spans="1:1" ht="18">
      <c r="A23" s="1950" t="s">
        <v>1604</v>
      </c>
    </row>
    <row r="24" spans="1:1" ht="17.5">
      <c r="A24" s="1952" t="str">
        <f>"本次评估采用的主估价方法为"&amp;结果表!K4&amp;"和"&amp;结果表!L4&amp;"。"</f>
        <v>本次评估采用的主估价方法为基准地价系数修正法和基准地价系数修正法。</v>
      </c>
    </row>
    <row r="25" spans="1:1" ht="17.5">
      <c r="A25" s="1952"/>
    </row>
    <row r="26" spans="1:1" ht="1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0">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5">
      <c r="A16" s="428"/>
      <c r="B16" s="446"/>
      <c r="C16" s="447"/>
      <c r="D16" s="448"/>
      <c r="E16" s="447"/>
      <c r="F16" s="449"/>
      <c r="G16" s="447"/>
      <c r="H16" s="450"/>
      <c r="I16" s="447"/>
      <c r="J16" s="448"/>
      <c r="K16" s="615"/>
      <c r="L16" s="1139"/>
      <c r="M16" s="1130"/>
      <c r="N16" s="1130"/>
      <c r="O16" s="1138"/>
      <c r="P16" s="3236"/>
      <c r="Q16" s="1808"/>
      <c r="R16" s="773"/>
      <c r="S16" s="774"/>
      <c r="T16" s="773"/>
      <c r="U16" s="774"/>
      <c r="V16" s="773"/>
      <c r="W16" s="774"/>
      <c r="X16" s="1811"/>
      <c r="Y16" s="3236"/>
      <c r="Z16" s="1812"/>
      <c r="AA16" s="1809">
        <v>1</v>
      </c>
      <c r="AB16" s="1809">
        <v>1</v>
      </c>
      <c r="AC16" s="1809">
        <v>1</v>
      </c>
    </row>
    <row r="17" spans="1:29" ht="98">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5"/>
      <c r="F18" s="453"/>
      <c r="G18" s="2604"/>
      <c r="H18" s="448"/>
      <c r="I18" s="2605"/>
      <c r="J18" s="448"/>
      <c r="K18" s="615"/>
      <c r="L18" s="1139"/>
      <c r="M18" s="1130"/>
      <c r="N18" s="1130"/>
      <c r="O18" s="1138"/>
      <c r="P18" s="3236"/>
      <c r="Q18" s="1808"/>
      <c r="R18" s="773"/>
      <c r="S18" s="774"/>
      <c r="T18" s="773"/>
      <c r="U18" s="774"/>
      <c r="V18" s="773"/>
      <c r="W18" s="774"/>
      <c r="X18" s="1811"/>
      <c r="Y18" s="3236"/>
      <c r="Z18" s="1812"/>
      <c r="AA18" s="1809">
        <v>1</v>
      </c>
      <c r="AB18" s="1809">
        <v>1</v>
      </c>
      <c r="AC18" s="1809">
        <v>1</v>
      </c>
    </row>
    <row r="19" spans="1:29" ht="42">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6"/>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600"/>
      <c r="F20" s="449"/>
      <c r="G20" s="2599"/>
      <c r="H20" s="448"/>
      <c r="I20" s="2600"/>
      <c r="J20" s="448"/>
      <c r="K20" s="615"/>
      <c r="L20" s="1139"/>
      <c r="M20" s="1130"/>
      <c r="N20" s="1130"/>
      <c r="O20" s="1138"/>
      <c r="P20" s="3236"/>
      <c r="Q20" s="1808"/>
      <c r="R20" s="773"/>
      <c r="S20" s="774"/>
      <c r="T20" s="773"/>
      <c r="U20" s="774"/>
      <c r="V20" s="773"/>
      <c r="W20" s="774"/>
      <c r="X20" s="1811"/>
      <c r="Y20" s="3236"/>
      <c r="Z20" s="1812"/>
      <c r="AA20" s="1809">
        <v>1</v>
      </c>
      <c r="AB20" s="1809">
        <v>1</v>
      </c>
      <c r="AC20" s="1809">
        <v>1</v>
      </c>
    </row>
    <row r="21" spans="1:29" ht="42">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6"/>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9"/>
      <c r="G22" s="447"/>
      <c r="H22" s="448"/>
      <c r="I22" s="447"/>
      <c r="J22" s="448"/>
      <c r="K22" s="1381"/>
      <c r="L22" s="1139"/>
      <c r="M22" s="1130"/>
      <c r="N22" s="1130"/>
      <c r="O22" s="1138"/>
      <c r="P22" s="3236"/>
      <c r="Q22" s="1808"/>
      <c r="R22" s="773"/>
      <c r="S22" s="774"/>
      <c r="T22" s="773"/>
      <c r="U22" s="774"/>
      <c r="V22" s="773"/>
      <c r="W22" s="774"/>
      <c r="X22" s="1811"/>
      <c r="Y22" s="3236"/>
      <c r="Z22" s="1812"/>
      <c r="AA22" s="1809">
        <v>1</v>
      </c>
      <c r="AB22" s="1809">
        <v>1</v>
      </c>
      <c r="AC22" s="1809">
        <v>1</v>
      </c>
    </row>
    <row r="23" spans="1:29" ht="84">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6"/>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1809">
        <f t="shared" si="5"/>
        <v>1</v>
      </c>
    </row>
    <row r="24" spans="1:29" ht="15.5">
      <c r="A24" s="428"/>
      <c r="B24" s="1382"/>
      <c r="C24" s="447"/>
      <c r="D24" s="448"/>
      <c r="E24" s="2600"/>
      <c r="F24" s="449"/>
      <c r="G24" s="2599"/>
      <c r="H24" s="448"/>
      <c r="I24" s="2600"/>
      <c r="J24" s="448"/>
      <c r="K24" s="615"/>
      <c r="L24" s="1139"/>
      <c r="M24" s="1130"/>
      <c r="N24" s="1130"/>
      <c r="O24" s="1138"/>
      <c r="P24" s="3236"/>
      <c r="Q24" s="1808"/>
      <c r="R24" s="773"/>
      <c r="S24" s="774"/>
      <c r="T24" s="773"/>
      <c r="U24" s="774"/>
      <c r="V24" s="773"/>
      <c r="W24" s="774"/>
      <c r="X24" s="1811"/>
      <c r="Y24" s="3236"/>
      <c r="Z24" s="1812"/>
      <c r="AA24" s="1809">
        <v>1</v>
      </c>
      <c r="AB24" s="1809">
        <v>1</v>
      </c>
      <c r="AC24" s="1809">
        <v>1</v>
      </c>
    </row>
    <row r="25" spans="1:29" ht="15.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6"/>
      <c r="Q25" s="1808">
        <f>B25</f>
        <v>111</v>
      </c>
      <c r="R25" s="773" t="s">
        <v>17</v>
      </c>
      <c r="S25" s="774">
        <f>F25</f>
        <v>100</v>
      </c>
      <c r="T25" s="773" t="s">
        <v>17</v>
      </c>
      <c r="U25" s="774">
        <f>H25</f>
        <v>100</v>
      </c>
      <c r="V25" s="773" t="s">
        <v>17</v>
      </c>
      <c r="W25" s="774">
        <f>J25</f>
        <v>100</v>
      </c>
      <c r="X25" s="1811"/>
      <c r="Y25" s="3236"/>
      <c r="Z25" s="1812">
        <f>Q25</f>
        <v>111</v>
      </c>
      <c r="AA25" s="1809">
        <f t="shared" si="3"/>
        <v>1</v>
      </c>
      <c r="AB25" s="1809">
        <f t="shared" si="4"/>
        <v>1</v>
      </c>
      <c r="AC25" s="1809">
        <f t="shared" si="5"/>
        <v>1</v>
      </c>
    </row>
    <row r="26" spans="1:29" ht="15.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6"/>
      <c r="Q26" s="1808">
        <f t="shared" ref="Q26:Q40" si="11">B26</f>
        <v>111</v>
      </c>
      <c r="R26" s="773" t="s">
        <v>17</v>
      </c>
      <c r="S26" s="774">
        <f>F26</f>
        <v>100</v>
      </c>
      <c r="T26" s="773" t="s">
        <v>17</v>
      </c>
      <c r="U26" s="774">
        <f>H26</f>
        <v>100</v>
      </c>
      <c r="V26" s="773" t="s">
        <v>17</v>
      </c>
      <c r="W26" s="774">
        <f>J26</f>
        <v>100</v>
      </c>
      <c r="X26" s="1811"/>
      <c r="Y26" s="3236"/>
      <c r="Z26" s="1812">
        <f>Q26</f>
        <v>111</v>
      </c>
      <c r="AA26" s="1809">
        <f t="shared" si="3"/>
        <v>1</v>
      </c>
      <c r="AB26" s="1809">
        <f t="shared" si="4"/>
        <v>1</v>
      </c>
      <c r="AC26" s="1809">
        <f t="shared" si="5"/>
        <v>1</v>
      </c>
    </row>
    <row r="27" spans="1:29" s="117" customFormat="1" ht="15.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6"/>
      <c r="Q27" s="1793">
        <f t="shared" si="11"/>
        <v>111</v>
      </c>
      <c r="R27" s="769" t="s">
        <v>17</v>
      </c>
      <c r="S27" s="770">
        <f>F27</f>
        <v>100</v>
      </c>
      <c r="T27" s="769" t="s">
        <v>17</v>
      </c>
      <c r="U27" s="770">
        <f>H27</f>
        <v>100</v>
      </c>
      <c r="V27" s="769" t="s">
        <v>17</v>
      </c>
      <c r="W27" s="770">
        <f>J27</f>
        <v>100</v>
      </c>
      <c r="X27" s="771"/>
      <c r="Y27" s="3236"/>
      <c r="Z27" s="55">
        <f>Q27</f>
        <v>111</v>
      </c>
      <c r="AA27" s="1809">
        <f>D27/F27</f>
        <v>1</v>
      </c>
      <c r="AB27" s="1809">
        <f>D27/H27</f>
        <v>1</v>
      </c>
      <c r="AC27" s="1809">
        <f>D27/J27</f>
        <v>1</v>
      </c>
    </row>
    <row r="28" spans="1:29" ht="1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6"/>
      <c r="Q28" s="1808">
        <f t="shared" si="11"/>
        <v>111</v>
      </c>
      <c r="R28" s="773" t="s">
        <v>17</v>
      </c>
      <c r="S28" s="774">
        <f t="shared" ref="S28:S40" si="12">F28</f>
        <v>100</v>
      </c>
      <c r="T28" s="773" t="s">
        <v>17</v>
      </c>
      <c r="U28" s="774">
        <f t="shared" ref="U28:U40" si="13">H28</f>
        <v>100</v>
      </c>
      <c r="V28" s="773" t="s">
        <v>17</v>
      </c>
      <c r="W28" s="774">
        <f t="shared" ref="W28:W40" si="14">J28</f>
        <v>100</v>
      </c>
      <c r="X28" s="1811"/>
      <c r="Y28" s="3236"/>
      <c r="Z28" s="1812">
        <f t="shared" ref="Z28:Z40" si="15">Q28</f>
        <v>111</v>
      </c>
      <c r="AA28" s="1809">
        <f t="shared" si="3"/>
        <v>1</v>
      </c>
      <c r="AB28" s="1809">
        <f t="shared" si="4"/>
        <v>1</v>
      </c>
      <c r="AC28" s="1809">
        <f t="shared" si="5"/>
        <v>1</v>
      </c>
    </row>
    <row r="29" spans="1:29" ht="29">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40" t="s">
        <v>2554</v>
      </c>
      <c r="Z29" s="1812" t="str">
        <f t="shared" si="15"/>
        <v>建筑类型</v>
      </c>
      <c r="AA29" s="1809">
        <f t="shared" si="3"/>
        <v>1</v>
      </c>
      <c r="AB29" s="1809">
        <f t="shared" si="4"/>
        <v>1</v>
      </c>
      <c r="AC29" s="1809">
        <f t="shared" si="5"/>
        <v>1</v>
      </c>
    </row>
    <row r="30" spans="1:29" s="471" customFormat="1" ht="15.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0"/>
      <c r="Q30" s="775" t="str">
        <f t="shared" si="11"/>
        <v>项目建筑规模</v>
      </c>
      <c r="R30" s="776" t="s">
        <v>17</v>
      </c>
      <c r="S30" s="777" t="e">
        <f t="shared" si="12"/>
        <v>#N/A</v>
      </c>
      <c r="T30" s="776" t="s">
        <v>17</v>
      </c>
      <c r="U30" s="777" t="e">
        <f t="shared" si="13"/>
        <v>#N/A</v>
      </c>
      <c r="V30" s="776" t="s">
        <v>17</v>
      </c>
      <c r="W30" s="777" t="e">
        <f t="shared" si="14"/>
        <v>#N/A</v>
      </c>
      <c r="X30" s="778"/>
      <c r="Y30" s="3240"/>
      <c r="Z30" s="779" t="str">
        <f t="shared" si="15"/>
        <v>项目建筑规模</v>
      </c>
      <c r="AA30" s="1809" t="e">
        <f t="shared" si="3"/>
        <v>#N/A</v>
      </c>
      <c r="AB30" s="1809" t="e">
        <f t="shared" si="4"/>
        <v>#N/A</v>
      </c>
      <c r="AC30" s="1809" t="e">
        <f t="shared" si="5"/>
        <v>#N/A</v>
      </c>
    </row>
    <row r="31" spans="1:29" ht="15.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0"/>
      <c r="Q31" s="1808" t="str">
        <f t="shared" si="11"/>
        <v>建筑结构</v>
      </c>
      <c r="R31" s="773" t="s">
        <v>17</v>
      </c>
      <c r="S31" s="774">
        <f t="shared" si="12"/>
        <v>100</v>
      </c>
      <c r="T31" s="773" t="s">
        <v>17</v>
      </c>
      <c r="U31" s="774">
        <f t="shared" si="13"/>
        <v>100</v>
      </c>
      <c r="V31" s="773" t="s">
        <v>17</v>
      </c>
      <c r="W31" s="774">
        <f t="shared" si="14"/>
        <v>100</v>
      </c>
      <c r="X31" s="1811"/>
      <c r="Y31" s="3240"/>
      <c r="Z31" s="1812" t="str">
        <f t="shared" si="15"/>
        <v>建筑结构</v>
      </c>
      <c r="AA31" s="1809">
        <f t="shared" si="3"/>
        <v>1</v>
      </c>
      <c r="AB31" s="1809">
        <f t="shared" si="4"/>
        <v>1</v>
      </c>
      <c r="AC31" s="1809">
        <f t="shared" si="5"/>
        <v>1</v>
      </c>
    </row>
    <row r="32" spans="1:29" ht="15.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0"/>
      <c r="Q32" s="1808" t="str">
        <f t="shared" si="11"/>
        <v>公共部分装修</v>
      </c>
      <c r="R32" s="773" t="s">
        <v>17</v>
      </c>
      <c r="S32" s="774">
        <f t="shared" si="12"/>
        <v>100</v>
      </c>
      <c r="T32" s="773" t="s">
        <v>17</v>
      </c>
      <c r="U32" s="774">
        <f t="shared" si="13"/>
        <v>100</v>
      </c>
      <c r="V32" s="773" t="s">
        <v>17</v>
      </c>
      <c r="W32" s="774">
        <f t="shared" si="14"/>
        <v>100</v>
      </c>
      <c r="X32" s="1811"/>
      <c r="Y32" s="3240"/>
      <c r="Z32" s="1812" t="str">
        <f t="shared" si="15"/>
        <v>公共部分装修</v>
      </c>
      <c r="AA32" s="1809">
        <f t="shared" si="3"/>
        <v>1</v>
      </c>
      <c r="AB32" s="1809">
        <f t="shared" si="4"/>
        <v>1</v>
      </c>
      <c r="AC32" s="1809">
        <f t="shared" si="5"/>
        <v>1</v>
      </c>
    </row>
    <row r="33" spans="1:29" ht="15.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0"/>
      <c r="Q33" s="1808" t="str">
        <f t="shared" si="11"/>
        <v>成新度</v>
      </c>
      <c r="R33" s="773" t="s">
        <v>17</v>
      </c>
      <c r="S33" s="774" t="e">
        <f t="shared" si="12"/>
        <v>#N/A</v>
      </c>
      <c r="T33" s="773" t="s">
        <v>17</v>
      </c>
      <c r="U33" s="774" t="e">
        <f t="shared" si="13"/>
        <v>#N/A</v>
      </c>
      <c r="V33" s="773" t="s">
        <v>17</v>
      </c>
      <c r="W33" s="774" t="e">
        <f t="shared" si="14"/>
        <v>#N/A</v>
      </c>
      <c r="X33" s="1811"/>
      <c r="Y33" s="3240"/>
      <c r="Z33" s="1812" t="str">
        <f t="shared" si="15"/>
        <v>成新度</v>
      </c>
      <c r="AA33" s="1809" t="e">
        <f t="shared" si="3"/>
        <v>#N/A</v>
      </c>
      <c r="AB33" s="1809" t="e">
        <f t="shared" si="4"/>
        <v>#N/A</v>
      </c>
      <c r="AC33" s="1809" t="e">
        <f t="shared" si="5"/>
        <v>#N/A</v>
      </c>
    </row>
    <row r="34" spans="1:29" s="117" customFormat="1" ht="15.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0"/>
      <c r="Q34" s="1793" t="str">
        <f t="shared" si="11"/>
        <v>物业管理</v>
      </c>
      <c r="R34" s="769" t="s">
        <v>17</v>
      </c>
      <c r="S34" s="770">
        <f t="shared" si="12"/>
        <v>100</v>
      </c>
      <c r="T34" s="769" t="s">
        <v>17</v>
      </c>
      <c r="U34" s="770">
        <f t="shared" si="13"/>
        <v>100</v>
      </c>
      <c r="V34" s="769" t="s">
        <v>17</v>
      </c>
      <c r="W34" s="770">
        <f t="shared" si="14"/>
        <v>100</v>
      </c>
      <c r="X34" s="771"/>
      <c r="Y34" s="3240"/>
      <c r="Z34" s="55" t="str">
        <f t="shared" si="15"/>
        <v>物业管理</v>
      </c>
      <c r="AA34" s="772">
        <f t="shared" si="3"/>
        <v>1</v>
      </c>
      <c r="AB34" s="772">
        <f t="shared" si="4"/>
        <v>1</v>
      </c>
      <c r="AC34" s="772">
        <f t="shared" si="5"/>
        <v>1</v>
      </c>
    </row>
    <row r="35" spans="1:29" ht="15.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0" t="s">
        <v>2554</v>
      </c>
      <c r="Q35" s="1808" t="str">
        <f t="shared" si="11"/>
        <v>市政基础设施</v>
      </c>
      <c r="R35" s="773" t="s">
        <v>17</v>
      </c>
      <c r="S35" s="774">
        <f t="shared" si="12"/>
        <v>100</v>
      </c>
      <c r="T35" s="773" t="s">
        <v>17</v>
      </c>
      <c r="U35" s="774">
        <f t="shared" si="13"/>
        <v>100</v>
      </c>
      <c r="V35" s="773" t="s">
        <v>17</v>
      </c>
      <c r="W35" s="774">
        <f t="shared" si="14"/>
        <v>100</v>
      </c>
      <c r="X35" s="1811"/>
      <c r="Y35" s="3240" t="s">
        <v>2554</v>
      </c>
      <c r="Z35" s="1812" t="str">
        <f t="shared" si="15"/>
        <v>市政基础设施</v>
      </c>
      <c r="AA35" s="1809">
        <f t="shared" si="3"/>
        <v>1</v>
      </c>
      <c r="AB35" s="1809">
        <f t="shared" si="4"/>
        <v>1</v>
      </c>
      <c r="AC35" s="1809">
        <f t="shared" si="5"/>
        <v>1</v>
      </c>
    </row>
    <row r="36" spans="1:29" ht="15.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0"/>
      <c r="Q36" s="1808" t="str">
        <f t="shared" si="11"/>
        <v>内部装修</v>
      </c>
      <c r="R36" s="773" t="s">
        <v>17</v>
      </c>
      <c r="S36" s="774">
        <f t="shared" si="12"/>
        <v>100</v>
      </c>
      <c r="T36" s="773" t="s">
        <v>17</v>
      </c>
      <c r="U36" s="774">
        <f t="shared" si="13"/>
        <v>100</v>
      </c>
      <c r="V36" s="773" t="s">
        <v>17</v>
      </c>
      <c r="W36" s="774">
        <f t="shared" si="14"/>
        <v>100</v>
      </c>
      <c r="X36" s="1811"/>
      <c r="Y36" s="3240"/>
      <c r="Z36" s="1812" t="str">
        <f t="shared" si="15"/>
        <v>内部装修</v>
      </c>
      <c r="AA36" s="1809">
        <f t="shared" si="3"/>
        <v>1</v>
      </c>
      <c r="AB36" s="1809">
        <f t="shared" si="4"/>
        <v>1</v>
      </c>
      <c r="AC36" s="1809">
        <f t="shared" si="5"/>
        <v>1</v>
      </c>
    </row>
    <row r="37" spans="1:29" ht="15.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0"/>
      <c r="Q37" s="1808" t="str">
        <f t="shared" si="11"/>
        <v>内部装修状况</v>
      </c>
      <c r="R37" s="773" t="s">
        <v>17</v>
      </c>
      <c r="S37" s="774">
        <f t="shared" si="12"/>
        <v>100</v>
      </c>
      <c r="T37" s="773" t="s">
        <v>17</v>
      </c>
      <c r="U37" s="774">
        <f t="shared" si="13"/>
        <v>100</v>
      </c>
      <c r="V37" s="773" t="s">
        <v>17</v>
      </c>
      <c r="W37" s="774">
        <f t="shared" si="14"/>
        <v>100</v>
      </c>
      <c r="X37" s="1811"/>
      <c r="Y37" s="3240"/>
      <c r="Z37" s="1812" t="str">
        <f t="shared" si="15"/>
        <v>内部装修状况</v>
      </c>
      <c r="AA37" s="1809">
        <f t="shared" si="3"/>
        <v>1</v>
      </c>
      <c r="AB37" s="1809">
        <f t="shared" si="4"/>
        <v>1</v>
      </c>
      <c r="AC37" s="1809">
        <f t="shared" si="5"/>
        <v>1</v>
      </c>
    </row>
    <row r="38" spans="1:29" s="471" customFormat="1" ht="15.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0"/>
      <c r="Q38" s="775">
        <f t="shared" si="11"/>
        <v>111</v>
      </c>
      <c r="R38" s="776" t="s">
        <v>17</v>
      </c>
      <c r="S38" s="777">
        <f t="shared" si="12"/>
        <v>100</v>
      </c>
      <c r="T38" s="776" t="s">
        <v>17</v>
      </c>
      <c r="U38" s="777">
        <f t="shared" si="13"/>
        <v>100</v>
      </c>
      <c r="V38" s="776" t="s">
        <v>17</v>
      </c>
      <c r="W38" s="777">
        <f t="shared" si="14"/>
        <v>100</v>
      </c>
      <c r="X38" s="778"/>
      <c r="Y38" s="3240"/>
      <c r="Z38" s="779">
        <f t="shared" si="15"/>
        <v>111</v>
      </c>
      <c r="AA38" s="1809">
        <f t="shared" si="3"/>
        <v>1</v>
      </c>
      <c r="AB38" s="1809">
        <f t="shared" si="4"/>
        <v>1</v>
      </c>
      <c r="AC38" s="1809">
        <f t="shared" si="5"/>
        <v>1</v>
      </c>
    </row>
    <row r="39" spans="1:29" ht="15.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0"/>
      <c r="Q39" s="1808">
        <f t="shared" si="11"/>
        <v>111</v>
      </c>
      <c r="R39" s="773" t="s">
        <v>17</v>
      </c>
      <c r="S39" s="774">
        <f t="shared" si="12"/>
        <v>100</v>
      </c>
      <c r="T39" s="773" t="s">
        <v>17</v>
      </c>
      <c r="U39" s="774">
        <f t="shared" si="13"/>
        <v>100</v>
      </c>
      <c r="V39" s="773" t="s">
        <v>17</v>
      </c>
      <c r="W39" s="774">
        <f t="shared" si="14"/>
        <v>100</v>
      </c>
      <c r="X39" s="1811"/>
      <c r="Y39" s="3240"/>
      <c r="Z39" s="1812">
        <f t="shared" si="15"/>
        <v>111</v>
      </c>
      <c r="AA39" s="1809">
        <f t="shared" si="3"/>
        <v>1</v>
      </c>
      <c r="AB39" s="1809">
        <f t="shared" si="4"/>
        <v>1</v>
      </c>
      <c r="AC39" s="1809">
        <f t="shared" si="5"/>
        <v>1</v>
      </c>
    </row>
    <row r="40" spans="1:29" ht="1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1"/>
      <c r="Q40" s="1808">
        <f t="shared" si="11"/>
        <v>111</v>
      </c>
      <c r="R40" s="773" t="s">
        <v>17</v>
      </c>
      <c r="S40" s="774">
        <f t="shared" si="12"/>
        <v>100</v>
      </c>
      <c r="T40" s="773" t="s">
        <v>17</v>
      </c>
      <c r="U40" s="774">
        <f t="shared" si="13"/>
        <v>100</v>
      </c>
      <c r="V40" s="773" t="s">
        <v>17</v>
      </c>
      <c r="W40" s="774">
        <f t="shared" si="14"/>
        <v>100</v>
      </c>
      <c r="X40" s="1811"/>
      <c r="Y40" s="3241"/>
      <c r="Z40" s="1812">
        <f t="shared" si="15"/>
        <v>111</v>
      </c>
      <c r="AA40" s="1809">
        <f t="shared" si="3"/>
        <v>1</v>
      </c>
      <c r="AB40" s="1809">
        <f t="shared" si="4"/>
        <v>1</v>
      </c>
      <c r="AC40" s="1809">
        <f t="shared" si="5"/>
        <v>1</v>
      </c>
    </row>
    <row r="41" spans="1:29">
      <c r="A41" s="479" t="s">
        <v>2566</v>
      </c>
      <c r="B41" s="480"/>
      <c r="C41" s="1405" t="s">
        <v>1</v>
      </c>
      <c r="D41" s="1406"/>
      <c r="E41" s="1407"/>
      <c r="F41" s="1408"/>
      <c r="G41" s="1409"/>
      <c r="H41" s="1410"/>
      <c r="I41" s="1407"/>
      <c r="J41" s="1410"/>
      <c r="K41" s="782"/>
      <c r="L41" s="1142"/>
      <c r="M41" s="1143"/>
      <c r="N41" s="1130"/>
      <c r="O41" s="1143"/>
      <c r="P41" s="3242" t="str">
        <f>A41</f>
        <v>成交单价（元/平方米）</v>
      </c>
      <c r="Q41" s="3242"/>
      <c r="R41" s="3243">
        <f>E41</f>
        <v>0</v>
      </c>
      <c r="S41" s="3243"/>
      <c r="T41" s="3243">
        <f>G41</f>
        <v>0</v>
      </c>
      <c r="U41" s="3243"/>
      <c r="V41" s="3243">
        <f>I41</f>
        <v>0</v>
      </c>
      <c r="W41" s="3243"/>
      <c r="X41" s="758"/>
      <c r="Y41" s="780"/>
      <c r="Z41" s="758"/>
      <c r="AA41" s="758"/>
      <c r="AB41" s="758"/>
      <c r="AC41" s="758"/>
    </row>
    <row r="42" spans="1:29" ht="14.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8"/>
      <c r="Y42" s="758"/>
      <c r="Z42" s="758"/>
      <c r="AA42" s="758"/>
      <c r="AB42" s="758"/>
      <c r="AC42" s="758"/>
    </row>
    <row r="43" spans="1:29" ht="14.5" thickBot="1">
      <c r="A43" s="492" t="s">
        <v>2659</v>
      </c>
      <c r="B43" s="493"/>
      <c r="C43" s="1415" t="e">
        <f>R43</f>
        <v>#DIV/0!</v>
      </c>
      <c r="D43" s="1415"/>
      <c r="E43" s="1415"/>
      <c r="F43" s="1415"/>
      <c r="G43" s="1415"/>
      <c r="H43" s="1415"/>
      <c r="I43" s="1415"/>
      <c r="J43" s="1415"/>
      <c r="K43" s="784"/>
      <c r="L43" s="1142"/>
      <c r="M43" s="1143"/>
      <c r="N43" s="1143"/>
      <c r="O43" s="1143"/>
      <c r="P43" s="3281" t="str">
        <f>A43</f>
        <v>估价对象XX用房的比较价值（楼面单价，元/平方米）</v>
      </c>
      <c r="Q43" s="3282"/>
      <c r="R43" s="3283" t="e">
        <f>IF(F1="售价",ROUND(AVERAGE(R42:V42),0),ROUND(AVERAGE(R42:V42),1))</f>
        <v>#DIV/0!</v>
      </c>
      <c r="S43" s="3283"/>
      <c r="T43" s="3283"/>
      <c r="U43" s="3283"/>
      <c r="V43" s="3283"/>
      <c r="W43" s="328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5" thickBot="1">
      <c r="A51" s="762" t="s">
        <v>2663</v>
      </c>
      <c r="B51" s="758"/>
      <c r="C51" s="763"/>
      <c r="D51" s="763"/>
      <c r="E51" s="763"/>
      <c r="F51" s="764"/>
      <c r="G51" s="764"/>
      <c r="H51" s="763"/>
      <c r="I51" s="763"/>
      <c r="J51" s="763"/>
      <c r="K51" s="1159"/>
      <c r="L51" s="1160"/>
      <c r="M51" s="1158"/>
      <c r="N51" s="1158"/>
      <c r="O51" s="1158"/>
      <c r="P51" s="503"/>
      <c r="Q51" s="504"/>
    </row>
    <row r="52" spans="1:17" s="508" customFormat="1">
      <c r="A52" s="505" t="s">
        <v>2537</v>
      </c>
      <c r="B52" s="506"/>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4.5" thickBot="1">
      <c r="A54" s="515" t="s">
        <v>2574</v>
      </c>
      <c r="B54" s="516"/>
      <c r="C54" s="517"/>
      <c r="D54" s="518"/>
      <c r="E54" s="518"/>
      <c r="F54" s="518"/>
      <c r="G54" s="518"/>
      <c r="H54" s="518"/>
      <c r="I54" s="518"/>
      <c r="J54" s="518"/>
      <c r="K54" s="518"/>
      <c r="L54" s="518"/>
      <c r="M54" s="519"/>
      <c r="N54" s="518"/>
      <c r="O54" s="520"/>
      <c r="P54" s="504"/>
      <c r="Q54" s="504"/>
    </row>
    <row r="55" spans="1:17" s="117" customFormat="1">
      <c r="A55" s="521" t="s">
        <v>2539</v>
      </c>
      <c r="B55" s="510"/>
      <c r="C55" s="522" t="s">
        <v>2641</v>
      </c>
      <c r="D55" s="523"/>
      <c r="E55" s="523"/>
      <c r="F55" s="523"/>
      <c r="G55" s="523"/>
      <c r="H55" s="523"/>
      <c r="I55" s="523"/>
      <c r="J55" s="523"/>
      <c r="K55" s="523"/>
      <c r="L55" s="524"/>
      <c r="M55" s="525"/>
      <c r="N55" s="1150"/>
      <c r="O55" s="1150"/>
      <c r="P55" s="526"/>
      <c r="Q55" s="504"/>
    </row>
    <row r="56" spans="1:17" s="117" customFormat="1" ht="14.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4.5" thickBot="1">
      <c r="A58" s="534"/>
      <c r="B58" s="535"/>
      <c r="C58" s="536">
        <v>100</v>
      </c>
      <c r="D58" s="536"/>
      <c r="E58" s="536"/>
      <c r="F58" s="536"/>
      <c r="G58" s="536"/>
      <c r="H58" s="536"/>
      <c r="I58" s="536"/>
      <c r="J58" s="536"/>
      <c r="K58" s="536"/>
      <c r="L58" s="536"/>
      <c r="M58" s="537"/>
      <c r="N58" s="1152"/>
      <c r="O58" s="1152"/>
      <c r="P58" s="45"/>
      <c r="Q58" s="504"/>
    </row>
    <row r="59" spans="1:17" ht="28.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4.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5" thickTop="1">
      <c r="A64" s="553"/>
      <c r="B64" s="538">
        <f>B12</f>
        <v>111</v>
      </c>
      <c r="C64" s="554"/>
      <c r="D64" s="554"/>
      <c r="E64" s="554"/>
      <c r="F64" s="554"/>
      <c r="G64" s="554"/>
      <c r="H64" s="555"/>
      <c r="I64" s="555"/>
      <c r="J64" s="555"/>
      <c r="K64" s="555"/>
      <c r="L64" s="556"/>
      <c r="M64" s="557"/>
      <c r="N64" s="1153"/>
      <c r="O64" s="1153"/>
      <c r="P64" s="558"/>
      <c r="Q64" s="559"/>
    </row>
    <row r="65" spans="1:17" s="471" customFormat="1" ht="14.5" thickBot="1">
      <c r="A65" s="553"/>
      <c r="B65" s="543"/>
      <c r="C65" s="560"/>
      <c r="D65" s="536"/>
      <c r="E65" s="536"/>
      <c r="F65" s="536"/>
      <c r="G65" s="536"/>
      <c r="H65" s="536"/>
      <c r="I65" s="536"/>
      <c r="J65" s="536"/>
      <c r="K65" s="536"/>
      <c r="L65" s="536"/>
      <c r="M65" s="537"/>
      <c r="N65" s="1152"/>
      <c r="O65" s="1152"/>
      <c r="P65" s="558"/>
      <c r="Q65" s="559"/>
    </row>
    <row r="66" spans="1:17" s="471" customFormat="1" ht="14.5" thickTop="1">
      <c r="A66" s="553"/>
      <c r="B66" s="538">
        <f>B13</f>
        <v>111</v>
      </c>
      <c r="C66" s="554"/>
      <c r="D66" s="554"/>
      <c r="E66" s="554"/>
      <c r="F66" s="554"/>
      <c r="G66" s="554"/>
      <c r="H66" s="555"/>
      <c r="I66" s="555"/>
      <c r="J66" s="555"/>
      <c r="K66" s="555"/>
      <c r="L66" s="556"/>
      <c r="M66" s="557"/>
      <c r="N66" s="1153"/>
      <c r="O66" s="1153"/>
      <c r="P66" s="470"/>
      <c r="Q66" s="561"/>
    </row>
    <row r="67" spans="1:17" s="471" customFormat="1" ht="14.5" thickBot="1">
      <c r="A67" s="553"/>
      <c r="B67" s="543"/>
      <c r="C67" s="560"/>
      <c r="D67" s="536"/>
      <c r="E67" s="536"/>
      <c r="F67" s="536"/>
      <c r="G67" s="560"/>
      <c r="H67" s="562"/>
      <c r="I67" s="562"/>
      <c r="J67" s="562"/>
      <c r="K67" s="562"/>
      <c r="L67" s="562"/>
      <c r="M67" s="563"/>
      <c r="N67" s="1153"/>
      <c r="O67" s="1153"/>
      <c r="P67" s="558"/>
      <c r="Q67" s="559"/>
    </row>
    <row r="68" spans="1:17" s="471" customFormat="1" ht="14.5" thickTop="1">
      <c r="A68" s="553"/>
      <c r="B68" s="546">
        <f>B14</f>
        <v>111</v>
      </c>
      <c r="C68" s="523"/>
      <c r="D68" s="523"/>
      <c r="E68" s="523"/>
      <c r="F68" s="523"/>
      <c r="G68" s="523"/>
      <c r="H68" s="564"/>
      <c r="I68" s="564"/>
      <c r="J68" s="564"/>
      <c r="K68" s="564"/>
      <c r="L68" s="565"/>
      <c r="M68" s="566"/>
      <c r="N68" s="1153"/>
      <c r="O68" s="1153"/>
      <c r="P68" s="567"/>
      <c r="Q68" s="559"/>
    </row>
    <row r="69" spans="1:17" s="471" customFormat="1" ht="14.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4.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4.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4.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4.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5" thickTop="1">
      <c r="A80" s="579"/>
      <c r="B80" s="538">
        <f>B25</f>
        <v>111</v>
      </c>
      <c r="C80" s="554"/>
      <c r="D80" s="554"/>
      <c r="E80" s="554"/>
      <c r="F80" s="554"/>
      <c r="G80" s="554"/>
      <c r="H80" s="554"/>
      <c r="I80" s="554"/>
      <c r="J80" s="554"/>
      <c r="K80" s="554"/>
      <c r="L80" s="580"/>
      <c r="M80" s="581"/>
      <c r="N80" s="1150"/>
      <c r="O80" s="1150"/>
      <c r="P80" s="45"/>
      <c r="Q80" s="504"/>
    </row>
    <row r="81" spans="1:17" s="117" customFormat="1" ht="14.5" thickBot="1">
      <c r="A81" s="579"/>
      <c r="B81" s="543"/>
      <c r="C81" s="560"/>
      <c r="D81" s="536"/>
      <c r="E81" s="536"/>
      <c r="F81" s="536"/>
      <c r="G81" s="536"/>
      <c r="H81" s="536"/>
      <c r="I81" s="536"/>
      <c r="J81" s="536"/>
      <c r="K81" s="536"/>
      <c r="L81" s="536"/>
      <c r="M81" s="537"/>
      <c r="N81" s="1152"/>
      <c r="O81" s="1152"/>
      <c r="P81" s="45"/>
      <c r="Q81" s="504"/>
    </row>
    <row r="82" spans="1:17" s="117" customFormat="1" ht="14.5" thickTop="1">
      <c r="A82" s="579"/>
      <c r="B82" s="538">
        <f>B26</f>
        <v>111</v>
      </c>
      <c r="C82" s="554"/>
      <c r="D82" s="554"/>
      <c r="E82" s="554"/>
      <c r="F82" s="554"/>
      <c r="G82" s="554"/>
      <c r="H82" s="554"/>
      <c r="I82" s="554"/>
      <c r="J82" s="554"/>
      <c r="K82" s="554"/>
      <c r="L82" s="580"/>
      <c r="M82" s="581"/>
      <c r="N82" s="1150"/>
      <c r="O82" s="1150"/>
      <c r="P82" s="45"/>
      <c r="Q82" s="504"/>
    </row>
    <row r="83" spans="1:17" s="117" customFormat="1" ht="14.5" thickBot="1">
      <c r="A83" s="579"/>
      <c r="B83" s="543"/>
      <c r="C83" s="560"/>
      <c r="D83" s="536"/>
      <c r="E83" s="536"/>
      <c r="F83" s="536"/>
      <c r="G83" s="536"/>
      <c r="H83" s="536"/>
      <c r="I83" s="536"/>
      <c r="J83" s="536"/>
      <c r="K83" s="536"/>
      <c r="L83" s="536"/>
      <c r="M83" s="537"/>
      <c r="N83" s="1152"/>
      <c r="O83" s="1152"/>
      <c r="P83" s="45"/>
      <c r="Q83" s="504"/>
    </row>
    <row r="84" spans="1:17" s="471" customFormat="1" ht="14.5" thickTop="1">
      <c r="A84" s="553"/>
      <c r="B84" s="538">
        <f>B27</f>
        <v>111</v>
      </c>
      <c r="C84" s="554"/>
      <c r="D84" s="554"/>
      <c r="E84" s="554"/>
      <c r="F84" s="554"/>
      <c r="G84" s="554"/>
      <c r="H84" s="554"/>
      <c r="I84" s="554"/>
      <c r="J84" s="554"/>
      <c r="K84" s="554"/>
      <c r="L84" s="580"/>
      <c r="M84" s="581"/>
      <c r="N84" s="1153"/>
      <c r="O84" s="1153"/>
      <c r="P84" s="558"/>
      <c r="Q84" s="559"/>
    </row>
    <row r="85" spans="1:17" s="471" customFormat="1" ht="14.5" thickBot="1">
      <c r="A85" s="553"/>
      <c r="B85" s="543"/>
      <c r="C85" s="560"/>
      <c r="D85" s="536"/>
      <c r="E85" s="536"/>
      <c r="F85" s="536"/>
      <c r="G85" s="536"/>
      <c r="H85" s="536"/>
      <c r="I85" s="536"/>
      <c r="J85" s="536"/>
      <c r="K85" s="536"/>
      <c r="L85" s="536"/>
      <c r="M85" s="537"/>
      <c r="N85" s="1153"/>
      <c r="O85" s="1153"/>
      <c r="P85" s="558"/>
      <c r="Q85" s="559"/>
    </row>
    <row r="86" spans="1:17" ht="14.5" thickTop="1">
      <c r="A86" s="534"/>
      <c r="B86" s="546">
        <f>B28</f>
        <v>111</v>
      </c>
      <c r="C86" s="523"/>
      <c r="D86" s="523"/>
      <c r="E86" s="523"/>
      <c r="F86" s="523"/>
      <c r="G86" s="587"/>
      <c r="H86" s="587"/>
      <c r="I86" s="587"/>
      <c r="J86" s="587"/>
      <c r="K86" s="588"/>
      <c r="L86" s="589"/>
      <c r="M86" s="590"/>
      <c r="N86" s="1151"/>
      <c r="O86" s="1151"/>
      <c r="P86" s="45"/>
      <c r="Q86" s="504"/>
    </row>
    <row r="87" spans="1:17" ht="14.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4.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5" thickBot="1">
      <c r="A92" s="553"/>
      <c r="B92" s="543"/>
      <c r="C92" s="560"/>
      <c r="D92" s="536"/>
      <c r="E92" s="536"/>
      <c r="F92" s="536"/>
      <c r="G92" s="536"/>
      <c r="H92" s="536"/>
      <c r="I92" s="536"/>
      <c r="J92" s="536"/>
      <c r="K92" s="536"/>
      <c r="L92" s="536"/>
      <c r="M92" s="537"/>
      <c r="N92" s="1152"/>
      <c r="O92" s="1152"/>
      <c r="P92" s="558"/>
      <c r="Q92" s="559"/>
    </row>
    <row r="93" spans="1:17" ht="14.5" thickTop="1">
      <c r="A93" s="599"/>
      <c r="B93" s="538" t="s">
        <v>2603</v>
      </c>
      <c r="C93" s="554"/>
      <c r="D93" s="554"/>
      <c r="E93" s="583"/>
      <c r="F93" s="583"/>
      <c r="G93" s="583"/>
      <c r="H93" s="583"/>
      <c r="I93" s="583"/>
      <c r="J93" s="583"/>
      <c r="K93" s="584"/>
      <c r="L93" s="585"/>
      <c r="M93" s="586"/>
      <c r="N93" s="1151"/>
      <c r="O93" s="1151"/>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4.5" thickTop="1">
      <c r="A95" s="599"/>
      <c r="B95" s="538" t="s">
        <v>2605</v>
      </c>
      <c r="C95" s="554"/>
      <c r="D95" s="554"/>
      <c r="E95" s="554"/>
      <c r="F95" s="583"/>
      <c r="G95" s="583"/>
      <c r="H95" s="583"/>
      <c r="I95" s="583"/>
      <c r="J95" s="583"/>
      <c r="K95" s="584"/>
      <c r="L95" s="585"/>
      <c r="M95" s="586"/>
      <c r="N95" s="1151"/>
      <c r="O95" s="1151"/>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4.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4.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4.5" thickTop="1">
      <c r="A102" s="599"/>
      <c r="B102" s="538" t="s">
        <v>2607</v>
      </c>
      <c r="C102" s="554"/>
      <c r="D102" s="554"/>
      <c r="E102" s="554"/>
      <c r="F102" s="554"/>
      <c r="G102" s="554"/>
      <c r="H102" s="583"/>
      <c r="I102" s="583"/>
      <c r="J102" s="583"/>
      <c r="K102" s="584"/>
      <c r="L102" s="585"/>
      <c r="M102" s="586"/>
      <c r="N102" s="1151"/>
      <c r="O102" s="1151"/>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4.5" thickTop="1">
      <c r="A104" s="599"/>
      <c r="B104" s="538" t="s">
        <v>2609</v>
      </c>
      <c r="C104" s="554"/>
      <c r="D104" s="554"/>
      <c r="E104" s="554"/>
      <c r="F104" s="554"/>
      <c r="G104" s="554"/>
      <c r="H104" s="583"/>
      <c r="I104" s="583"/>
      <c r="J104" s="583"/>
      <c r="K104" s="584"/>
      <c r="L104" s="585"/>
      <c r="M104" s="586"/>
      <c r="N104" s="1151"/>
      <c r="O104" s="1151"/>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8.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5" thickBot="1">
      <c r="A109" s="553"/>
      <c r="B109" s="535"/>
      <c r="C109" s="560"/>
      <c r="D109" s="536"/>
      <c r="E109" s="536"/>
      <c r="F109" s="536"/>
      <c r="G109" s="560"/>
      <c r="H109" s="562"/>
      <c r="I109" s="562"/>
      <c r="J109" s="562"/>
      <c r="K109" s="562"/>
      <c r="L109" s="562"/>
      <c r="M109" s="563"/>
      <c r="N109" s="1153"/>
      <c r="O109" s="1153"/>
      <c r="P109" s="558"/>
      <c r="Q109" s="559"/>
    </row>
    <row r="110" spans="1:17" ht="14.5" thickTop="1">
      <c r="A110" s="599"/>
      <c r="B110" s="538">
        <f>B39</f>
        <v>111</v>
      </c>
      <c r="C110" s="554"/>
      <c r="D110" s="554"/>
      <c r="E110" s="554"/>
      <c r="F110" s="554"/>
      <c r="G110" s="554"/>
      <c r="H110" s="555"/>
      <c r="I110" s="555"/>
      <c r="J110" s="555"/>
      <c r="K110" s="555"/>
      <c r="L110" s="556"/>
      <c r="M110" s="557"/>
      <c r="N110" s="1151"/>
      <c r="O110" s="1151"/>
      <c r="P110" s="45"/>
      <c r="Q110" s="504"/>
    </row>
    <row r="111" spans="1:17" ht="14.5" thickBot="1">
      <c r="A111" s="534"/>
      <c r="B111" s="543"/>
      <c r="C111" s="560"/>
      <c r="D111" s="536"/>
      <c r="E111" s="536"/>
      <c r="F111" s="536"/>
      <c r="G111" s="560"/>
      <c r="H111" s="562"/>
      <c r="I111" s="562"/>
      <c r="J111" s="562"/>
      <c r="K111" s="562"/>
      <c r="L111" s="562"/>
      <c r="M111" s="563"/>
      <c r="N111" s="1152"/>
      <c r="O111" s="1152"/>
      <c r="P111" s="45"/>
      <c r="Q111" s="504"/>
    </row>
    <row r="112" spans="1:17" ht="14.5" thickTop="1">
      <c r="A112" s="599"/>
      <c r="B112" s="546">
        <f>B40</f>
        <v>111</v>
      </c>
      <c r="C112" s="523"/>
      <c r="D112" s="523"/>
      <c r="E112" s="523"/>
      <c r="F112" s="523"/>
      <c r="G112" s="587"/>
      <c r="H112" s="587"/>
      <c r="I112" s="587"/>
      <c r="J112" s="587"/>
      <c r="K112" s="523"/>
      <c r="L112" s="524"/>
      <c r="M112" s="590"/>
      <c r="N112" s="1151"/>
      <c r="O112" s="1151"/>
      <c r="P112" s="45"/>
      <c r="Q112" s="504"/>
    </row>
    <row r="113" spans="1:17" ht="14.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94">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5">
      <c r="A15" s="404"/>
      <c r="B15" s="647"/>
      <c r="C15" s="447"/>
      <c r="D15" s="448"/>
      <c r="E15" s="447"/>
      <c r="F15" s="449"/>
      <c r="G15" s="447"/>
      <c r="H15" s="450"/>
      <c r="I15" s="447"/>
      <c r="J15" s="448"/>
      <c r="K15" s="615"/>
      <c r="L15" s="1139"/>
      <c r="M15" s="1130"/>
      <c r="N15" s="1130"/>
      <c r="O15" s="1130"/>
      <c r="P15" s="3236"/>
      <c r="Q15" s="1808"/>
      <c r="R15" s="773"/>
      <c r="S15" s="774"/>
      <c r="T15" s="773"/>
      <c r="U15" s="774"/>
      <c r="V15" s="773"/>
      <c r="W15" s="774"/>
      <c r="X15" s="1811"/>
      <c r="Y15" s="3236"/>
      <c r="Z15" s="1812"/>
      <c r="AA15" s="1809">
        <v>1</v>
      </c>
      <c r="AB15" s="1809">
        <v>1</v>
      </c>
      <c r="AC15" s="1809">
        <v>1</v>
      </c>
    </row>
    <row r="16" spans="1:29" ht="280">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5">
      <c r="A17" s="404"/>
      <c r="B17" s="632"/>
      <c r="C17" s="2603"/>
      <c r="D17" s="448"/>
      <c r="E17" s="447"/>
      <c r="F17" s="449"/>
      <c r="G17" s="447"/>
      <c r="H17" s="448"/>
      <c r="I17" s="447"/>
      <c r="J17" s="448"/>
      <c r="K17" s="615"/>
      <c r="L17" s="1139"/>
      <c r="M17" s="1130"/>
      <c r="N17" s="1130"/>
      <c r="O17" s="1130"/>
      <c r="P17" s="3236"/>
      <c r="Q17" s="1808"/>
      <c r="R17" s="773"/>
      <c r="S17" s="774"/>
      <c r="T17" s="773"/>
      <c r="U17" s="774"/>
      <c r="V17" s="773"/>
      <c r="W17" s="774"/>
      <c r="X17" s="1811"/>
      <c r="Y17" s="3236"/>
      <c r="Z17" s="1812"/>
      <c r="AA17" s="1809">
        <v>1</v>
      </c>
      <c r="AB17" s="1809">
        <v>1</v>
      </c>
      <c r="AC17" s="1809">
        <v>1</v>
      </c>
    </row>
    <row r="18" spans="1:29" ht="28">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5">
      <c r="A19" s="404"/>
      <c r="B19" s="633"/>
      <c r="C19" s="2603"/>
      <c r="D19" s="450"/>
      <c r="E19" s="2603"/>
      <c r="F19" s="453"/>
      <c r="G19" s="2603"/>
      <c r="H19" s="448"/>
      <c r="I19" s="447"/>
      <c r="J19" s="448"/>
      <c r="K19" s="1381"/>
      <c r="L19" s="1139"/>
      <c r="M19" s="1130"/>
      <c r="N19" s="1130"/>
      <c r="O19" s="1130"/>
      <c r="P19" s="3236"/>
      <c r="Q19" s="1808"/>
      <c r="R19" s="773"/>
      <c r="S19" s="774"/>
      <c r="T19" s="773"/>
      <c r="U19" s="774"/>
      <c r="V19" s="773"/>
      <c r="W19" s="774"/>
      <c r="X19" s="1811"/>
      <c r="Y19" s="3236"/>
      <c r="Z19" s="1812"/>
      <c r="AA19" s="1809">
        <v>1</v>
      </c>
      <c r="AB19" s="1809">
        <v>1</v>
      </c>
      <c r="AC19" s="1809">
        <v>1</v>
      </c>
    </row>
    <row r="20" spans="1:29" ht="238">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5">
      <c r="A21" s="404"/>
      <c r="B21" s="632"/>
      <c r="C21" s="447"/>
      <c r="D21" s="448"/>
      <c r="E21" s="447"/>
      <c r="F21" s="449"/>
      <c r="G21" s="447"/>
      <c r="H21" s="448"/>
      <c r="I21" s="447"/>
      <c r="J21" s="448"/>
      <c r="K21" s="615"/>
      <c r="L21" s="1139"/>
      <c r="M21" s="1130"/>
      <c r="N21" s="1130"/>
      <c r="O21" s="1130"/>
      <c r="P21" s="3236"/>
      <c r="Q21" s="1808"/>
      <c r="R21" s="773"/>
      <c r="S21" s="774"/>
      <c r="T21" s="773"/>
      <c r="U21" s="774"/>
      <c r="V21" s="773"/>
      <c r="W21" s="774"/>
      <c r="X21" s="1811"/>
      <c r="Y21" s="3236"/>
      <c r="Z21" s="1812"/>
      <c r="AA21" s="1809">
        <v>1</v>
      </c>
      <c r="AB21" s="1809">
        <v>1</v>
      </c>
      <c r="AC21" s="1809">
        <v>1</v>
      </c>
    </row>
    <row r="22" spans="1:29" ht="15.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6"/>
      <c r="Q24" s="1808">
        <f t="shared" ref="Q24:Q36"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9">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0" t="s">
        <v>2554</v>
      </c>
      <c r="Z26" s="1812" t="str">
        <f t="shared" ref="Z26:Z36" si="15">Q26</f>
        <v>配套类型</v>
      </c>
      <c r="AA26" s="1809">
        <f t="shared" si="3"/>
        <v>1</v>
      </c>
      <c r="AB26" s="1809">
        <f t="shared" si="4"/>
        <v>1</v>
      </c>
      <c r="AC26" s="1809">
        <f t="shared" si="5"/>
        <v>1</v>
      </c>
    </row>
    <row r="27" spans="1:29" s="471" customFormat="1" ht="15.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0"/>
      <c r="Q27" s="775" t="str">
        <f t="shared" si="11"/>
        <v>项目停车位配比</v>
      </c>
      <c r="R27" s="776" t="s">
        <v>17</v>
      </c>
      <c r="S27" s="777">
        <f t="shared" si="12"/>
        <v>100</v>
      </c>
      <c r="T27" s="776" t="s">
        <v>17</v>
      </c>
      <c r="U27" s="777">
        <f t="shared" si="13"/>
        <v>100</v>
      </c>
      <c r="V27" s="776" t="s">
        <v>17</v>
      </c>
      <c r="W27" s="777">
        <f t="shared" si="14"/>
        <v>100</v>
      </c>
      <c r="X27" s="778"/>
      <c r="Y27" s="3240"/>
      <c r="Z27" s="779" t="str">
        <f t="shared" si="15"/>
        <v>项目停车位配比</v>
      </c>
      <c r="AA27" s="1809">
        <f t="shared" si="3"/>
        <v>1</v>
      </c>
      <c r="AB27" s="1809">
        <f t="shared" si="4"/>
        <v>1</v>
      </c>
      <c r="AC27" s="1809">
        <f t="shared" si="5"/>
        <v>1</v>
      </c>
    </row>
    <row r="28" spans="1:29" ht="15.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0"/>
      <c r="Q28" s="1808" t="str">
        <f t="shared" si="11"/>
        <v>公共部分装修</v>
      </c>
      <c r="R28" s="773" t="s">
        <v>17</v>
      </c>
      <c r="S28" s="774">
        <f t="shared" si="12"/>
        <v>100</v>
      </c>
      <c r="T28" s="773" t="s">
        <v>17</v>
      </c>
      <c r="U28" s="774">
        <f t="shared" si="13"/>
        <v>100</v>
      </c>
      <c r="V28" s="773" t="s">
        <v>17</v>
      </c>
      <c r="W28" s="774">
        <f t="shared" si="14"/>
        <v>100</v>
      </c>
      <c r="X28" s="1811"/>
      <c r="Y28" s="3240"/>
      <c r="Z28" s="1812" t="str">
        <f t="shared" si="15"/>
        <v>公共部分装修</v>
      </c>
      <c r="AA28" s="1809">
        <f t="shared" si="3"/>
        <v>1</v>
      </c>
      <c r="AB28" s="1809">
        <f t="shared" si="4"/>
        <v>1</v>
      </c>
      <c r="AC28" s="1809">
        <f t="shared" si="5"/>
        <v>1</v>
      </c>
    </row>
    <row r="29" spans="1:29" ht="15.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0"/>
      <c r="Q29" s="1808" t="str">
        <f t="shared" si="11"/>
        <v>成新率</v>
      </c>
      <c r="R29" s="773" t="s">
        <v>17</v>
      </c>
      <c r="S29" s="774" t="e">
        <f t="shared" si="12"/>
        <v>#N/A</v>
      </c>
      <c r="T29" s="773" t="s">
        <v>17</v>
      </c>
      <c r="U29" s="774" t="e">
        <f t="shared" si="13"/>
        <v>#N/A</v>
      </c>
      <c r="V29" s="773" t="s">
        <v>17</v>
      </c>
      <c r="W29" s="774" t="e">
        <f t="shared" si="14"/>
        <v>#N/A</v>
      </c>
      <c r="X29" s="1811"/>
      <c r="Y29" s="3240"/>
      <c r="Z29" s="1812" t="str">
        <f t="shared" si="15"/>
        <v>成新率</v>
      </c>
      <c r="AA29" s="1809" t="e">
        <f t="shared" si="3"/>
        <v>#N/A</v>
      </c>
      <c r="AB29" s="1809" t="e">
        <f t="shared" si="4"/>
        <v>#N/A</v>
      </c>
      <c r="AC29" s="1809" t="e">
        <f t="shared" si="5"/>
        <v>#N/A</v>
      </c>
    </row>
    <row r="30" spans="1:29" ht="15.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0"/>
      <c r="Q30" s="1808" t="str">
        <f t="shared" si="11"/>
        <v>物业等级</v>
      </c>
      <c r="R30" s="773" t="s">
        <v>17</v>
      </c>
      <c r="S30" s="774">
        <f t="shared" si="12"/>
        <v>100</v>
      </c>
      <c r="T30" s="773" t="s">
        <v>17</v>
      </c>
      <c r="U30" s="774">
        <f t="shared" si="13"/>
        <v>100</v>
      </c>
      <c r="V30" s="773" t="s">
        <v>17</v>
      </c>
      <c r="W30" s="774">
        <f t="shared" si="14"/>
        <v>100</v>
      </c>
      <c r="X30" s="1811"/>
      <c r="Y30" s="3240"/>
      <c r="Z30" s="1812" t="str">
        <f t="shared" si="15"/>
        <v>物业等级</v>
      </c>
      <c r="AA30" s="1809">
        <f t="shared" si="3"/>
        <v>1</v>
      </c>
      <c r="AB30" s="1809">
        <f t="shared" si="4"/>
        <v>1</v>
      </c>
      <c r="AC30" s="1809">
        <f t="shared" si="5"/>
        <v>1</v>
      </c>
    </row>
    <row r="31" spans="1:29" s="117" customFormat="1" ht="15.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0"/>
      <c r="Q31" s="1793" t="str">
        <f t="shared" si="11"/>
        <v>停车位面积</v>
      </c>
      <c r="R31" s="769" t="s">
        <v>17</v>
      </c>
      <c r="S31" s="770" t="e">
        <f t="shared" si="12"/>
        <v>#N/A</v>
      </c>
      <c r="T31" s="769" t="s">
        <v>17</v>
      </c>
      <c r="U31" s="770" t="e">
        <f t="shared" si="13"/>
        <v>#N/A</v>
      </c>
      <c r="V31" s="769" t="s">
        <v>17</v>
      </c>
      <c r="W31" s="770" t="e">
        <f t="shared" si="14"/>
        <v>#N/A</v>
      </c>
      <c r="X31" s="771"/>
      <c r="Y31" s="3240"/>
      <c r="Z31" s="55" t="str">
        <f t="shared" si="15"/>
        <v>停车位面积</v>
      </c>
      <c r="AA31" s="772" t="e">
        <f t="shared" si="3"/>
        <v>#N/A</v>
      </c>
      <c r="AB31" s="772" t="e">
        <f t="shared" si="4"/>
        <v>#N/A</v>
      </c>
      <c r="AC31" s="772" t="e">
        <f t="shared" si="5"/>
        <v>#N/A</v>
      </c>
    </row>
    <row r="32" spans="1:29" ht="15.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0" t="s">
        <v>2554</v>
      </c>
      <c r="Q32" s="1808" t="str">
        <f t="shared" si="11"/>
        <v>车位类型</v>
      </c>
      <c r="R32" s="773" t="s">
        <v>17</v>
      </c>
      <c r="S32" s="774">
        <f t="shared" si="12"/>
        <v>100</v>
      </c>
      <c r="T32" s="773" t="s">
        <v>17</v>
      </c>
      <c r="U32" s="774">
        <f t="shared" si="13"/>
        <v>100</v>
      </c>
      <c r="V32" s="773" t="s">
        <v>17</v>
      </c>
      <c r="W32" s="774">
        <f t="shared" si="14"/>
        <v>100</v>
      </c>
      <c r="X32" s="1811"/>
      <c r="Y32" s="3240" t="s">
        <v>2554</v>
      </c>
      <c r="Z32" s="1812" t="str">
        <f t="shared" si="15"/>
        <v>车位类型</v>
      </c>
      <c r="AA32" s="1809">
        <f t="shared" si="3"/>
        <v>1</v>
      </c>
      <c r="AB32" s="1809">
        <f t="shared" si="4"/>
        <v>1</v>
      </c>
      <c r="AC32" s="1809">
        <f t="shared" si="5"/>
        <v>1</v>
      </c>
    </row>
    <row r="33" spans="1:29" ht="15.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0"/>
      <c r="Q33" s="1808" t="str">
        <f t="shared" si="11"/>
        <v>是否直接入户</v>
      </c>
      <c r="R33" s="773" t="s">
        <v>17</v>
      </c>
      <c r="S33" s="774">
        <f t="shared" si="12"/>
        <v>100</v>
      </c>
      <c r="T33" s="773" t="s">
        <v>17</v>
      </c>
      <c r="U33" s="774">
        <f t="shared" si="13"/>
        <v>100</v>
      </c>
      <c r="V33" s="773" t="s">
        <v>17</v>
      </c>
      <c r="W33" s="774">
        <f t="shared" si="14"/>
        <v>100</v>
      </c>
      <c r="X33" s="1811"/>
      <c r="Y33" s="3240"/>
      <c r="Z33" s="1812" t="str">
        <f t="shared" si="15"/>
        <v>是否直接入户</v>
      </c>
      <c r="AA33" s="1809">
        <f t="shared" si="3"/>
        <v>1</v>
      </c>
      <c r="AB33" s="1809">
        <f t="shared" si="4"/>
        <v>1</v>
      </c>
      <c r="AC33" s="1809">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0"/>
      <c r="Q35" s="775">
        <f t="shared" si="11"/>
        <v>111</v>
      </c>
      <c r="R35" s="776" t="s">
        <v>17</v>
      </c>
      <c r="S35" s="777">
        <f t="shared" si="12"/>
        <v>100</v>
      </c>
      <c r="T35" s="776" t="s">
        <v>17</v>
      </c>
      <c r="U35" s="777">
        <f t="shared" si="13"/>
        <v>100</v>
      </c>
      <c r="V35" s="776" t="s">
        <v>17</v>
      </c>
      <c r="W35" s="777">
        <f t="shared" si="14"/>
        <v>100</v>
      </c>
      <c r="X35" s="778"/>
      <c r="Y35" s="3240"/>
      <c r="Z35" s="779">
        <f t="shared" si="15"/>
        <v>111</v>
      </c>
      <c r="AA35" s="1809">
        <f t="shared" si="3"/>
        <v>1</v>
      </c>
      <c r="AB35" s="1809">
        <f t="shared" si="4"/>
        <v>1</v>
      </c>
      <c r="AC35" s="1809">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0"/>
      <c r="Q36" s="1808">
        <f t="shared" si="11"/>
        <v>111</v>
      </c>
      <c r="R36" s="773" t="s">
        <v>17</v>
      </c>
      <c r="S36" s="774">
        <f t="shared" si="12"/>
        <v>100</v>
      </c>
      <c r="T36" s="773" t="s">
        <v>17</v>
      </c>
      <c r="U36" s="774">
        <f t="shared" si="13"/>
        <v>100</v>
      </c>
      <c r="V36" s="773" t="s">
        <v>17</v>
      </c>
      <c r="W36" s="774">
        <f t="shared" si="14"/>
        <v>100</v>
      </c>
      <c r="X36" s="1811"/>
      <c r="Y36" s="3240"/>
      <c r="Z36" s="1812">
        <f t="shared" si="15"/>
        <v>111</v>
      </c>
      <c r="AA36" s="1809">
        <f t="shared" si="3"/>
        <v>1</v>
      </c>
      <c r="AB36" s="1809">
        <f t="shared" si="4"/>
        <v>1</v>
      </c>
      <c r="AC36" s="1809">
        <f t="shared" si="5"/>
        <v>1</v>
      </c>
    </row>
    <row r="37" spans="1:29">
      <c r="A37" s="479" t="s">
        <v>2709</v>
      </c>
      <c r="B37" s="2690" t="s">
        <v>2710</v>
      </c>
      <c r="C37" s="1405" t="s">
        <v>1</v>
      </c>
      <c r="D37" s="1406"/>
      <c r="E37" s="1407"/>
      <c r="F37" s="1408"/>
      <c r="G37" s="1409"/>
      <c r="H37" s="1410"/>
      <c r="I37" s="1407"/>
      <c r="J37" s="1410"/>
      <c r="K37" s="619"/>
      <c r="L37" s="1142"/>
      <c r="M37" s="1143"/>
      <c r="N37" s="1130"/>
      <c r="O37" s="1143"/>
      <c r="P37" s="3242" t="str">
        <f>A37</f>
        <v>成交单价</v>
      </c>
      <c r="Q37" s="3242"/>
      <c r="R37" s="3243">
        <f>E37</f>
        <v>0</v>
      </c>
      <c r="S37" s="3243"/>
      <c r="T37" s="3243">
        <f>G37</f>
        <v>0</v>
      </c>
      <c r="U37" s="3243"/>
      <c r="V37" s="3243">
        <f>I37</f>
        <v>0</v>
      </c>
      <c r="W37" s="3243"/>
      <c r="X37" s="758"/>
      <c r="Y37" s="780"/>
      <c r="Z37" s="758"/>
      <c r="AA37" s="758"/>
      <c r="AB37" s="758"/>
      <c r="AC37" s="758"/>
    </row>
    <row r="38" spans="1:29" ht="14.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8"/>
      <c r="Y38" s="758"/>
      <c r="Z38" s="758"/>
      <c r="AA38" s="758"/>
      <c r="AB38" s="758"/>
      <c r="AC38" s="758"/>
    </row>
    <row r="39" spans="1:29" ht="14.5" thickBot="1">
      <c r="A39" s="492" t="s">
        <v>2712</v>
      </c>
      <c r="B39" s="493"/>
      <c r="C39" s="1415" t="e">
        <f>R39</f>
        <v>#DIV/0!</v>
      </c>
      <c r="D39" s="1415"/>
      <c r="E39" s="1415"/>
      <c r="F39" s="1415"/>
      <c r="G39" s="1415"/>
      <c r="H39" s="1415"/>
      <c r="I39" s="1415"/>
      <c r="J39" s="1415"/>
      <c r="K39" s="621"/>
      <c r="L39" s="1142"/>
      <c r="M39" s="1143"/>
      <c r="N39" s="1143"/>
      <c r="O39" s="1143"/>
      <c r="P39" s="3281" t="str">
        <f>A39</f>
        <v>估价对象XX用房的比较价值（楼面单价，元/平方米）</v>
      </c>
      <c r="Q39" s="3282"/>
      <c r="R39" s="3283" t="e">
        <f>IF(F1="售价",ROUND(AVERAGE(R38:V38),0),ROUND(AVERAGE(R38:V38),1))</f>
        <v>#DIV/0!</v>
      </c>
      <c r="S39" s="3283"/>
      <c r="T39" s="3283"/>
      <c r="U39" s="3283"/>
      <c r="V39" s="3283"/>
      <c r="W39" s="328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5"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c r="A48" s="505" t="s">
        <v>2717</v>
      </c>
      <c r="B48" s="506"/>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4.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4.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4.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8.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4.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4.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4.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4.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4.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4.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4.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4.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4.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4.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4.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4.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4.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4.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4.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4.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4.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8.5"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4.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4.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4.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4.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4.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4.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4.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4.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4.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4.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4.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4.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4.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4.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4.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94">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5">
      <c r="A15" s="428"/>
      <c r="B15" s="446"/>
      <c r="C15" s="447"/>
      <c r="D15" s="448"/>
      <c r="E15" s="447"/>
      <c r="F15" s="449"/>
      <c r="G15" s="447"/>
      <c r="H15" s="450"/>
      <c r="I15" s="447"/>
      <c r="J15" s="448"/>
      <c r="K15" s="615"/>
      <c r="L15" s="1139"/>
      <c r="M15" s="1130"/>
      <c r="N15" s="1130"/>
      <c r="O15" s="1138"/>
      <c r="P15" s="3236"/>
      <c r="Q15" s="1808"/>
      <c r="R15" s="773"/>
      <c r="S15" s="774"/>
      <c r="T15" s="773"/>
      <c r="U15" s="774"/>
      <c r="V15" s="773"/>
      <c r="W15" s="774"/>
      <c r="X15" s="1811"/>
      <c r="Y15" s="3236"/>
      <c r="Z15" s="1812"/>
      <c r="AA15" s="1809">
        <v>1</v>
      </c>
      <c r="AB15" s="1809">
        <v>1</v>
      </c>
      <c r="AC15" s="1809">
        <v>1</v>
      </c>
    </row>
    <row r="16" spans="1:29" ht="280">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5">
      <c r="A17" s="428"/>
      <c r="B17" s="456"/>
      <c r="C17" s="2603"/>
      <c r="D17" s="448"/>
      <c r="E17" s="447"/>
      <c r="F17" s="449"/>
      <c r="G17" s="447"/>
      <c r="H17" s="448"/>
      <c r="I17" s="447"/>
      <c r="J17" s="448"/>
      <c r="K17" s="615"/>
      <c r="L17" s="1139"/>
      <c r="M17" s="1130"/>
      <c r="N17" s="1130"/>
      <c r="O17" s="1138"/>
      <c r="P17" s="3236"/>
      <c r="Q17" s="1808"/>
      <c r="R17" s="773"/>
      <c r="S17" s="774"/>
      <c r="T17" s="773"/>
      <c r="U17" s="774"/>
      <c r="V17" s="773"/>
      <c r="W17" s="774"/>
      <c r="X17" s="1811"/>
      <c r="Y17" s="3236"/>
      <c r="Z17" s="1812"/>
      <c r="AA17" s="1809">
        <v>1</v>
      </c>
      <c r="AB17" s="1809">
        <v>1</v>
      </c>
      <c r="AC17" s="1809">
        <v>1</v>
      </c>
    </row>
    <row r="18" spans="1:29" ht="28">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5">
      <c r="A19" s="428"/>
      <c r="B19" s="1382"/>
      <c r="C19" s="2603"/>
      <c r="D19" s="450"/>
      <c r="E19" s="2603"/>
      <c r="F19" s="453"/>
      <c r="G19" s="2603"/>
      <c r="H19" s="448"/>
      <c r="I19" s="447"/>
      <c r="J19" s="448"/>
      <c r="K19" s="1381"/>
      <c r="L19" s="1139"/>
      <c r="M19" s="1130"/>
      <c r="N19" s="1130"/>
      <c r="O19" s="1138"/>
      <c r="P19" s="3236"/>
      <c r="Q19" s="1808"/>
      <c r="R19" s="773"/>
      <c r="S19" s="774"/>
      <c r="T19" s="773"/>
      <c r="U19" s="774"/>
      <c r="V19" s="773"/>
      <c r="W19" s="774"/>
      <c r="X19" s="1811"/>
      <c r="Y19" s="3236"/>
      <c r="Z19" s="1812"/>
      <c r="AA19" s="1809">
        <v>1</v>
      </c>
      <c r="AB19" s="1809">
        <v>1</v>
      </c>
      <c r="AC19" s="1809">
        <v>1</v>
      </c>
    </row>
    <row r="20" spans="1:29" ht="238">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5">
      <c r="A21" s="428"/>
      <c r="B21" s="456"/>
      <c r="C21" s="447"/>
      <c r="D21" s="448"/>
      <c r="E21" s="447"/>
      <c r="F21" s="449"/>
      <c r="G21" s="447"/>
      <c r="H21" s="448"/>
      <c r="I21" s="447"/>
      <c r="J21" s="448"/>
      <c r="K21" s="615"/>
      <c r="L21" s="1139"/>
      <c r="M21" s="1130"/>
      <c r="N21" s="1130"/>
      <c r="O21" s="1138"/>
      <c r="P21" s="3236"/>
      <c r="Q21" s="1808"/>
      <c r="R21" s="773"/>
      <c r="S21" s="774"/>
      <c r="T21" s="773"/>
      <c r="U21" s="774"/>
      <c r="V21" s="773"/>
      <c r="W21" s="774"/>
      <c r="X21" s="1811"/>
      <c r="Y21" s="3236"/>
      <c r="Z21" s="1812"/>
      <c r="AA21" s="1809">
        <v>1</v>
      </c>
      <c r="AB21" s="1809">
        <v>1</v>
      </c>
      <c r="AC21" s="1809">
        <v>1</v>
      </c>
    </row>
    <row r="22" spans="1:29" ht="15.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6"/>
      <c r="Q24" s="1808">
        <f t="shared" ref="Q24:Q34"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9">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0" t="s">
        <v>2554</v>
      </c>
      <c r="Z26" s="1812" t="str">
        <f t="shared" ref="Z26:Z34" si="15">Q26</f>
        <v>公共部分装修</v>
      </c>
      <c r="AA26" s="1809">
        <f t="shared" si="3"/>
        <v>1</v>
      </c>
      <c r="AB26" s="1809">
        <f t="shared" si="4"/>
        <v>1</v>
      </c>
      <c r="AC26" s="1809">
        <f t="shared" si="5"/>
        <v>1</v>
      </c>
    </row>
    <row r="27" spans="1:29" s="471" customFormat="1" ht="15.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0"/>
      <c r="Q27" s="775" t="str">
        <f t="shared" si="11"/>
        <v>成新率</v>
      </c>
      <c r="R27" s="776" t="s">
        <v>17</v>
      </c>
      <c r="S27" s="777" t="e">
        <f t="shared" si="12"/>
        <v>#N/A</v>
      </c>
      <c r="T27" s="776" t="s">
        <v>17</v>
      </c>
      <c r="U27" s="777" t="e">
        <f t="shared" si="13"/>
        <v>#N/A</v>
      </c>
      <c r="V27" s="776" t="s">
        <v>17</v>
      </c>
      <c r="W27" s="777" t="e">
        <f t="shared" si="14"/>
        <v>#N/A</v>
      </c>
      <c r="X27" s="778"/>
      <c r="Y27" s="3240"/>
      <c r="Z27" s="779" t="str">
        <f t="shared" si="15"/>
        <v>成新率</v>
      </c>
      <c r="AA27" s="1809" t="e">
        <f t="shared" si="3"/>
        <v>#N/A</v>
      </c>
      <c r="AB27" s="1809" t="e">
        <f t="shared" si="4"/>
        <v>#N/A</v>
      </c>
      <c r="AC27" s="1809" t="e">
        <f t="shared" si="5"/>
        <v>#N/A</v>
      </c>
    </row>
    <row r="28" spans="1:29" ht="15.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0"/>
      <c r="Q28" s="1808" t="str">
        <f t="shared" si="11"/>
        <v>物业等级</v>
      </c>
      <c r="R28" s="773" t="s">
        <v>17</v>
      </c>
      <c r="S28" s="774">
        <f t="shared" si="12"/>
        <v>100</v>
      </c>
      <c r="T28" s="773" t="s">
        <v>17</v>
      </c>
      <c r="U28" s="774">
        <f t="shared" si="13"/>
        <v>100</v>
      </c>
      <c r="V28" s="773" t="s">
        <v>17</v>
      </c>
      <c r="W28" s="774">
        <f t="shared" si="14"/>
        <v>100</v>
      </c>
      <c r="X28" s="1811"/>
      <c r="Y28" s="3240"/>
      <c r="Z28" s="1812" t="str">
        <f t="shared" si="15"/>
        <v>物业等级</v>
      </c>
      <c r="AA28" s="1809">
        <f t="shared" si="3"/>
        <v>1</v>
      </c>
      <c r="AB28" s="1809">
        <f t="shared" si="4"/>
        <v>1</v>
      </c>
      <c r="AC28" s="1809">
        <f t="shared" si="5"/>
        <v>1</v>
      </c>
    </row>
    <row r="29" spans="1:29" ht="15.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0"/>
      <c r="Q29" s="1808" t="str">
        <f t="shared" si="11"/>
        <v>有无电梯</v>
      </c>
      <c r="R29" s="773" t="s">
        <v>17</v>
      </c>
      <c r="S29" s="774">
        <f t="shared" si="12"/>
        <v>100</v>
      </c>
      <c r="T29" s="773" t="s">
        <v>17</v>
      </c>
      <c r="U29" s="774">
        <f t="shared" si="13"/>
        <v>100</v>
      </c>
      <c r="V29" s="773" t="s">
        <v>17</v>
      </c>
      <c r="W29" s="774">
        <f t="shared" si="14"/>
        <v>100</v>
      </c>
      <c r="X29" s="1811"/>
      <c r="Y29" s="3240"/>
      <c r="Z29" s="1812" t="str">
        <f t="shared" si="15"/>
        <v>有无电梯</v>
      </c>
      <c r="AA29" s="1809">
        <f t="shared" si="3"/>
        <v>1</v>
      </c>
      <c r="AB29" s="1809">
        <f t="shared" si="4"/>
        <v>1</v>
      </c>
      <c r="AC29" s="1809">
        <f t="shared" si="5"/>
        <v>1</v>
      </c>
    </row>
    <row r="30" spans="1:29" ht="15.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0"/>
      <c r="Q30" s="1808" t="str">
        <f t="shared" si="11"/>
        <v>建筑面积</v>
      </c>
      <c r="R30" s="773" t="s">
        <v>17</v>
      </c>
      <c r="S30" s="774" t="e">
        <f t="shared" si="12"/>
        <v>#N/A</v>
      </c>
      <c r="T30" s="773" t="s">
        <v>17</v>
      </c>
      <c r="U30" s="774" t="e">
        <f t="shared" si="13"/>
        <v>#N/A</v>
      </c>
      <c r="V30" s="773" t="s">
        <v>17</v>
      </c>
      <c r="W30" s="774" t="e">
        <f t="shared" si="14"/>
        <v>#N/A</v>
      </c>
      <c r="X30" s="1811"/>
      <c r="Y30" s="3240"/>
      <c r="Z30" s="1812" t="str">
        <f t="shared" si="15"/>
        <v>建筑面积</v>
      </c>
      <c r="AA30" s="1809" t="e">
        <f t="shared" si="3"/>
        <v>#N/A</v>
      </c>
      <c r="AB30" s="1809" t="e">
        <f t="shared" si="4"/>
        <v>#N/A</v>
      </c>
      <c r="AC30" s="1809" t="e">
        <f t="shared" si="5"/>
        <v>#N/A</v>
      </c>
    </row>
    <row r="31" spans="1:29" s="117" customFormat="1" ht="15.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0"/>
      <c r="Q31" s="1793" t="str">
        <f t="shared" si="11"/>
        <v>是否封闭</v>
      </c>
      <c r="R31" s="769" t="s">
        <v>17</v>
      </c>
      <c r="S31" s="770">
        <f t="shared" si="12"/>
        <v>100</v>
      </c>
      <c r="T31" s="769" t="s">
        <v>17</v>
      </c>
      <c r="U31" s="770">
        <f t="shared" si="13"/>
        <v>100</v>
      </c>
      <c r="V31" s="769" t="s">
        <v>17</v>
      </c>
      <c r="W31" s="770">
        <f t="shared" si="14"/>
        <v>100</v>
      </c>
      <c r="X31" s="771"/>
      <c r="Y31" s="3240"/>
      <c r="Z31" s="55" t="str">
        <f t="shared" si="15"/>
        <v>是否封闭</v>
      </c>
      <c r="AA31" s="772">
        <f t="shared" si="3"/>
        <v>1</v>
      </c>
      <c r="AB31" s="772">
        <f t="shared" si="4"/>
        <v>1</v>
      </c>
      <c r="AC31" s="772">
        <f t="shared" si="5"/>
        <v>1</v>
      </c>
    </row>
    <row r="32" spans="1:29" ht="15.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0" t="s">
        <v>2554</v>
      </c>
      <c r="Q32" s="1808">
        <f t="shared" si="11"/>
        <v>111</v>
      </c>
      <c r="R32" s="773" t="s">
        <v>17</v>
      </c>
      <c r="S32" s="774">
        <f t="shared" si="12"/>
        <v>100</v>
      </c>
      <c r="T32" s="773" t="s">
        <v>17</v>
      </c>
      <c r="U32" s="774">
        <f t="shared" si="13"/>
        <v>100</v>
      </c>
      <c r="V32" s="773" t="s">
        <v>17</v>
      </c>
      <c r="W32" s="774">
        <f t="shared" si="14"/>
        <v>100</v>
      </c>
      <c r="X32" s="1811"/>
      <c r="Y32" s="3240" t="s">
        <v>2554</v>
      </c>
      <c r="Z32" s="1812">
        <f t="shared" si="15"/>
        <v>111</v>
      </c>
      <c r="AA32" s="1809">
        <f t="shared" si="3"/>
        <v>1</v>
      </c>
      <c r="AB32" s="1809">
        <f t="shared" si="4"/>
        <v>1</v>
      </c>
      <c r="AC32" s="1809">
        <f t="shared" si="5"/>
        <v>1</v>
      </c>
    </row>
    <row r="33" spans="1:29" ht="15.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0"/>
      <c r="Q33" s="1808">
        <f t="shared" si="11"/>
        <v>111</v>
      </c>
      <c r="R33" s="773" t="s">
        <v>17</v>
      </c>
      <c r="S33" s="774">
        <f t="shared" si="12"/>
        <v>100</v>
      </c>
      <c r="T33" s="773" t="s">
        <v>17</v>
      </c>
      <c r="U33" s="774">
        <f t="shared" si="13"/>
        <v>100</v>
      </c>
      <c r="V33" s="773" t="s">
        <v>17</v>
      </c>
      <c r="W33" s="774">
        <f t="shared" si="14"/>
        <v>100</v>
      </c>
      <c r="X33" s="1811"/>
      <c r="Y33" s="3240"/>
      <c r="Z33" s="1812">
        <f t="shared" si="15"/>
        <v>111</v>
      </c>
      <c r="AA33" s="1809">
        <f t="shared" si="3"/>
        <v>1</v>
      </c>
      <c r="AB33" s="1809">
        <f t="shared" si="4"/>
        <v>1</v>
      </c>
      <c r="AC33" s="1809">
        <f t="shared" si="5"/>
        <v>1</v>
      </c>
    </row>
    <row r="34" spans="1:29" ht="1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c r="A35" s="479" t="s">
        <v>2566</v>
      </c>
      <c r="B35" s="480"/>
      <c r="C35" s="1405" t="s">
        <v>1</v>
      </c>
      <c r="D35" s="1406"/>
      <c r="E35" s="1407"/>
      <c r="F35" s="1408"/>
      <c r="G35" s="1409"/>
      <c r="H35" s="1410"/>
      <c r="I35" s="1407"/>
      <c r="J35" s="1410"/>
      <c r="K35" s="782"/>
      <c r="L35" s="1142"/>
      <c r="M35" s="1143"/>
      <c r="N35" s="1130"/>
      <c r="O35" s="1143"/>
      <c r="P35" s="3242" t="str">
        <f>A35</f>
        <v>成交单价（元/平方米）</v>
      </c>
      <c r="Q35" s="3242"/>
      <c r="R35" s="3243">
        <f>E35</f>
        <v>0</v>
      </c>
      <c r="S35" s="3243"/>
      <c r="T35" s="3243">
        <f>G35</f>
        <v>0</v>
      </c>
      <c r="U35" s="3243"/>
      <c r="V35" s="3243">
        <f>I35</f>
        <v>0</v>
      </c>
      <c r="W35" s="3243"/>
      <c r="X35" s="758"/>
      <c r="Y35" s="780"/>
      <c r="Z35" s="758"/>
      <c r="AA35" s="758"/>
      <c r="AB35" s="758"/>
      <c r="AC35" s="758"/>
    </row>
    <row r="36" spans="1:29" ht="14.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8"/>
      <c r="Y36" s="758"/>
      <c r="Z36" s="758"/>
      <c r="AA36" s="758"/>
      <c r="AB36" s="758"/>
      <c r="AC36" s="758"/>
    </row>
    <row r="37" spans="1:29" ht="14.5" thickBot="1">
      <c r="A37" s="492" t="s">
        <v>2659</v>
      </c>
      <c r="B37" s="493"/>
      <c r="C37" s="1415" t="e">
        <f>R37</f>
        <v>#DIV/0!</v>
      </c>
      <c r="D37" s="1415"/>
      <c r="E37" s="1415"/>
      <c r="F37" s="1415"/>
      <c r="G37" s="1415"/>
      <c r="H37" s="1415"/>
      <c r="I37" s="1415"/>
      <c r="J37" s="1415"/>
      <c r="K37" s="784"/>
      <c r="L37" s="1142"/>
      <c r="M37" s="1143"/>
      <c r="N37" s="1143"/>
      <c r="O37" s="1143"/>
      <c r="P37" s="3281" t="str">
        <f>A37</f>
        <v>估价对象XX用房的比较价值（楼面单价，元/平方米）</v>
      </c>
      <c r="Q37" s="3282"/>
      <c r="R37" s="3283" t="e">
        <f>IF(F1="售价",ROUND(AVERAGE(R36:V36),0),ROUND(AVERAGE(R36:V36),1))</f>
        <v>#DIV/0!</v>
      </c>
      <c r="S37" s="3283"/>
      <c r="T37" s="3283"/>
      <c r="U37" s="3283"/>
      <c r="V37" s="3283"/>
      <c r="W37" s="328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5" thickBot="1">
      <c r="A45" s="762" t="s">
        <v>2663</v>
      </c>
      <c r="B45" s="758"/>
      <c r="C45" s="763"/>
      <c r="D45" s="763"/>
      <c r="E45" s="763"/>
      <c r="F45" s="764"/>
      <c r="G45" s="764"/>
      <c r="H45" s="763"/>
      <c r="I45" s="763"/>
      <c r="J45" s="763"/>
      <c r="K45" s="765"/>
      <c r="L45" s="766"/>
      <c r="M45" s="763"/>
      <c r="N45" s="763"/>
      <c r="O45" s="763"/>
      <c r="P45" s="503"/>
      <c r="Q45" s="504"/>
    </row>
    <row r="46" spans="1:29" s="508" customFormat="1">
      <c r="A46" s="505" t="s">
        <v>2537</v>
      </c>
      <c r="B46" s="506"/>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4.5" thickBot="1">
      <c r="A48" s="515" t="s">
        <v>2574</v>
      </c>
      <c r="B48" s="516"/>
      <c r="C48" s="517"/>
      <c r="D48" s="518"/>
      <c r="E48" s="518"/>
      <c r="F48" s="518"/>
      <c r="G48" s="518"/>
      <c r="H48" s="518"/>
      <c r="I48" s="518"/>
      <c r="J48" s="518"/>
      <c r="K48" s="518"/>
      <c r="L48" s="518"/>
      <c r="M48" s="519"/>
      <c r="N48" s="518"/>
      <c r="O48" s="520"/>
      <c r="P48" s="504"/>
      <c r="Q48" s="504"/>
    </row>
    <row r="49" spans="1:17" s="117" customFormat="1">
      <c r="A49" s="521" t="s">
        <v>2539</v>
      </c>
      <c r="B49" s="510"/>
      <c r="C49" s="522" t="s">
        <v>2641</v>
      </c>
      <c r="D49" s="523"/>
      <c r="E49" s="523"/>
      <c r="F49" s="523"/>
      <c r="G49" s="523"/>
      <c r="H49" s="523"/>
      <c r="I49" s="523"/>
      <c r="J49" s="523"/>
      <c r="K49" s="523"/>
      <c r="L49" s="524"/>
      <c r="M49" s="525"/>
      <c r="N49" s="1150"/>
      <c r="O49" s="1150"/>
      <c r="P49" s="526"/>
      <c r="Q49" s="504"/>
    </row>
    <row r="50" spans="1:17" s="117" customFormat="1" ht="14.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4.5" thickBot="1">
      <c r="A52" s="534"/>
      <c r="B52" s="535"/>
      <c r="C52" s="536">
        <v>100</v>
      </c>
      <c r="D52" s="536"/>
      <c r="E52" s="536"/>
      <c r="F52" s="536"/>
      <c r="G52" s="536"/>
      <c r="H52" s="536"/>
      <c r="I52" s="536"/>
      <c r="J52" s="536"/>
      <c r="K52" s="536"/>
      <c r="L52" s="536"/>
      <c r="M52" s="537"/>
      <c r="N52" s="1152"/>
      <c r="O52" s="1152"/>
      <c r="P52" s="45"/>
      <c r="Q52" s="504"/>
    </row>
    <row r="53" spans="1:17" ht="28.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5" thickTop="1">
      <c r="A55" s="534"/>
      <c r="B55" s="660">
        <f>B11</f>
        <v>111</v>
      </c>
      <c r="C55" s="549"/>
      <c r="D55" s="549"/>
      <c r="E55" s="549"/>
      <c r="F55" s="549"/>
      <c r="G55" s="549"/>
      <c r="H55" s="549"/>
      <c r="I55" s="549"/>
      <c r="J55" s="549"/>
      <c r="K55" s="550"/>
      <c r="L55" s="551"/>
      <c r="M55" s="552"/>
      <c r="N55" s="1151"/>
      <c r="O55" s="1151"/>
      <c r="P55" s="45"/>
      <c r="Q55" s="504"/>
    </row>
    <row r="56" spans="1:17" ht="14.5" thickBot="1">
      <c r="A56" s="534"/>
      <c r="B56" s="535"/>
      <c r="C56" s="560"/>
      <c r="D56" s="536"/>
      <c r="E56" s="536"/>
      <c r="F56" s="536"/>
      <c r="G56" s="536"/>
      <c r="H56" s="536"/>
      <c r="I56" s="536"/>
      <c r="J56" s="536"/>
      <c r="K56" s="536"/>
      <c r="L56" s="536"/>
      <c r="M56" s="537"/>
      <c r="N56" s="1152"/>
      <c r="O56" s="1152"/>
      <c r="P56" s="45"/>
      <c r="Q56" s="504"/>
    </row>
    <row r="57" spans="1:17" s="471" customFormat="1" ht="14.5" thickTop="1">
      <c r="A57" s="553"/>
      <c r="B57" s="538">
        <f>B12</f>
        <v>111</v>
      </c>
      <c r="C57" s="549"/>
      <c r="D57" s="549"/>
      <c r="E57" s="549"/>
      <c r="F57" s="549"/>
      <c r="G57" s="554"/>
      <c r="H57" s="555"/>
      <c r="I57" s="555"/>
      <c r="J57" s="555"/>
      <c r="K57" s="555"/>
      <c r="L57" s="556"/>
      <c r="M57" s="557"/>
      <c r="N57" s="1153"/>
      <c r="O57" s="1153"/>
      <c r="P57" s="558"/>
      <c r="Q57" s="559"/>
    </row>
    <row r="58" spans="1:17" s="471" customFormat="1" ht="14.5" thickBot="1">
      <c r="A58" s="553"/>
      <c r="B58" s="543"/>
      <c r="C58" s="560"/>
      <c r="D58" s="536"/>
      <c r="E58" s="536"/>
      <c r="F58" s="536"/>
      <c r="G58" s="536"/>
      <c r="H58" s="536"/>
      <c r="I58" s="536"/>
      <c r="J58" s="536"/>
      <c r="K58" s="536"/>
      <c r="L58" s="536"/>
      <c r="M58" s="537"/>
      <c r="N58" s="1152"/>
      <c r="O58" s="1152"/>
      <c r="P58" s="558"/>
      <c r="Q58" s="559"/>
    </row>
    <row r="59" spans="1:17" s="471" customFormat="1" ht="14.5" thickTop="1">
      <c r="A59" s="553"/>
      <c r="B59" s="538">
        <f>B13</f>
        <v>111</v>
      </c>
      <c r="C59" s="549"/>
      <c r="D59" s="549"/>
      <c r="E59" s="549"/>
      <c r="F59" s="549"/>
      <c r="G59" s="554"/>
      <c r="H59" s="555"/>
      <c r="I59" s="555"/>
      <c r="J59" s="555"/>
      <c r="K59" s="555"/>
      <c r="L59" s="556"/>
      <c r="M59" s="557"/>
      <c r="N59" s="1153"/>
      <c r="O59" s="1153"/>
      <c r="P59" s="470"/>
      <c r="Q59" s="561"/>
    </row>
    <row r="60" spans="1:17" s="471" customFormat="1" ht="14.5" thickBot="1">
      <c r="A60" s="553"/>
      <c r="B60" s="543"/>
      <c r="C60" s="560"/>
      <c r="D60" s="560"/>
      <c r="E60" s="560"/>
      <c r="F60" s="560"/>
      <c r="G60" s="560"/>
      <c r="H60" s="562"/>
      <c r="I60" s="562"/>
      <c r="J60" s="562"/>
      <c r="K60" s="562"/>
      <c r="L60" s="562"/>
      <c r="M60" s="563"/>
      <c r="N60" s="1153"/>
      <c r="O60" s="1153"/>
      <c r="P60" s="558"/>
      <c r="Q60" s="559"/>
    </row>
    <row r="61" spans="1:17" ht="14.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8.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4.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4.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4.5" thickTop="1">
      <c r="A69" s="534"/>
      <c r="B69" s="538" t="s">
        <v>2718</v>
      </c>
      <c r="C69" s="554"/>
      <c r="D69" s="554"/>
      <c r="E69" s="554"/>
      <c r="F69" s="554"/>
      <c r="G69" s="554"/>
      <c r="H69" s="583"/>
      <c r="I69" s="583"/>
      <c r="J69" s="583"/>
      <c r="K69" s="584"/>
      <c r="L69" s="585"/>
      <c r="M69" s="586"/>
      <c r="N69" s="1151"/>
      <c r="O69" s="1151"/>
      <c r="P69" s="45"/>
      <c r="Q69" s="504"/>
    </row>
    <row r="70" spans="1:17" ht="14.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5" thickTop="1">
      <c r="A71" s="579"/>
      <c r="B71" s="538">
        <f>B23</f>
        <v>111</v>
      </c>
      <c r="C71" s="549"/>
      <c r="D71" s="549"/>
      <c r="E71" s="549"/>
      <c r="F71" s="549"/>
      <c r="G71" s="554"/>
      <c r="H71" s="554"/>
      <c r="I71" s="554"/>
      <c r="J71" s="554"/>
      <c r="K71" s="554"/>
      <c r="L71" s="580"/>
      <c r="M71" s="581"/>
      <c r="N71" s="1150"/>
      <c r="O71" s="1150"/>
      <c r="P71" s="45"/>
      <c r="Q71" s="504"/>
    </row>
    <row r="72" spans="1:17" s="117" customFormat="1" ht="14.5" thickBot="1">
      <c r="A72" s="579"/>
      <c r="B72" s="543"/>
      <c r="C72" s="560"/>
      <c r="D72" s="536"/>
      <c r="E72" s="536"/>
      <c r="F72" s="536"/>
      <c r="G72" s="536"/>
      <c r="H72" s="536"/>
      <c r="I72" s="536"/>
      <c r="J72" s="536"/>
      <c r="K72" s="536"/>
      <c r="L72" s="536"/>
      <c r="M72" s="537"/>
      <c r="N72" s="1152"/>
      <c r="O72" s="1152"/>
      <c r="P72" s="45"/>
      <c r="Q72" s="504"/>
    </row>
    <row r="73" spans="1:17" s="117" customFormat="1" ht="14.5" thickTop="1">
      <c r="A73" s="579"/>
      <c r="B73" s="538">
        <f>B24</f>
        <v>111</v>
      </c>
      <c r="C73" s="549"/>
      <c r="D73" s="549"/>
      <c r="E73" s="549"/>
      <c r="F73" s="549"/>
      <c r="G73" s="554"/>
      <c r="H73" s="554"/>
      <c r="I73" s="554"/>
      <c r="J73" s="554"/>
      <c r="K73" s="554"/>
      <c r="L73" s="554"/>
      <c r="M73" s="581"/>
      <c r="N73" s="1150"/>
      <c r="O73" s="1150"/>
      <c r="P73" s="45"/>
      <c r="Q73" s="504"/>
    </row>
    <row r="74" spans="1:17" s="117" customFormat="1" ht="14.5" thickBot="1">
      <c r="A74" s="579"/>
      <c r="B74" s="543"/>
      <c r="C74" s="560"/>
      <c r="D74" s="536"/>
      <c r="E74" s="536"/>
      <c r="F74" s="536"/>
      <c r="G74" s="536"/>
      <c r="H74" s="536"/>
      <c r="I74" s="536"/>
      <c r="J74" s="536"/>
      <c r="K74" s="536"/>
      <c r="L74" s="536"/>
      <c r="M74" s="537"/>
      <c r="N74" s="1152"/>
      <c r="O74" s="1152"/>
      <c r="P74" s="45"/>
      <c r="Q74" s="504"/>
    </row>
    <row r="75" spans="1:17" s="471" customFormat="1" ht="14.5" thickTop="1">
      <c r="A75" s="553"/>
      <c r="B75" s="538">
        <f>B25</f>
        <v>111</v>
      </c>
      <c r="C75" s="549"/>
      <c r="D75" s="549"/>
      <c r="E75" s="549"/>
      <c r="F75" s="549"/>
      <c r="G75" s="554"/>
      <c r="H75" s="555"/>
      <c r="I75" s="555"/>
      <c r="J75" s="555"/>
      <c r="K75" s="555"/>
      <c r="L75" s="556"/>
      <c r="M75" s="557"/>
      <c r="N75" s="1153"/>
      <c r="O75" s="1153"/>
      <c r="P75" s="558"/>
      <c r="Q75" s="559"/>
    </row>
    <row r="76" spans="1:17" s="471" customFormat="1" ht="14.5" thickBot="1">
      <c r="A76" s="553"/>
      <c r="B76" s="543"/>
      <c r="C76" s="560"/>
      <c r="D76" s="560"/>
      <c r="E76" s="560"/>
      <c r="F76" s="560"/>
      <c r="G76" s="536"/>
      <c r="H76" s="536"/>
      <c r="I76" s="536"/>
      <c r="J76" s="536"/>
      <c r="K76" s="536"/>
      <c r="L76" s="536"/>
      <c r="M76" s="537"/>
      <c r="N76" s="1153"/>
      <c r="O76" s="1153"/>
      <c r="P76" s="558"/>
      <c r="Q76" s="559"/>
    </row>
    <row r="77" spans="1:17" ht="14.5" thickTop="1">
      <c r="A77" s="527" t="s">
        <v>2552</v>
      </c>
      <c r="B77" s="528" t="s">
        <v>2605</v>
      </c>
      <c r="C77" s="554"/>
      <c r="D77" s="554"/>
      <c r="E77" s="530"/>
      <c r="F77" s="530"/>
      <c r="G77" s="530"/>
      <c r="H77" s="530"/>
      <c r="I77" s="530"/>
      <c r="J77" s="530"/>
      <c r="K77" s="531"/>
      <c r="L77" s="532"/>
      <c r="M77" s="533"/>
      <c r="N77" s="1151"/>
      <c r="O77" s="1151"/>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4.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4.5" thickTop="1">
      <c r="A82" s="599"/>
      <c r="B82" s="546" t="s">
        <v>2722</v>
      </c>
      <c r="C82" s="554"/>
      <c r="D82" s="554"/>
      <c r="E82" s="583"/>
      <c r="F82" s="583"/>
      <c r="G82" s="583"/>
      <c r="H82" s="583"/>
      <c r="I82" s="583"/>
      <c r="J82" s="583"/>
      <c r="K82" s="584"/>
      <c r="L82" s="585"/>
      <c r="M82" s="586"/>
      <c r="N82" s="1151"/>
      <c r="O82" s="1151"/>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4.5" thickTop="1">
      <c r="A84" s="599"/>
      <c r="B84" s="538" t="s">
        <v>2730</v>
      </c>
      <c r="C84" s="554"/>
      <c r="D84" s="554"/>
      <c r="E84" s="554"/>
      <c r="F84" s="554"/>
      <c r="G84" s="554"/>
      <c r="H84" s="554"/>
      <c r="I84" s="583"/>
      <c r="J84" s="583"/>
      <c r="K84" s="584"/>
      <c r="L84" s="585"/>
      <c r="M84" s="586"/>
      <c r="N84" s="1151"/>
      <c r="O84" s="1151"/>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4.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5" thickBot="1">
      <c r="A88" s="534"/>
      <c r="B88" s="543"/>
      <c r="C88" s="560"/>
      <c r="D88" s="536"/>
      <c r="E88" s="536"/>
      <c r="F88" s="536"/>
      <c r="G88" s="536"/>
      <c r="H88" s="536"/>
      <c r="I88" s="536"/>
      <c r="J88" s="536"/>
      <c r="K88" s="536"/>
      <c r="L88" s="536"/>
      <c r="M88" s="536"/>
      <c r="N88" s="1152"/>
      <c r="O88" s="1152"/>
      <c r="P88" s="45"/>
      <c r="Q88" s="504"/>
    </row>
    <row r="89" spans="1:17" s="471" customFormat="1" ht="14.5" thickTop="1">
      <c r="A89" s="593"/>
      <c r="B89" s="538" t="s">
        <v>2732</v>
      </c>
      <c r="C89" s="554"/>
      <c r="D89" s="554"/>
      <c r="E89" s="554"/>
      <c r="F89" s="554"/>
      <c r="G89" s="554"/>
      <c r="H89" s="554"/>
      <c r="I89" s="554"/>
      <c r="J89" s="554"/>
      <c r="K89" s="554"/>
      <c r="L89" s="554"/>
      <c r="M89" s="581"/>
      <c r="N89" s="1153"/>
      <c r="O89" s="1153"/>
      <c r="P89" s="558"/>
      <c r="Q89" s="559"/>
    </row>
    <row r="90" spans="1:17" s="471" customFormat="1" ht="14.5" thickBot="1">
      <c r="A90" s="553"/>
      <c r="B90" s="543"/>
      <c r="C90" s="560"/>
      <c r="D90" s="536"/>
      <c r="E90" s="536"/>
      <c r="F90" s="536"/>
      <c r="G90" s="536"/>
      <c r="H90" s="536"/>
      <c r="I90" s="536"/>
      <c r="J90" s="536"/>
      <c r="K90" s="536"/>
      <c r="L90" s="536"/>
      <c r="M90" s="537"/>
      <c r="N90" s="1153"/>
      <c r="O90" s="1153"/>
      <c r="P90" s="558"/>
      <c r="Q90" s="559"/>
    </row>
    <row r="91" spans="1:17" ht="14.5" thickTop="1">
      <c r="A91" s="599"/>
      <c r="B91" s="538">
        <f>B32</f>
        <v>111</v>
      </c>
      <c r="C91" s="549"/>
      <c r="D91" s="549"/>
      <c r="E91" s="549"/>
      <c r="F91" s="549"/>
      <c r="G91" s="554"/>
      <c r="H91" s="555"/>
      <c r="I91" s="555"/>
      <c r="J91" s="555"/>
      <c r="K91" s="555"/>
      <c r="L91" s="556"/>
      <c r="M91" s="557"/>
      <c r="N91" s="1151"/>
      <c r="O91" s="1151"/>
      <c r="P91" s="45"/>
      <c r="Q91" s="504"/>
    </row>
    <row r="92" spans="1:17" ht="14.5" thickBot="1">
      <c r="A92" s="534"/>
      <c r="B92" s="543"/>
      <c r="C92" s="560"/>
      <c r="D92" s="536"/>
      <c r="E92" s="536"/>
      <c r="F92" s="536"/>
      <c r="G92" s="560"/>
      <c r="H92" s="562"/>
      <c r="I92" s="562"/>
      <c r="J92" s="562"/>
      <c r="K92" s="562"/>
      <c r="L92" s="562"/>
      <c r="M92" s="563"/>
      <c r="N92" s="1152"/>
      <c r="O92" s="1152"/>
      <c r="P92" s="45"/>
      <c r="Q92" s="504"/>
    </row>
    <row r="93" spans="1:17" ht="14.5" thickTop="1">
      <c r="A93" s="599"/>
      <c r="B93" s="538">
        <f>B33</f>
        <v>111</v>
      </c>
      <c r="C93" s="549"/>
      <c r="D93" s="549"/>
      <c r="E93" s="549"/>
      <c r="F93" s="549"/>
      <c r="G93" s="554"/>
      <c r="H93" s="555"/>
      <c r="I93" s="555"/>
      <c r="J93" s="555"/>
      <c r="K93" s="555"/>
      <c r="L93" s="556"/>
      <c r="M93" s="557"/>
      <c r="N93" s="1151"/>
      <c r="O93" s="1151"/>
      <c r="P93" s="45"/>
      <c r="Q93" s="504"/>
    </row>
    <row r="94" spans="1:17" ht="14.5" thickBot="1">
      <c r="A94" s="534"/>
      <c r="B94" s="543"/>
      <c r="C94" s="560"/>
      <c r="D94" s="536"/>
      <c r="E94" s="536"/>
      <c r="F94" s="536"/>
      <c r="G94" s="560"/>
      <c r="H94" s="562"/>
      <c r="I94" s="562"/>
      <c r="J94" s="562"/>
      <c r="K94" s="562"/>
      <c r="L94" s="562"/>
      <c r="M94" s="563"/>
      <c r="N94" s="1152"/>
      <c r="O94" s="1152"/>
      <c r="P94" s="45"/>
      <c r="Q94" s="504"/>
    </row>
    <row r="95" spans="1:17" ht="14.5" thickTop="1">
      <c r="A95" s="599"/>
      <c r="B95" s="636">
        <f>B34</f>
        <v>111</v>
      </c>
      <c r="C95" s="549"/>
      <c r="D95" s="549"/>
      <c r="E95" s="549"/>
      <c r="F95" s="549"/>
      <c r="G95" s="554"/>
      <c r="H95" s="555"/>
      <c r="I95" s="555"/>
      <c r="J95" s="555"/>
      <c r="K95" s="555"/>
      <c r="L95" s="556"/>
      <c r="M95" s="557"/>
      <c r="N95" s="1152"/>
      <c r="O95" s="1152"/>
      <c r="P95" s="637"/>
      <c r="Q95" s="638"/>
    </row>
    <row r="96" spans="1:17" ht="14.5" thickBot="1">
      <c r="A96" s="534"/>
      <c r="B96" s="543"/>
      <c r="C96" s="560"/>
      <c r="D96" s="560"/>
      <c r="E96" s="560"/>
      <c r="F96" s="560"/>
      <c r="G96" s="560"/>
      <c r="H96" s="562"/>
      <c r="I96" s="562"/>
      <c r="J96" s="562"/>
      <c r="K96" s="562"/>
      <c r="L96" s="562"/>
      <c r="M96" s="563"/>
      <c r="N96" s="1152"/>
      <c r="O96" s="1152"/>
      <c r="P96" s="45"/>
      <c r="Q96" s="504"/>
    </row>
    <row r="97" spans="1:20" ht="14.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30">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30"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30" s="117" customFormat="1" ht="14.5" thickBot="1">
      <c r="A7" s="408" t="s">
        <v>2537</v>
      </c>
      <c r="B7" s="409"/>
      <c r="C7" s="410">
        <f>'数据-取费表'!B2</f>
        <v>43908</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30" s="117" customFormat="1" ht="14.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30" s="427" customFormat="1" ht="28">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30" ht="15.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2"/>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15.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5" t="s">
        <v>2549</v>
      </c>
      <c r="Q15" s="1808" t="str">
        <f t="shared" si="6"/>
        <v>居住社区成熟度</v>
      </c>
      <c r="R15" s="773" t="s">
        <v>17</v>
      </c>
      <c r="S15" s="774">
        <f t="shared" si="0"/>
        <v>100</v>
      </c>
      <c r="T15" s="773" t="s">
        <v>17</v>
      </c>
      <c r="U15" s="774">
        <f t="shared" si="1"/>
        <v>100</v>
      </c>
      <c r="V15" s="773" t="s">
        <v>17</v>
      </c>
      <c r="W15" s="774">
        <f t="shared" si="2"/>
        <v>100</v>
      </c>
      <c r="X15" s="1811"/>
      <c r="Y15" s="3235" t="s">
        <v>2549</v>
      </c>
      <c r="Z15" s="1812" t="str">
        <f t="shared" si="7"/>
        <v>居住社区成熟度</v>
      </c>
      <c r="AA15" s="1809">
        <f t="shared" si="3"/>
        <v>1</v>
      </c>
      <c r="AB15" s="1809">
        <f t="shared" si="4"/>
        <v>1</v>
      </c>
      <c r="AC15" s="1809">
        <f t="shared" si="5"/>
        <v>1</v>
      </c>
    </row>
    <row r="16" spans="1:30" ht="15.5">
      <c r="A16" s="428"/>
      <c r="B16" s="446"/>
      <c r="C16" s="447"/>
      <c r="D16" s="448"/>
      <c r="E16" s="2600"/>
      <c r="F16" s="448"/>
      <c r="G16" s="2600"/>
      <c r="H16" s="450"/>
      <c r="I16" s="2599"/>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15.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6"/>
      <c r="Q17" s="1808" t="str">
        <f>B17</f>
        <v>商业繁华度</v>
      </c>
      <c r="R17" s="773" t="s">
        <v>17</v>
      </c>
      <c r="S17" s="774">
        <f>F17</f>
        <v>100</v>
      </c>
      <c r="T17" s="773" t="s">
        <v>17</v>
      </c>
      <c r="U17" s="774">
        <f>H17</f>
        <v>100</v>
      </c>
      <c r="V17" s="773" t="s">
        <v>17</v>
      </c>
      <c r="W17" s="774">
        <f>J17</f>
        <v>100</v>
      </c>
      <c r="X17" s="1811"/>
      <c r="Y17" s="3236"/>
      <c r="Z17" s="1812" t="str">
        <f>Q17</f>
        <v>商业繁华度</v>
      </c>
      <c r="AA17" s="1809">
        <f t="shared" si="3"/>
        <v>1</v>
      </c>
      <c r="AB17" s="1809">
        <f t="shared" si="4"/>
        <v>1</v>
      </c>
      <c r="AC17" s="1809">
        <f t="shared" si="5"/>
        <v>1</v>
      </c>
    </row>
    <row r="18" spans="1:29" ht="15.5">
      <c r="A18" s="428"/>
      <c r="B18" s="456"/>
      <c r="C18" s="2603"/>
      <c r="D18" s="450"/>
      <c r="E18" s="2605"/>
      <c r="F18" s="450"/>
      <c r="G18" s="2605"/>
      <c r="H18" s="448"/>
      <c r="I18" s="2604"/>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154">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6"/>
      <c r="Q19" s="1808" t="str">
        <f>B19</f>
        <v>办公集聚程度</v>
      </c>
      <c r="R19" s="773" t="s">
        <v>17</v>
      </c>
      <c r="S19" s="774">
        <f>F19</f>
        <v>100</v>
      </c>
      <c r="T19" s="773" t="s">
        <v>17</v>
      </c>
      <c r="U19" s="774">
        <f>H19</f>
        <v>100</v>
      </c>
      <c r="V19" s="773" t="s">
        <v>17</v>
      </c>
      <c r="W19" s="774">
        <f>J19</f>
        <v>100</v>
      </c>
      <c r="X19" s="1811"/>
      <c r="Y19" s="3236"/>
      <c r="Z19" s="1812" t="str">
        <f>Q19</f>
        <v>办公集聚程度</v>
      </c>
      <c r="AA19" s="1809">
        <f t="shared" si="3"/>
        <v>1</v>
      </c>
      <c r="AB19" s="1809">
        <f t="shared" si="4"/>
        <v>1</v>
      </c>
      <c r="AC19" s="1809">
        <f t="shared" si="5"/>
        <v>1</v>
      </c>
    </row>
    <row r="20" spans="1:29" ht="15.5">
      <c r="A20" s="428"/>
      <c r="B20" s="456"/>
      <c r="C20" s="447"/>
      <c r="D20" s="448"/>
      <c r="E20" s="2600"/>
      <c r="F20" s="448"/>
      <c r="G20" s="2600"/>
      <c r="H20" s="448"/>
      <c r="I20" s="2599"/>
      <c r="J20" s="448"/>
      <c r="K20" s="672"/>
      <c r="L20" s="1139"/>
      <c r="M20" s="1130"/>
      <c r="N20" s="1130"/>
      <c r="O20" s="1138"/>
      <c r="P20" s="3236"/>
      <c r="Q20" s="1808"/>
      <c r="R20" s="773"/>
      <c r="S20" s="774"/>
      <c r="T20" s="773"/>
      <c r="U20" s="774"/>
      <c r="V20" s="773"/>
      <c r="W20" s="774"/>
      <c r="X20" s="1811"/>
      <c r="Y20" s="3236"/>
      <c r="Z20" s="1812"/>
      <c r="AA20" s="1809">
        <v>1</v>
      </c>
      <c r="AB20" s="1809">
        <v>1</v>
      </c>
      <c r="AC20" s="1809">
        <v>1</v>
      </c>
    </row>
    <row r="21" spans="1:29" ht="294">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6"/>
      <c r="Q21" s="1808" t="str">
        <f>B21</f>
        <v>交通便捷度</v>
      </c>
      <c r="R21" s="773" t="s">
        <v>17</v>
      </c>
      <c r="S21" s="774">
        <f>F21</f>
        <v>100</v>
      </c>
      <c r="T21" s="773" t="s">
        <v>17</v>
      </c>
      <c r="U21" s="774">
        <f>H21</f>
        <v>100</v>
      </c>
      <c r="V21" s="773" t="s">
        <v>17</v>
      </c>
      <c r="W21" s="774">
        <f>J21</f>
        <v>100</v>
      </c>
      <c r="X21" s="1811"/>
      <c r="Y21" s="3236"/>
      <c r="Z21" s="1812" t="str">
        <f>Q21</f>
        <v>交通便捷度</v>
      </c>
      <c r="AA21" s="1809">
        <f t="shared" si="3"/>
        <v>1</v>
      </c>
      <c r="AB21" s="1809">
        <f t="shared" si="4"/>
        <v>1</v>
      </c>
      <c r="AC21" s="1809">
        <f t="shared" si="5"/>
        <v>1</v>
      </c>
    </row>
    <row r="22" spans="1:29" ht="15.5">
      <c r="A22" s="428"/>
      <c r="B22" s="1382"/>
      <c r="C22" s="447"/>
      <c r="D22" s="450"/>
      <c r="E22" s="2600"/>
      <c r="F22" s="448"/>
      <c r="G22" s="2600"/>
      <c r="H22" s="448"/>
      <c r="I22" s="2599"/>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ht="28">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6"/>
      <c r="Q23" s="1808" t="str">
        <f t="shared" ref="Q23:Q37" si="8">B23</f>
        <v>区域土地利用方向</v>
      </c>
      <c r="R23" s="773" t="s">
        <v>17</v>
      </c>
      <c r="S23" s="774">
        <f>F23</f>
        <v>100</v>
      </c>
      <c r="T23" s="773" t="s">
        <v>17</v>
      </c>
      <c r="U23" s="774">
        <f>H23</f>
        <v>100</v>
      </c>
      <c r="V23" s="773" t="s">
        <v>17</v>
      </c>
      <c r="W23" s="774">
        <f>J23</f>
        <v>100</v>
      </c>
      <c r="X23" s="1811"/>
      <c r="Y23" s="3236"/>
      <c r="Z23" s="1812" t="str">
        <f>Q23</f>
        <v>区域土地利用方向</v>
      </c>
      <c r="AA23" s="1809">
        <f t="shared" si="3"/>
        <v>1</v>
      </c>
      <c r="AB23" s="1809">
        <f t="shared" si="4"/>
        <v>1</v>
      </c>
      <c r="AC23" s="1809">
        <f t="shared" si="5"/>
        <v>1</v>
      </c>
    </row>
    <row r="24" spans="1:29" ht="15.5">
      <c r="A24" s="404"/>
      <c r="B24" s="456"/>
      <c r="C24" s="616"/>
      <c r="D24" s="448"/>
      <c r="E24" s="2600"/>
      <c r="F24" s="448"/>
      <c r="G24" s="2599"/>
      <c r="H24" s="448"/>
      <c r="I24" s="2599"/>
      <c r="J24" s="448"/>
      <c r="K24" s="811"/>
      <c r="L24" s="1139"/>
      <c r="M24" s="1130"/>
      <c r="N24" s="1130"/>
      <c r="O24" s="1138"/>
      <c r="P24" s="3236"/>
      <c r="Q24" s="1808"/>
      <c r="R24" s="773"/>
      <c r="S24" s="774"/>
      <c r="T24" s="773"/>
      <c r="U24" s="774"/>
      <c r="V24" s="773"/>
      <c r="W24" s="774"/>
      <c r="X24" s="1811"/>
      <c r="Y24" s="3236"/>
      <c r="Z24" s="1812"/>
      <c r="AA24" s="1809"/>
      <c r="AB24" s="1809"/>
      <c r="AC24" s="1809"/>
    </row>
    <row r="25" spans="1:29" ht="238">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6"/>
      <c r="Q25" s="1808" t="str">
        <f t="shared" si="8"/>
        <v>自然及人文环境状况</v>
      </c>
      <c r="R25" s="773" t="s">
        <v>17</v>
      </c>
      <c r="S25" s="774">
        <f>F25</f>
        <v>100</v>
      </c>
      <c r="T25" s="773" t="s">
        <v>17</v>
      </c>
      <c r="U25" s="774">
        <f>H25</f>
        <v>100</v>
      </c>
      <c r="V25" s="773" t="s">
        <v>17</v>
      </c>
      <c r="W25" s="774">
        <f>J25</f>
        <v>100</v>
      </c>
      <c r="X25" s="1811"/>
      <c r="Y25" s="3236"/>
      <c r="Z25" s="1812" t="str">
        <f>Q25</f>
        <v>自然及人文环境状况</v>
      </c>
      <c r="AA25" s="1809">
        <f t="shared" si="3"/>
        <v>1</v>
      </c>
      <c r="AB25" s="1809">
        <f t="shared" si="4"/>
        <v>1</v>
      </c>
      <c r="AC25" s="1809">
        <f t="shared" si="5"/>
        <v>1</v>
      </c>
    </row>
    <row r="26" spans="1:29" ht="15.5">
      <c r="A26" s="404"/>
      <c r="B26" s="456"/>
      <c r="C26" s="447"/>
      <c r="D26" s="448"/>
      <c r="E26" s="2606"/>
      <c r="F26" s="448"/>
      <c r="G26" s="2606"/>
      <c r="H26" s="448"/>
      <c r="I26" s="447"/>
      <c r="J26" s="448"/>
      <c r="K26" s="672"/>
      <c r="L26" s="1139"/>
      <c r="M26" s="1130"/>
      <c r="N26" s="1130"/>
      <c r="O26" s="1138"/>
      <c r="P26" s="3236"/>
      <c r="Q26" s="1808"/>
      <c r="R26" s="773"/>
      <c r="S26" s="774"/>
      <c r="T26" s="773"/>
      <c r="U26" s="774"/>
      <c r="V26" s="773"/>
      <c r="W26" s="774"/>
      <c r="X26" s="1811"/>
      <c r="Y26" s="3236"/>
      <c r="Z26" s="1812"/>
      <c r="AA26" s="1809">
        <v>1</v>
      </c>
      <c r="AB26" s="1809">
        <v>1</v>
      </c>
      <c r="AC26" s="1809">
        <v>1</v>
      </c>
    </row>
    <row r="27" spans="1:29" s="117" customFormat="1" ht="280">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6"/>
      <c r="Q27" s="1793" t="str">
        <f t="shared" si="8"/>
        <v>公共配套设施</v>
      </c>
      <c r="R27" s="769" t="s">
        <v>17</v>
      </c>
      <c r="S27" s="770">
        <f>F27</f>
        <v>100</v>
      </c>
      <c r="T27" s="769" t="s">
        <v>17</v>
      </c>
      <c r="U27" s="770">
        <f>H27</f>
        <v>100</v>
      </c>
      <c r="V27" s="769" t="s">
        <v>17</v>
      </c>
      <c r="W27" s="770">
        <f>J27</f>
        <v>100</v>
      </c>
      <c r="X27" s="771"/>
      <c r="Y27" s="3236"/>
      <c r="Z27" s="55" t="str">
        <f>Q27</f>
        <v>公共配套设施</v>
      </c>
      <c r="AA27" s="1809">
        <f>D27/F27</f>
        <v>1</v>
      </c>
      <c r="AB27" s="1809">
        <f>D27/H27</f>
        <v>1</v>
      </c>
      <c r="AC27" s="1809">
        <f>D27/J27</f>
        <v>1</v>
      </c>
    </row>
    <row r="28" spans="1:29" s="117" customFormat="1" ht="15.5">
      <c r="A28" s="649"/>
      <c r="B28" s="456"/>
      <c r="C28" s="2695"/>
      <c r="D28" s="448"/>
      <c r="E28" s="2606"/>
      <c r="F28" s="448"/>
      <c r="G28" s="2606"/>
      <c r="H28" s="448"/>
      <c r="I28" s="447"/>
      <c r="J28" s="448"/>
      <c r="K28" s="672"/>
      <c r="L28" s="1131"/>
      <c r="M28" s="1132"/>
      <c r="N28" s="1132"/>
      <c r="O28" s="1133"/>
      <c r="P28" s="3236"/>
      <c r="Q28" s="1793"/>
      <c r="R28" s="769"/>
      <c r="S28" s="770"/>
      <c r="T28" s="769"/>
      <c r="U28" s="770"/>
      <c r="V28" s="769"/>
      <c r="W28" s="770"/>
      <c r="X28" s="771"/>
      <c r="Y28" s="3236"/>
      <c r="Z28" s="55"/>
      <c r="AA28" s="1809">
        <v>1</v>
      </c>
      <c r="AB28" s="1809">
        <v>1</v>
      </c>
      <c r="AC28" s="1809">
        <v>1</v>
      </c>
    </row>
    <row r="29" spans="1:29" s="117" customFormat="1" ht="28">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6"/>
      <c r="Q29" s="1793" t="str">
        <f t="shared" ref="Q29" si="9">B29</f>
        <v>基础设施水平</v>
      </c>
      <c r="R29" s="769" t="s">
        <v>17</v>
      </c>
      <c r="S29" s="770">
        <f>F29</f>
        <v>100</v>
      </c>
      <c r="T29" s="769" t="s">
        <v>17</v>
      </c>
      <c r="U29" s="770">
        <f>H29</f>
        <v>100</v>
      </c>
      <c r="V29" s="769" t="s">
        <v>17</v>
      </c>
      <c r="W29" s="770">
        <f>J29</f>
        <v>100</v>
      </c>
      <c r="X29" s="771"/>
      <c r="Y29" s="3236"/>
      <c r="Z29" s="55" t="str">
        <f>Q29</f>
        <v>基础设施水平</v>
      </c>
      <c r="AA29" s="1809">
        <f>D29/F29</f>
        <v>1</v>
      </c>
      <c r="AB29" s="1809">
        <f>D29/H29</f>
        <v>1</v>
      </c>
      <c r="AC29" s="1809">
        <f>D29/J29</f>
        <v>1</v>
      </c>
    </row>
    <row r="30" spans="1:29" s="117" customFormat="1" ht="15.5">
      <c r="A30" s="649"/>
      <c r="B30" s="456"/>
      <c r="C30" s="2695"/>
      <c r="D30" s="448"/>
      <c r="E30" s="2696"/>
      <c r="F30" s="448"/>
      <c r="G30" s="2696"/>
      <c r="H30" s="448"/>
      <c r="I30" s="2696"/>
      <c r="J30" s="448"/>
      <c r="K30" s="672"/>
      <c r="L30" s="1131"/>
      <c r="M30" s="1132"/>
      <c r="N30" s="1132"/>
      <c r="O30" s="1133"/>
      <c r="P30" s="3236"/>
      <c r="Q30" s="1793"/>
      <c r="R30" s="769"/>
      <c r="S30" s="770"/>
      <c r="T30" s="769"/>
      <c r="U30" s="770"/>
      <c r="V30" s="769"/>
      <c r="W30" s="770"/>
      <c r="X30" s="771"/>
      <c r="Y30" s="3236"/>
      <c r="Z30" s="55"/>
      <c r="AA30" s="1809">
        <v>1</v>
      </c>
      <c r="AB30" s="1809">
        <v>1</v>
      </c>
      <c r="AC30" s="1809">
        <v>1</v>
      </c>
    </row>
    <row r="31" spans="1:29" ht="15.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6"/>
      <c r="Z31" s="1812" t="str">
        <f t="shared" ref="Z31:Z45" si="13">Q31</f>
        <v>临街状况</v>
      </c>
      <c r="AA31" s="1809">
        <f t="shared" si="3"/>
        <v>1</v>
      </c>
      <c r="AB31" s="1809">
        <f t="shared" si="4"/>
        <v>1</v>
      </c>
      <c r="AC31" s="1809">
        <f t="shared" si="5"/>
        <v>1</v>
      </c>
    </row>
    <row r="32" spans="1:29" ht="28">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6"/>
      <c r="Q32" s="1808" t="str">
        <f t="shared" si="8"/>
        <v>毗邻道路的类型与等级</v>
      </c>
      <c r="R32" s="773" t="s">
        <v>17</v>
      </c>
      <c r="S32" s="774">
        <f t="shared" si="10"/>
        <v>100</v>
      </c>
      <c r="T32" s="773" t="s">
        <v>17</v>
      </c>
      <c r="U32" s="774">
        <f t="shared" si="11"/>
        <v>100</v>
      </c>
      <c r="V32" s="773" t="s">
        <v>17</v>
      </c>
      <c r="W32" s="774">
        <f t="shared" si="12"/>
        <v>100</v>
      </c>
      <c r="X32" s="1811"/>
      <c r="Y32" s="3236"/>
      <c r="Z32" s="1812" t="str">
        <f t="shared" si="13"/>
        <v>毗邻道路的类型与等级</v>
      </c>
      <c r="AA32" s="1809">
        <f t="shared" si="3"/>
        <v>1</v>
      </c>
      <c r="AB32" s="1809">
        <f t="shared" si="4"/>
        <v>1</v>
      </c>
      <c r="AC32" s="1809">
        <f t="shared" si="5"/>
        <v>1</v>
      </c>
    </row>
    <row r="33" spans="1:29" ht="15.5">
      <c r="A33" s="428"/>
      <c r="B33" s="456"/>
      <c r="C33" s="447"/>
      <c r="D33" s="448"/>
      <c r="E33" s="2606"/>
      <c r="F33" s="448"/>
      <c r="G33" s="2606"/>
      <c r="H33" s="448"/>
      <c r="I33" s="447"/>
      <c r="J33" s="448"/>
      <c r="K33" s="613"/>
      <c r="L33" s="1139"/>
      <c r="M33" s="1130"/>
      <c r="N33" s="1130"/>
      <c r="O33" s="1138"/>
      <c r="P33" s="3236"/>
      <c r="Q33" s="1808"/>
      <c r="R33" s="773"/>
      <c r="S33" s="774"/>
      <c r="T33" s="773"/>
      <c r="U33" s="774"/>
      <c r="V33" s="773"/>
      <c r="W33" s="774"/>
      <c r="X33" s="1811"/>
      <c r="Y33" s="3236"/>
      <c r="Z33" s="1812"/>
      <c r="AA33" s="1809">
        <v>1</v>
      </c>
      <c r="AB33" s="1809">
        <v>1</v>
      </c>
      <c r="AC33" s="1809">
        <v>1</v>
      </c>
    </row>
    <row r="34" spans="1:29" ht="15.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6"/>
      <c r="Q34" s="1808" t="str">
        <f t="shared" si="8"/>
        <v>土地级别</v>
      </c>
      <c r="R34" s="773" t="s">
        <v>17</v>
      </c>
      <c r="S34" s="774">
        <f t="shared" si="10"/>
        <v>100</v>
      </c>
      <c r="T34" s="773" t="s">
        <v>17</v>
      </c>
      <c r="U34" s="774">
        <f t="shared" si="11"/>
        <v>100</v>
      </c>
      <c r="V34" s="773" t="s">
        <v>17</v>
      </c>
      <c r="W34" s="774">
        <f t="shared" si="12"/>
        <v>100</v>
      </c>
      <c r="X34" s="1811"/>
      <c r="Y34" s="3236"/>
      <c r="Z34" s="1812" t="str">
        <f t="shared" si="13"/>
        <v>土地级别</v>
      </c>
      <c r="AA34" s="1809">
        <f t="shared" si="3"/>
        <v>1</v>
      </c>
      <c r="AB34" s="1809">
        <f t="shared" si="4"/>
        <v>1</v>
      </c>
      <c r="AC34" s="1809">
        <f t="shared" si="5"/>
        <v>1</v>
      </c>
    </row>
    <row r="35" spans="1:29" ht="15.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6"/>
      <c r="Q35" s="1808">
        <f t="shared" si="8"/>
        <v>111</v>
      </c>
      <c r="R35" s="773" t="s">
        <v>17</v>
      </c>
      <c r="S35" s="774">
        <f t="shared" si="10"/>
        <v>100</v>
      </c>
      <c r="T35" s="773" t="s">
        <v>17</v>
      </c>
      <c r="U35" s="774">
        <f t="shared" si="11"/>
        <v>100</v>
      </c>
      <c r="V35" s="773" t="s">
        <v>17</v>
      </c>
      <c r="W35" s="774">
        <f t="shared" si="12"/>
        <v>100</v>
      </c>
      <c r="X35" s="1811"/>
      <c r="Y35" s="3236"/>
      <c r="Z35" s="1812">
        <f t="shared" si="13"/>
        <v>111</v>
      </c>
      <c r="AA35" s="1809">
        <f t="shared" si="3"/>
        <v>1</v>
      </c>
      <c r="AB35" s="1809">
        <f t="shared" si="4"/>
        <v>1</v>
      </c>
      <c r="AC35" s="1809">
        <f t="shared" si="5"/>
        <v>1</v>
      </c>
    </row>
    <row r="36" spans="1:29" ht="15.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40" t="s">
        <v>2554</v>
      </c>
      <c r="Z36" s="1812">
        <f t="shared" si="13"/>
        <v>111</v>
      </c>
      <c r="AA36" s="1809">
        <f t="shared" si="3"/>
        <v>1</v>
      </c>
      <c r="AB36" s="1809">
        <f t="shared" si="4"/>
        <v>1</v>
      </c>
      <c r="AC36" s="1809">
        <f t="shared" si="5"/>
        <v>1</v>
      </c>
    </row>
    <row r="37" spans="1:29" s="471" customFormat="1" ht="1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0"/>
      <c r="Q37" s="1808">
        <f t="shared" si="8"/>
        <v>111</v>
      </c>
      <c r="R37" s="776" t="s">
        <v>17</v>
      </c>
      <c r="S37" s="777">
        <f t="shared" si="10"/>
        <v>100</v>
      </c>
      <c r="T37" s="776" t="s">
        <v>17</v>
      </c>
      <c r="U37" s="777">
        <f t="shared" si="11"/>
        <v>100</v>
      </c>
      <c r="V37" s="776" t="s">
        <v>17</v>
      </c>
      <c r="W37" s="777">
        <f t="shared" si="12"/>
        <v>100</v>
      </c>
      <c r="X37" s="778"/>
      <c r="Y37" s="3240"/>
      <c r="Z37" s="779">
        <f t="shared" si="13"/>
        <v>111</v>
      </c>
      <c r="AA37" s="1809">
        <f t="shared" si="3"/>
        <v>1</v>
      </c>
      <c r="AB37" s="1809">
        <f t="shared" si="4"/>
        <v>1</v>
      </c>
      <c r="AC37" s="1809">
        <f t="shared" si="5"/>
        <v>1</v>
      </c>
    </row>
    <row r="38" spans="1:29" ht="15.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0"/>
      <c r="Q38" s="1808" t="str">
        <f>B38</f>
        <v>宗地面积</v>
      </c>
      <c r="R38" s="773" t="s">
        <v>17</v>
      </c>
      <c r="S38" s="774" t="e">
        <f t="shared" si="10"/>
        <v>#N/A</v>
      </c>
      <c r="T38" s="773" t="s">
        <v>17</v>
      </c>
      <c r="U38" s="774" t="e">
        <f t="shared" si="11"/>
        <v>#N/A</v>
      </c>
      <c r="V38" s="773" t="s">
        <v>17</v>
      </c>
      <c r="W38" s="774" t="e">
        <f t="shared" si="12"/>
        <v>#N/A</v>
      </c>
      <c r="X38" s="1811"/>
      <c r="Y38" s="3240"/>
      <c r="Z38" s="1812" t="str">
        <f t="shared" si="13"/>
        <v>宗地面积</v>
      </c>
      <c r="AA38" s="1809" t="e">
        <f t="shared" si="3"/>
        <v>#N/A</v>
      </c>
      <c r="AB38" s="1809" t="e">
        <f t="shared" si="4"/>
        <v>#N/A</v>
      </c>
      <c r="AC38" s="1809" t="e">
        <f t="shared" si="5"/>
        <v>#N/A</v>
      </c>
    </row>
    <row r="39" spans="1:29" ht="15.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40"/>
      <c r="Q39" s="1808" t="str">
        <f t="shared" ref="Q39:Q45" si="14">B39</f>
        <v>宗地形状</v>
      </c>
      <c r="R39" s="773" t="s">
        <v>17</v>
      </c>
      <c r="S39" s="774">
        <f t="shared" si="10"/>
        <v>100</v>
      </c>
      <c r="T39" s="773" t="s">
        <v>17</v>
      </c>
      <c r="U39" s="774">
        <f t="shared" si="11"/>
        <v>100</v>
      </c>
      <c r="V39" s="773" t="s">
        <v>17</v>
      </c>
      <c r="W39" s="774">
        <f t="shared" si="12"/>
        <v>100</v>
      </c>
      <c r="X39" s="1811"/>
      <c r="Y39" s="3240"/>
      <c r="Z39" s="1812" t="str">
        <f t="shared" si="13"/>
        <v>宗地形状</v>
      </c>
      <c r="AA39" s="1809">
        <f t="shared" si="3"/>
        <v>1</v>
      </c>
      <c r="AB39" s="1809">
        <f t="shared" si="4"/>
        <v>1</v>
      </c>
      <c r="AC39" s="1809">
        <f t="shared" si="5"/>
        <v>1</v>
      </c>
    </row>
    <row r="40" spans="1:29" ht="15.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40"/>
      <c r="Q40" s="1808" t="str">
        <f t="shared" si="14"/>
        <v>临街宽度及深度</v>
      </c>
      <c r="R40" s="773" t="s">
        <v>17</v>
      </c>
      <c r="S40" s="774">
        <f t="shared" si="10"/>
        <v>100</v>
      </c>
      <c r="T40" s="773" t="s">
        <v>17</v>
      </c>
      <c r="U40" s="774">
        <f t="shared" si="11"/>
        <v>100</v>
      </c>
      <c r="V40" s="773" t="s">
        <v>17</v>
      </c>
      <c r="W40" s="774">
        <f t="shared" si="12"/>
        <v>100</v>
      </c>
      <c r="X40" s="1811"/>
      <c r="Y40" s="3240"/>
      <c r="Z40" s="1812" t="str">
        <f t="shared" si="13"/>
        <v>临街宽度及深度</v>
      </c>
      <c r="AA40" s="1809">
        <f t="shared" si="3"/>
        <v>1</v>
      </c>
      <c r="AB40" s="1809">
        <f t="shared" si="4"/>
        <v>1</v>
      </c>
      <c r="AC40" s="1809">
        <f t="shared" si="5"/>
        <v>1</v>
      </c>
    </row>
    <row r="41" spans="1:29" s="117" customFormat="1" ht="15.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40"/>
      <c r="Q41" s="1808" t="str">
        <f t="shared" si="14"/>
        <v>宗地开发程度</v>
      </c>
      <c r="R41" s="769" t="s">
        <v>17</v>
      </c>
      <c r="S41" s="770">
        <f t="shared" si="10"/>
        <v>100</v>
      </c>
      <c r="T41" s="769" t="s">
        <v>17</v>
      </c>
      <c r="U41" s="770">
        <f t="shared" si="11"/>
        <v>100</v>
      </c>
      <c r="V41" s="769" t="s">
        <v>17</v>
      </c>
      <c r="W41" s="770">
        <f t="shared" si="12"/>
        <v>100</v>
      </c>
      <c r="X41" s="771"/>
      <c r="Y41" s="3240"/>
      <c r="Z41" s="55" t="str">
        <f t="shared" si="13"/>
        <v>宗地开发程度</v>
      </c>
      <c r="AA41" s="772">
        <f t="shared" si="3"/>
        <v>1</v>
      </c>
      <c r="AB41" s="772">
        <f t="shared" si="4"/>
        <v>1</v>
      </c>
      <c r="AC41" s="772">
        <f t="shared" si="5"/>
        <v>1</v>
      </c>
    </row>
    <row r="42" spans="1:29" ht="15.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40" t="s">
        <v>2554</v>
      </c>
      <c r="Q42" s="1808" t="str">
        <f t="shared" si="14"/>
        <v>工程地质条件</v>
      </c>
      <c r="R42" s="773" t="s">
        <v>17</v>
      </c>
      <c r="S42" s="774">
        <f t="shared" si="10"/>
        <v>100</v>
      </c>
      <c r="T42" s="773" t="s">
        <v>17</v>
      </c>
      <c r="U42" s="774">
        <f t="shared" si="11"/>
        <v>100</v>
      </c>
      <c r="V42" s="773" t="s">
        <v>17</v>
      </c>
      <c r="W42" s="774">
        <f t="shared" si="12"/>
        <v>100</v>
      </c>
      <c r="X42" s="1811"/>
      <c r="Y42" s="3240" t="s">
        <v>2554</v>
      </c>
      <c r="Z42" s="1812" t="str">
        <f t="shared" si="13"/>
        <v>工程地质条件</v>
      </c>
      <c r="AA42" s="1809">
        <f t="shared" si="3"/>
        <v>1</v>
      </c>
      <c r="AB42" s="1809">
        <f t="shared" si="4"/>
        <v>1</v>
      </c>
      <c r="AC42" s="1809">
        <f t="shared" si="5"/>
        <v>1</v>
      </c>
    </row>
    <row r="43" spans="1:29" ht="15.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0"/>
      <c r="Q43" s="1808">
        <f t="shared" si="14"/>
        <v>111</v>
      </c>
      <c r="R43" s="773" t="s">
        <v>17</v>
      </c>
      <c r="S43" s="774">
        <f t="shared" si="10"/>
        <v>100</v>
      </c>
      <c r="T43" s="773" t="s">
        <v>17</v>
      </c>
      <c r="U43" s="774">
        <f t="shared" si="11"/>
        <v>100</v>
      </c>
      <c r="V43" s="773" t="s">
        <v>17</v>
      </c>
      <c r="W43" s="774">
        <f t="shared" si="12"/>
        <v>100</v>
      </c>
      <c r="X43" s="1811"/>
      <c r="Y43" s="3240"/>
      <c r="Z43" s="1812">
        <f t="shared" si="13"/>
        <v>111</v>
      </c>
      <c r="AA43" s="1809">
        <f t="shared" si="3"/>
        <v>1</v>
      </c>
      <c r="AB43" s="1809">
        <f t="shared" si="4"/>
        <v>1</v>
      </c>
      <c r="AC43" s="1809">
        <f t="shared" si="5"/>
        <v>1</v>
      </c>
    </row>
    <row r="44" spans="1:29" ht="15.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0"/>
      <c r="Q44" s="1808">
        <f t="shared" si="14"/>
        <v>111</v>
      </c>
      <c r="R44" s="773" t="s">
        <v>17</v>
      </c>
      <c r="S44" s="774">
        <f t="shared" si="10"/>
        <v>100</v>
      </c>
      <c r="T44" s="773" t="s">
        <v>17</v>
      </c>
      <c r="U44" s="774">
        <f t="shared" si="11"/>
        <v>100</v>
      </c>
      <c r="V44" s="773" t="s">
        <v>17</v>
      </c>
      <c r="W44" s="774">
        <f t="shared" si="12"/>
        <v>100</v>
      </c>
      <c r="X44" s="1811"/>
      <c r="Y44" s="3240"/>
      <c r="Z44" s="1812">
        <f t="shared" si="13"/>
        <v>111</v>
      </c>
      <c r="AA44" s="1809">
        <f t="shared" si="3"/>
        <v>1</v>
      </c>
      <c r="AB44" s="1809">
        <f t="shared" si="4"/>
        <v>1</v>
      </c>
      <c r="AC44" s="1809">
        <f t="shared" si="5"/>
        <v>1</v>
      </c>
    </row>
    <row r="45" spans="1:29" s="471" customFormat="1" ht="16"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0"/>
      <c r="Q45" s="1808">
        <f t="shared" si="14"/>
        <v>111</v>
      </c>
      <c r="R45" s="776" t="s">
        <v>17</v>
      </c>
      <c r="S45" s="777">
        <f t="shared" si="10"/>
        <v>100</v>
      </c>
      <c r="T45" s="776" t="s">
        <v>17</v>
      </c>
      <c r="U45" s="777">
        <f t="shared" si="11"/>
        <v>100</v>
      </c>
      <c r="V45" s="776" t="s">
        <v>17</v>
      </c>
      <c r="W45" s="777">
        <f t="shared" si="12"/>
        <v>100</v>
      </c>
      <c r="X45" s="778"/>
      <c r="Y45" s="3240"/>
      <c r="Z45" s="779">
        <f t="shared" si="13"/>
        <v>111</v>
      </c>
      <c r="AA45" s="1809">
        <f t="shared" si="3"/>
        <v>1</v>
      </c>
      <c r="AB45" s="1809">
        <f t="shared" si="4"/>
        <v>1</v>
      </c>
      <c r="AC45" s="1809">
        <f t="shared" si="5"/>
        <v>1</v>
      </c>
    </row>
    <row r="46" spans="1:29">
      <c r="A46" s="479" t="s">
        <v>2709</v>
      </c>
      <c r="B46" s="2699" t="s">
        <v>2745</v>
      </c>
      <c r="C46" s="682" t="s">
        <v>1</v>
      </c>
      <c r="D46" s="481"/>
      <c r="E46" s="482"/>
      <c r="F46" s="483"/>
      <c r="G46" s="484"/>
      <c r="H46" s="485"/>
      <c r="I46" s="482"/>
      <c r="J46" s="485"/>
      <c r="K46" s="782"/>
      <c r="L46" s="1142"/>
      <c r="M46" s="1143"/>
      <c r="N46" s="1130"/>
      <c r="O46" s="1143"/>
      <c r="P46" s="3242" t="str">
        <f>A46</f>
        <v>成交单价</v>
      </c>
      <c r="Q46" s="3242"/>
      <c r="R46" s="3230">
        <f>E46</f>
        <v>0</v>
      </c>
      <c r="S46" s="3230"/>
      <c r="T46" s="3230">
        <f>G46</f>
        <v>0</v>
      </c>
      <c r="U46" s="3230"/>
      <c r="V46" s="3230">
        <f>I46</f>
        <v>0</v>
      </c>
      <c r="W46" s="3230"/>
      <c r="X46" s="758"/>
      <c r="Y46" s="780"/>
      <c r="Z46" s="758"/>
      <c r="AA46" s="758"/>
      <c r="AB46" s="758"/>
      <c r="AC46" s="758"/>
    </row>
    <row r="47" spans="1:29" ht="14.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42" t="str">
        <f>A47</f>
        <v>比较价值（元/平方米）</v>
      </c>
      <c r="Q47" s="3242"/>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4.5" thickBot="1">
      <c r="A48" s="492" t="s">
        <v>2746</v>
      </c>
      <c r="B48" s="493"/>
      <c r="C48" s="494" t="e">
        <f>R48</f>
        <v>#DIV/0!</v>
      </c>
      <c r="D48" s="494"/>
      <c r="E48" s="494"/>
      <c r="F48" s="494"/>
      <c r="G48" s="494"/>
      <c r="H48" s="494"/>
      <c r="I48" s="494"/>
      <c r="J48" s="494"/>
      <c r="K48" s="784"/>
      <c r="L48" s="1142"/>
      <c r="M48" s="1143"/>
      <c r="N48" s="1143"/>
      <c r="O48" s="1143"/>
      <c r="P48" s="3281" t="str">
        <f>A48</f>
        <v>估价对象XX用房的比较价值（楼面单价，元/平方米）</v>
      </c>
      <c r="Q48" s="3282"/>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17"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213"/>
      <c r="H56" s="3242"/>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4.5"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2663</v>
      </c>
      <c r="B69" s="758"/>
      <c r="C69" s="763"/>
      <c r="D69" s="763"/>
      <c r="E69" s="763"/>
      <c r="F69" s="764"/>
      <c r="G69" s="764"/>
      <c r="H69" s="763"/>
      <c r="I69" s="763"/>
      <c r="J69" s="1158"/>
      <c r="K69" s="1159"/>
      <c r="L69" s="1160"/>
      <c r="M69" s="1158"/>
      <c r="N69" s="1158"/>
      <c r="O69" s="1158"/>
      <c r="P69" s="503"/>
      <c r="Q69" s="504"/>
    </row>
    <row r="70" spans="1:17" s="508" customFormat="1">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4.5" thickBot="1">
      <c r="A72" s="515" t="s">
        <v>2574</v>
      </c>
      <c r="B72" s="516"/>
      <c r="C72" s="517"/>
      <c r="D72" s="518"/>
      <c r="E72" s="518"/>
      <c r="F72" s="518"/>
      <c r="G72" s="518"/>
      <c r="H72" s="518"/>
      <c r="I72" s="518"/>
      <c r="J72" s="518"/>
      <c r="K72" s="518"/>
      <c r="L72" s="518"/>
      <c r="M72" s="519"/>
      <c r="N72" s="518"/>
      <c r="O72" s="1161"/>
      <c r="P72" s="504"/>
      <c r="Q72" s="504"/>
    </row>
    <row r="73" spans="1:17" s="117" customFormat="1">
      <c r="A73" s="521" t="s">
        <v>2539</v>
      </c>
      <c r="B73" s="510"/>
      <c r="C73" s="522" t="s">
        <v>2641</v>
      </c>
      <c r="D73" s="523"/>
      <c r="E73" s="523"/>
      <c r="F73" s="523"/>
      <c r="G73" s="523"/>
      <c r="H73" s="523"/>
      <c r="I73" s="523"/>
      <c r="J73" s="523"/>
      <c r="K73" s="523"/>
      <c r="L73" s="524"/>
      <c r="M73" s="525"/>
      <c r="N73" s="1150"/>
      <c r="O73" s="1150"/>
      <c r="P73" s="526"/>
      <c r="Q73" s="504"/>
    </row>
    <row r="74" spans="1:17" s="117" customFormat="1" ht="14.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4.5" thickBot="1">
      <c r="A76" s="534"/>
      <c r="B76" s="535"/>
      <c r="C76" s="536"/>
      <c r="D76" s="536"/>
      <c r="E76" s="536"/>
      <c r="F76" s="536"/>
      <c r="G76" s="536"/>
      <c r="H76" s="536"/>
      <c r="I76" s="536"/>
      <c r="J76" s="536"/>
      <c r="K76" s="536"/>
      <c r="L76" s="536"/>
      <c r="M76" s="537"/>
      <c r="N76" s="1152"/>
      <c r="O76" s="1152"/>
      <c r="P76" s="45"/>
      <c r="Q76" s="504"/>
    </row>
    <row r="77" spans="1:17" ht="28.5" thickTop="1">
      <c r="A77" s="534"/>
      <c r="B77" s="538" t="s">
        <v>2546</v>
      </c>
      <c r="C77" s="539"/>
      <c r="D77" s="539"/>
      <c r="E77" s="539"/>
      <c r="F77" s="539"/>
      <c r="G77" s="539"/>
      <c r="H77" s="539"/>
      <c r="I77" s="539"/>
      <c r="J77" s="539"/>
      <c r="K77" s="540"/>
      <c r="L77" s="541"/>
      <c r="M77" s="542"/>
      <c r="N77" s="1151"/>
      <c r="O77" s="1151"/>
      <c r="P77" s="45"/>
      <c r="Q77" s="504"/>
    </row>
    <row r="78" spans="1:17" ht="14.5" thickBot="1">
      <c r="A78" s="534"/>
      <c r="B78" s="543"/>
      <c r="C78" s="544"/>
      <c r="D78" s="544"/>
      <c r="E78" s="544"/>
      <c r="F78" s="544"/>
      <c r="G78" s="544"/>
      <c r="H78" s="544"/>
      <c r="I78" s="544"/>
      <c r="J78" s="544"/>
      <c r="K78" s="544"/>
      <c r="L78" s="544"/>
      <c r="M78" s="545"/>
      <c r="N78" s="1152"/>
      <c r="O78" s="1152"/>
      <c r="P78" s="45"/>
      <c r="Q78" s="504"/>
    </row>
    <row r="79" spans="1:17" ht="14.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5" thickBot="1">
      <c r="A83" s="553"/>
      <c r="B83" s="543"/>
      <c r="C83" s="560"/>
      <c r="D83" s="536"/>
      <c r="E83" s="536"/>
      <c r="F83" s="536"/>
      <c r="G83" s="536"/>
      <c r="H83" s="536"/>
      <c r="I83" s="536"/>
      <c r="J83" s="536"/>
      <c r="K83" s="536"/>
      <c r="L83" s="536"/>
      <c r="M83" s="537"/>
      <c r="N83" s="1152"/>
      <c r="O83" s="1152"/>
      <c r="P83" s="558"/>
      <c r="Q83" s="559"/>
    </row>
    <row r="84" spans="1:17" s="471" customFormat="1" ht="14.5" thickTop="1">
      <c r="A84" s="553"/>
      <c r="B84" s="538">
        <f>B13</f>
        <v>111</v>
      </c>
      <c r="C84" s="554"/>
      <c r="D84" s="554"/>
      <c r="E84" s="554"/>
      <c r="F84" s="554"/>
      <c r="G84" s="554"/>
      <c r="H84" s="555"/>
      <c r="I84" s="555"/>
      <c r="J84" s="555"/>
      <c r="K84" s="555"/>
      <c r="L84" s="556"/>
      <c r="M84" s="557"/>
      <c r="N84" s="1153"/>
      <c r="O84" s="1153"/>
      <c r="P84" s="470"/>
      <c r="Q84" s="561"/>
    </row>
    <row r="85" spans="1:17" s="471" customFormat="1" ht="14.5" thickBot="1">
      <c r="A85" s="553"/>
      <c r="B85" s="543"/>
      <c r="C85" s="560"/>
      <c r="D85" s="560"/>
      <c r="E85" s="560"/>
      <c r="F85" s="560"/>
      <c r="G85" s="560"/>
      <c r="H85" s="562"/>
      <c r="I85" s="562"/>
      <c r="J85" s="562"/>
      <c r="K85" s="562"/>
      <c r="L85" s="562"/>
      <c r="M85" s="563"/>
      <c r="N85" s="1153"/>
      <c r="O85" s="1153"/>
      <c r="P85" s="558"/>
      <c r="Q85" s="559"/>
    </row>
    <row r="86" spans="1:17" s="471" customFormat="1" ht="14.5" thickTop="1">
      <c r="A86" s="553"/>
      <c r="B86" s="546">
        <f>B14</f>
        <v>111</v>
      </c>
      <c r="C86" s="523"/>
      <c r="D86" s="523"/>
      <c r="E86" s="523"/>
      <c r="F86" s="523"/>
      <c r="G86" s="523"/>
      <c r="H86" s="564"/>
      <c r="I86" s="564"/>
      <c r="J86" s="564"/>
      <c r="K86" s="564"/>
      <c r="L86" s="565"/>
      <c r="M86" s="566"/>
      <c r="N86" s="1153"/>
      <c r="O86" s="1153"/>
      <c r="P86" s="567"/>
      <c r="Q86" s="559"/>
    </row>
    <row r="87" spans="1:17" s="471" customFormat="1" ht="14.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4.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4.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4.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8.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8.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4.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4.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4.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8.5" thickTop="1">
      <c r="A106" s="534"/>
      <c r="B106" s="538" t="s">
        <v>2680</v>
      </c>
      <c r="C106" s="554"/>
      <c r="D106" s="554"/>
      <c r="E106" s="554"/>
      <c r="F106" s="554"/>
      <c r="G106" s="554"/>
      <c r="H106" s="583"/>
      <c r="I106" s="583"/>
      <c r="J106" s="583"/>
      <c r="K106" s="584"/>
      <c r="L106" s="585"/>
      <c r="M106" s="586"/>
      <c r="N106" s="1151"/>
      <c r="O106" s="1151"/>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4.5" thickTop="1">
      <c r="A108" s="534"/>
      <c r="B108" s="538" t="s">
        <v>2739</v>
      </c>
      <c r="C108" s="583"/>
      <c r="D108" s="583"/>
      <c r="E108" s="583"/>
      <c r="F108" s="583"/>
      <c r="G108" s="583"/>
      <c r="H108" s="583"/>
      <c r="I108" s="583"/>
      <c r="J108" s="583"/>
      <c r="K108" s="584"/>
      <c r="L108" s="585"/>
      <c r="M108" s="586"/>
      <c r="N108" s="1151"/>
      <c r="O108" s="1151"/>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5" thickTop="1">
      <c r="A110" s="534"/>
      <c r="B110" s="546">
        <f>B35</f>
        <v>111</v>
      </c>
      <c r="C110" s="554"/>
      <c r="D110" s="554"/>
      <c r="E110" s="554"/>
      <c r="F110" s="554"/>
      <c r="G110" s="587"/>
      <c r="H110" s="587"/>
      <c r="I110" s="587"/>
      <c r="J110" s="587"/>
      <c r="K110" s="588"/>
      <c r="L110" s="589"/>
      <c r="M110" s="590"/>
      <c r="N110" s="1151"/>
      <c r="O110" s="1151"/>
      <c r="P110" s="45"/>
      <c r="Q110" s="504"/>
    </row>
    <row r="111" spans="1:17" ht="14.5" thickBot="1">
      <c r="A111" s="534"/>
      <c r="B111" s="569"/>
      <c r="C111" s="560"/>
      <c r="D111" s="560"/>
      <c r="E111" s="560"/>
      <c r="F111" s="560"/>
      <c r="G111" s="591"/>
      <c r="H111" s="591"/>
      <c r="I111" s="591"/>
      <c r="J111" s="591"/>
      <c r="K111" s="591"/>
      <c r="L111" s="591"/>
      <c r="M111" s="592"/>
      <c r="N111" s="1152"/>
      <c r="O111" s="1152"/>
      <c r="P111" s="45"/>
      <c r="Q111" s="504"/>
    </row>
    <row r="112" spans="1:17" ht="14.5" thickTop="1">
      <c r="A112" s="675"/>
      <c r="B112" s="538">
        <f>B36</f>
        <v>111</v>
      </c>
      <c r="C112" s="523"/>
      <c r="D112" s="523"/>
      <c r="E112" s="523"/>
      <c r="F112" s="523"/>
      <c r="G112" s="583"/>
      <c r="H112" s="583"/>
      <c r="I112" s="583"/>
      <c r="J112" s="583"/>
      <c r="K112" s="584"/>
      <c r="L112" s="585"/>
      <c r="M112" s="586"/>
      <c r="N112" s="1151"/>
      <c r="O112" s="1151"/>
      <c r="P112" s="45"/>
      <c r="Q112" s="504"/>
    </row>
    <row r="113" spans="1:17" ht="14.5" thickBot="1">
      <c r="A113" s="534"/>
      <c r="B113" s="543"/>
      <c r="C113" s="570"/>
      <c r="D113" s="570"/>
      <c r="E113" s="570"/>
      <c r="F113" s="570"/>
      <c r="G113" s="536"/>
      <c r="H113" s="536"/>
      <c r="I113" s="536"/>
      <c r="J113" s="536"/>
      <c r="K113" s="536"/>
      <c r="L113" s="536"/>
      <c r="M113" s="537"/>
      <c r="N113" s="1152"/>
      <c r="O113" s="1152"/>
      <c r="P113" s="45"/>
      <c r="Q113" s="504"/>
    </row>
    <row r="114" spans="1:17" s="471" customFormat="1" ht="14.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5" thickBot="1">
      <c r="A118" s="534"/>
      <c r="B118" s="543"/>
      <c r="C118" s="570"/>
      <c r="D118" s="591"/>
      <c r="E118" s="591"/>
      <c r="F118" s="591"/>
      <c r="G118" s="591"/>
      <c r="H118" s="591"/>
      <c r="I118" s="591"/>
      <c r="J118" s="591"/>
      <c r="K118" s="591"/>
      <c r="L118" s="591"/>
      <c r="M118" s="592"/>
      <c r="N118" s="1152"/>
      <c r="O118" s="1152"/>
      <c r="P118" s="45"/>
      <c r="Q118" s="504"/>
    </row>
    <row r="119" spans="1:17" ht="14.5" thickTop="1">
      <c r="A119" s="599"/>
      <c r="B119" s="538" t="s">
        <v>2781</v>
      </c>
      <c r="C119" s="583"/>
      <c r="D119" s="583"/>
      <c r="E119" s="583"/>
      <c r="F119" s="583"/>
      <c r="G119" s="583"/>
      <c r="H119" s="583"/>
      <c r="I119" s="583"/>
      <c r="J119" s="583"/>
      <c r="K119" s="584"/>
      <c r="L119" s="585"/>
      <c r="M119" s="586"/>
      <c r="N119" s="1151"/>
      <c r="O119" s="1151"/>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4.5" thickTop="1">
      <c r="A121" s="599"/>
      <c r="B121" s="538" t="s">
        <v>2782</v>
      </c>
      <c r="C121" s="554"/>
      <c r="D121" s="554"/>
      <c r="E121" s="554"/>
      <c r="F121" s="583"/>
      <c r="G121" s="583"/>
      <c r="H121" s="583"/>
      <c r="I121" s="583"/>
      <c r="J121" s="583"/>
      <c r="K121" s="584"/>
      <c r="L121" s="585"/>
      <c r="M121" s="586"/>
      <c r="N121" s="1151"/>
      <c r="O121" s="1151"/>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4.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4.5" thickTop="1">
      <c r="A125" s="599"/>
      <c r="B125" s="538" t="s">
        <v>2784</v>
      </c>
      <c r="C125" s="554"/>
      <c r="D125" s="554"/>
      <c r="E125" s="583"/>
      <c r="F125" s="583"/>
      <c r="G125" s="583"/>
      <c r="H125" s="583"/>
      <c r="I125" s="583"/>
      <c r="J125" s="583"/>
      <c r="K125" s="584"/>
      <c r="L125" s="585"/>
      <c r="M125" s="586"/>
      <c r="N125" s="1151"/>
      <c r="O125" s="1151"/>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5" thickTop="1">
      <c r="A127" s="599"/>
      <c r="B127" s="538">
        <f>B43</f>
        <v>111</v>
      </c>
      <c r="C127" s="554"/>
      <c r="D127" s="554"/>
      <c r="E127" s="554"/>
      <c r="F127" s="554"/>
      <c r="G127" s="554"/>
      <c r="H127" s="583"/>
      <c r="I127" s="583"/>
      <c r="J127" s="583"/>
      <c r="K127" s="584"/>
      <c r="L127" s="585"/>
      <c r="M127" s="586"/>
      <c r="N127" s="1151"/>
      <c r="O127" s="1151"/>
      <c r="P127" s="45"/>
      <c r="Q127" s="504"/>
    </row>
    <row r="128" spans="1:17" ht="14.5" thickBot="1">
      <c r="A128" s="534"/>
      <c r="B128" s="543"/>
      <c r="C128" s="560"/>
      <c r="D128" s="560"/>
      <c r="E128" s="560"/>
      <c r="F128" s="560"/>
      <c r="G128" s="536"/>
      <c r="H128" s="536"/>
      <c r="I128" s="536"/>
      <c r="J128" s="536"/>
      <c r="K128" s="536"/>
      <c r="L128" s="536"/>
      <c r="M128" s="537"/>
      <c r="N128" s="1152"/>
      <c r="O128" s="1152"/>
      <c r="P128" s="45"/>
      <c r="Q128" s="504"/>
    </row>
    <row r="129" spans="1:17" ht="14.5" thickTop="1">
      <c r="A129" s="599"/>
      <c r="B129" s="538">
        <f>B44</f>
        <v>111</v>
      </c>
      <c r="C129" s="523"/>
      <c r="D129" s="523"/>
      <c r="E129" s="523"/>
      <c r="F129" s="523"/>
      <c r="G129" s="583"/>
      <c r="H129" s="583"/>
      <c r="I129" s="583"/>
      <c r="J129" s="583"/>
      <c r="K129" s="584"/>
      <c r="L129" s="585"/>
      <c r="M129" s="586"/>
      <c r="N129" s="1151"/>
      <c r="O129" s="1151"/>
      <c r="P129" s="45"/>
      <c r="Q129" s="504"/>
    </row>
    <row r="130" spans="1:17" ht="14.5" thickBot="1">
      <c r="A130" s="534"/>
      <c r="B130" s="543"/>
      <c r="C130" s="570"/>
      <c r="D130" s="570"/>
      <c r="E130" s="570"/>
      <c r="F130" s="570"/>
      <c r="G130" s="536"/>
      <c r="H130" s="536"/>
      <c r="I130" s="536"/>
      <c r="J130" s="536"/>
      <c r="K130" s="536"/>
      <c r="L130" s="536"/>
      <c r="M130" s="537"/>
      <c r="N130" s="1152"/>
      <c r="O130" s="1152"/>
      <c r="P130" s="45"/>
      <c r="Q130" s="504"/>
    </row>
    <row r="131" spans="1:17" s="471" customFormat="1" ht="14.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89" t="s">
        <v>2786</v>
      </c>
      <c r="D6" s="3290"/>
      <c r="E6" s="3291" t="s">
        <v>2786</v>
      </c>
      <c r="F6" s="3292"/>
      <c r="G6" s="3289" t="s">
        <v>2786</v>
      </c>
      <c r="H6" s="3290"/>
      <c r="I6" s="3289" t="s">
        <v>2786</v>
      </c>
      <c r="J6" s="3290"/>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29" ht="15.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0">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5">
      <c r="A16" s="428"/>
      <c r="B16" s="630"/>
      <c r="C16" s="447"/>
      <c r="D16" s="448"/>
      <c r="E16" s="2606"/>
      <c r="F16" s="448"/>
      <c r="G16" s="2606"/>
      <c r="H16" s="450"/>
      <c r="I16" s="2606"/>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98">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632"/>
      <c r="C18" s="447"/>
      <c r="D18" s="448"/>
      <c r="E18" s="2600"/>
      <c r="F18" s="448"/>
      <c r="G18" s="2600"/>
      <c r="H18" s="448"/>
      <c r="I18" s="2599"/>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28">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6"/>
      <c r="Q19" s="1808" t="str">
        <f t="shared" ref="Q19:Q33" si="8">B19</f>
        <v>区域土地利用方向</v>
      </c>
      <c r="R19" s="773" t="s">
        <v>17</v>
      </c>
      <c r="S19" s="774">
        <f>F19</f>
        <v>100</v>
      </c>
      <c r="T19" s="773" t="s">
        <v>17</v>
      </c>
      <c r="U19" s="774">
        <f>H19</f>
        <v>100</v>
      </c>
      <c r="V19" s="773" t="s">
        <v>17</v>
      </c>
      <c r="W19" s="774">
        <f>J19</f>
        <v>100</v>
      </c>
      <c r="X19" s="1811"/>
      <c r="Y19" s="3236"/>
      <c r="Z19" s="1812" t="str">
        <f>Q19</f>
        <v>区域土地利用方向</v>
      </c>
      <c r="AA19" s="1809">
        <f t="shared" si="3"/>
        <v>1</v>
      </c>
      <c r="AB19" s="1809">
        <f t="shared" si="4"/>
        <v>1</v>
      </c>
      <c r="AC19" s="1809">
        <f t="shared" si="5"/>
        <v>1</v>
      </c>
    </row>
    <row r="20" spans="1:29" ht="15.5">
      <c r="A20" s="404"/>
      <c r="B20" s="632"/>
      <c r="C20" s="447"/>
      <c r="D20" s="448"/>
      <c r="E20" s="2600"/>
      <c r="F20" s="448"/>
      <c r="G20" s="2600"/>
      <c r="H20" s="448"/>
      <c r="I20" s="2600"/>
      <c r="J20" s="448"/>
      <c r="K20" s="811"/>
      <c r="L20" s="1139"/>
      <c r="M20" s="1130"/>
      <c r="N20" s="1130"/>
      <c r="O20" s="1138"/>
      <c r="P20" s="3236"/>
      <c r="Q20" s="1808"/>
      <c r="R20" s="773"/>
      <c r="S20" s="774"/>
      <c r="T20" s="773"/>
      <c r="U20" s="774"/>
      <c r="V20" s="773"/>
      <c r="W20" s="774"/>
      <c r="X20" s="1811"/>
      <c r="Y20" s="3236"/>
      <c r="Z20" s="1812"/>
      <c r="AA20" s="1809"/>
      <c r="AB20" s="1809"/>
      <c r="AC20" s="1809"/>
    </row>
    <row r="21" spans="1:29" ht="84">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6"/>
      <c r="Q21" s="1808" t="str">
        <f t="shared" si="8"/>
        <v>环境状况</v>
      </c>
      <c r="R21" s="773" t="s">
        <v>17</v>
      </c>
      <c r="S21" s="774">
        <f>F21</f>
        <v>100</v>
      </c>
      <c r="T21" s="773" t="s">
        <v>17</v>
      </c>
      <c r="U21" s="774">
        <f>H21</f>
        <v>100</v>
      </c>
      <c r="V21" s="773" t="s">
        <v>17</v>
      </c>
      <c r="W21" s="774">
        <f>J21</f>
        <v>100</v>
      </c>
      <c r="X21" s="1811"/>
      <c r="Y21" s="3236"/>
      <c r="Z21" s="1812" t="str">
        <f>Q21</f>
        <v>环境状况</v>
      </c>
      <c r="AA21" s="1809">
        <f t="shared" si="3"/>
        <v>1</v>
      </c>
      <c r="AB21" s="1809">
        <f t="shared" si="4"/>
        <v>1</v>
      </c>
      <c r="AC21" s="1809">
        <f t="shared" si="5"/>
        <v>1</v>
      </c>
    </row>
    <row r="22" spans="1:29" ht="15.5">
      <c r="A22" s="404"/>
      <c r="B22" s="632"/>
      <c r="C22" s="447"/>
      <c r="D22" s="448"/>
      <c r="E22" s="2606"/>
      <c r="F22" s="448"/>
      <c r="G22" s="2606"/>
      <c r="H22" s="448"/>
      <c r="I22" s="447"/>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s="117" customFormat="1" ht="42">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6"/>
      <c r="Q23" s="1793" t="str">
        <f t="shared" si="8"/>
        <v>公共配套设施</v>
      </c>
      <c r="R23" s="769" t="s">
        <v>17</v>
      </c>
      <c r="S23" s="770">
        <f>F23</f>
        <v>100</v>
      </c>
      <c r="T23" s="769" t="s">
        <v>17</v>
      </c>
      <c r="U23" s="770">
        <f>H23</f>
        <v>100</v>
      </c>
      <c r="V23" s="769" t="s">
        <v>17</v>
      </c>
      <c r="W23" s="770">
        <f>J23</f>
        <v>100</v>
      </c>
      <c r="X23" s="771"/>
      <c r="Y23" s="3236"/>
      <c r="Z23" s="55" t="str">
        <f>Q23</f>
        <v>公共配套设施</v>
      </c>
      <c r="AA23" s="1809">
        <f>D23/F23</f>
        <v>1</v>
      </c>
      <c r="AB23" s="1809">
        <f>D23/H23</f>
        <v>1</v>
      </c>
      <c r="AC23" s="1809">
        <f>D23/J23</f>
        <v>1</v>
      </c>
    </row>
    <row r="24" spans="1:29" s="117" customFormat="1" ht="15.5">
      <c r="A24" s="649"/>
      <c r="B24" s="632"/>
      <c r="C24" s="2695"/>
      <c r="D24" s="448"/>
      <c r="E24" s="2606"/>
      <c r="F24" s="448"/>
      <c r="G24" s="2606"/>
      <c r="H24" s="448"/>
      <c r="I24" s="447"/>
      <c r="J24" s="448"/>
      <c r="K24" s="672"/>
      <c r="L24" s="1131"/>
      <c r="M24" s="1132"/>
      <c r="N24" s="1132"/>
      <c r="O24" s="1133"/>
      <c r="P24" s="3236"/>
      <c r="Q24" s="1793"/>
      <c r="R24" s="769"/>
      <c r="S24" s="770"/>
      <c r="T24" s="769"/>
      <c r="U24" s="770"/>
      <c r="V24" s="769"/>
      <c r="W24" s="770"/>
      <c r="X24" s="771"/>
      <c r="Y24" s="3236"/>
      <c r="Z24" s="55"/>
      <c r="AA24" s="772">
        <v>1</v>
      </c>
      <c r="AB24" s="772">
        <v>1</v>
      </c>
      <c r="AC24" s="772">
        <v>1</v>
      </c>
    </row>
    <row r="25" spans="1:29" s="117" customFormat="1" ht="42">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6"/>
      <c r="Q25" s="1793" t="str">
        <f t="shared" ref="Q25" si="9">B25</f>
        <v>基础设施水平</v>
      </c>
      <c r="R25" s="769" t="s">
        <v>17</v>
      </c>
      <c r="S25" s="770">
        <f>F25</f>
        <v>100</v>
      </c>
      <c r="T25" s="769" t="s">
        <v>17</v>
      </c>
      <c r="U25" s="770">
        <f>H25</f>
        <v>100</v>
      </c>
      <c r="V25" s="769" t="s">
        <v>17</v>
      </c>
      <c r="W25" s="770">
        <f>J25</f>
        <v>100</v>
      </c>
      <c r="X25" s="771"/>
      <c r="Y25" s="3236"/>
      <c r="Z25" s="55" t="str">
        <f>Q25</f>
        <v>基础设施水平</v>
      </c>
      <c r="AA25" s="1809">
        <f>D25/F25</f>
        <v>1</v>
      </c>
      <c r="AB25" s="1809">
        <f>D25/H25</f>
        <v>1</v>
      </c>
      <c r="AC25" s="1809">
        <f>D25/J25</f>
        <v>1</v>
      </c>
    </row>
    <row r="26" spans="1:29" s="117" customFormat="1" ht="15.5">
      <c r="A26" s="649"/>
      <c r="B26" s="632"/>
      <c r="C26" s="2695"/>
      <c r="D26" s="448"/>
      <c r="E26" s="2696"/>
      <c r="F26" s="448"/>
      <c r="G26" s="2696"/>
      <c r="H26" s="448"/>
      <c r="I26" s="2696"/>
      <c r="J26" s="448"/>
      <c r="K26" s="672"/>
      <c r="L26" s="1131"/>
      <c r="M26" s="1132"/>
      <c r="N26" s="1132"/>
      <c r="O26" s="1133"/>
      <c r="P26" s="3236"/>
      <c r="Q26" s="1793"/>
      <c r="R26" s="769"/>
      <c r="S26" s="770"/>
      <c r="T26" s="769"/>
      <c r="U26" s="770"/>
      <c r="V26" s="769"/>
      <c r="W26" s="770"/>
      <c r="X26" s="771"/>
      <c r="Y26" s="3236"/>
      <c r="Z26" s="55"/>
      <c r="AA26" s="772">
        <v>1</v>
      </c>
      <c r="AB26" s="772">
        <v>1</v>
      </c>
      <c r="AC26" s="772">
        <v>1</v>
      </c>
    </row>
    <row r="27" spans="1:29" ht="15.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6"/>
      <c r="Z27" s="1812" t="str">
        <f t="shared" ref="Z27:Z40" si="13">Q27</f>
        <v>临街状况</v>
      </c>
      <c r="AA27" s="1809">
        <f t="shared" si="3"/>
        <v>1</v>
      </c>
      <c r="AB27" s="1809">
        <f t="shared" si="4"/>
        <v>1</v>
      </c>
      <c r="AC27" s="1809">
        <f t="shared" si="5"/>
        <v>1</v>
      </c>
    </row>
    <row r="28" spans="1:29" ht="28">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6"/>
      <c r="Q28" s="1808" t="str">
        <f t="shared" si="8"/>
        <v>毗邻道路的类型与等级</v>
      </c>
      <c r="R28" s="773" t="s">
        <v>17</v>
      </c>
      <c r="S28" s="774">
        <f t="shared" si="10"/>
        <v>100</v>
      </c>
      <c r="T28" s="773" t="s">
        <v>17</v>
      </c>
      <c r="U28" s="774">
        <f t="shared" si="11"/>
        <v>100</v>
      </c>
      <c r="V28" s="773" t="s">
        <v>17</v>
      </c>
      <c r="W28" s="774">
        <f t="shared" si="12"/>
        <v>100</v>
      </c>
      <c r="X28" s="1811"/>
      <c r="Y28" s="3236"/>
      <c r="Z28" s="1812" t="str">
        <f t="shared" si="13"/>
        <v>毗邻道路的类型与等级</v>
      </c>
      <c r="AA28" s="1809">
        <f t="shared" si="3"/>
        <v>1</v>
      </c>
      <c r="AB28" s="1809">
        <f t="shared" si="4"/>
        <v>1</v>
      </c>
      <c r="AC28" s="1809">
        <f t="shared" si="5"/>
        <v>1</v>
      </c>
    </row>
    <row r="29" spans="1:29" ht="15.5">
      <c r="A29" s="428"/>
      <c r="B29" s="632"/>
      <c r="C29" s="447"/>
      <c r="D29" s="448"/>
      <c r="E29" s="2606"/>
      <c r="F29" s="448"/>
      <c r="G29" s="2606"/>
      <c r="H29" s="448"/>
      <c r="I29" s="2606"/>
      <c r="J29" s="448"/>
      <c r="K29" s="613"/>
      <c r="L29" s="1139"/>
      <c r="M29" s="1130"/>
      <c r="N29" s="1130"/>
      <c r="O29" s="1138"/>
      <c r="P29" s="3236"/>
      <c r="Q29" s="1808"/>
      <c r="R29" s="773"/>
      <c r="S29" s="774"/>
      <c r="T29" s="773"/>
      <c r="U29" s="774"/>
      <c r="V29" s="773"/>
      <c r="W29" s="774"/>
      <c r="X29" s="1811"/>
      <c r="Y29" s="3236"/>
      <c r="Z29" s="1812"/>
      <c r="AA29" s="1809">
        <v>1</v>
      </c>
      <c r="AB29" s="1809">
        <v>1</v>
      </c>
      <c r="AC29" s="1809">
        <v>1</v>
      </c>
    </row>
    <row r="30" spans="1:29" ht="15.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6"/>
      <c r="Q30" s="1808" t="str">
        <f t="shared" si="8"/>
        <v>土地级别</v>
      </c>
      <c r="R30" s="773" t="s">
        <v>17</v>
      </c>
      <c r="S30" s="774">
        <f t="shared" si="10"/>
        <v>100</v>
      </c>
      <c r="T30" s="773" t="s">
        <v>17</v>
      </c>
      <c r="U30" s="774">
        <f t="shared" si="11"/>
        <v>100</v>
      </c>
      <c r="V30" s="773" t="s">
        <v>17</v>
      </c>
      <c r="W30" s="774">
        <f t="shared" si="12"/>
        <v>100</v>
      </c>
      <c r="X30" s="1811"/>
      <c r="Y30" s="3236"/>
      <c r="Z30" s="1812" t="str">
        <f t="shared" si="13"/>
        <v>土地级别</v>
      </c>
      <c r="AA30" s="1809">
        <f t="shared" si="3"/>
        <v>1</v>
      </c>
      <c r="AB30" s="1809">
        <f t="shared" si="4"/>
        <v>1</v>
      </c>
      <c r="AC30" s="1809">
        <f t="shared" si="5"/>
        <v>1</v>
      </c>
    </row>
    <row r="31" spans="1:29" ht="15.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6"/>
      <c r="Q31" s="1808">
        <f t="shared" si="8"/>
        <v>111</v>
      </c>
      <c r="R31" s="773" t="s">
        <v>17</v>
      </c>
      <c r="S31" s="774">
        <f t="shared" si="10"/>
        <v>100</v>
      </c>
      <c r="T31" s="773" t="s">
        <v>17</v>
      </c>
      <c r="U31" s="774">
        <f t="shared" si="11"/>
        <v>100</v>
      </c>
      <c r="V31" s="773" t="s">
        <v>17</v>
      </c>
      <c r="W31" s="774">
        <f t="shared" si="12"/>
        <v>100</v>
      </c>
      <c r="X31" s="1811"/>
      <c r="Y31" s="3236"/>
      <c r="Z31" s="1812">
        <f t="shared" si="13"/>
        <v>111</v>
      </c>
      <c r="AA31" s="1809">
        <f t="shared" si="3"/>
        <v>1</v>
      </c>
      <c r="AB31" s="1809">
        <f t="shared" si="4"/>
        <v>1</v>
      </c>
      <c r="AC31" s="1809">
        <f t="shared" si="5"/>
        <v>1</v>
      </c>
    </row>
    <row r="32" spans="1:29" ht="15.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40" t="s">
        <v>2554</v>
      </c>
      <c r="Z32" s="1812">
        <f t="shared" si="13"/>
        <v>111</v>
      </c>
      <c r="AA32" s="1809">
        <f t="shared" si="3"/>
        <v>1</v>
      </c>
      <c r="AB32" s="1809">
        <f t="shared" si="4"/>
        <v>1</v>
      </c>
      <c r="AC32" s="1809">
        <f t="shared" si="5"/>
        <v>1</v>
      </c>
    </row>
    <row r="33" spans="1:29" s="471" customFormat="1" ht="1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0"/>
      <c r="Q33" s="1808">
        <f t="shared" si="8"/>
        <v>111</v>
      </c>
      <c r="R33" s="776" t="s">
        <v>17</v>
      </c>
      <c r="S33" s="777">
        <f t="shared" si="10"/>
        <v>100</v>
      </c>
      <c r="T33" s="776" t="s">
        <v>17</v>
      </c>
      <c r="U33" s="777">
        <f t="shared" si="11"/>
        <v>100</v>
      </c>
      <c r="V33" s="776" t="s">
        <v>17</v>
      </c>
      <c r="W33" s="777">
        <f t="shared" si="12"/>
        <v>100</v>
      </c>
      <c r="X33" s="778"/>
      <c r="Y33" s="3240"/>
      <c r="Z33" s="779">
        <f t="shared" si="13"/>
        <v>111</v>
      </c>
      <c r="AA33" s="1809">
        <f t="shared" si="3"/>
        <v>1</v>
      </c>
      <c r="AB33" s="1809">
        <f t="shared" si="4"/>
        <v>1</v>
      </c>
      <c r="AC33" s="1809">
        <f t="shared" si="5"/>
        <v>1</v>
      </c>
    </row>
    <row r="34" spans="1:29" ht="15.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0"/>
      <c r="Q34" s="1808" t="str">
        <f>B34</f>
        <v>宗地面积</v>
      </c>
      <c r="R34" s="773" t="s">
        <v>17</v>
      </c>
      <c r="S34" s="774" t="e">
        <f t="shared" si="10"/>
        <v>#N/A</v>
      </c>
      <c r="T34" s="773" t="s">
        <v>17</v>
      </c>
      <c r="U34" s="774" t="e">
        <f t="shared" si="11"/>
        <v>#N/A</v>
      </c>
      <c r="V34" s="773" t="s">
        <v>17</v>
      </c>
      <c r="W34" s="774" t="e">
        <f t="shared" si="12"/>
        <v>#N/A</v>
      </c>
      <c r="X34" s="1811"/>
      <c r="Y34" s="3240"/>
      <c r="Z34" s="1812" t="str">
        <f t="shared" si="13"/>
        <v>宗地面积</v>
      </c>
      <c r="AA34" s="1809" t="e">
        <f t="shared" si="3"/>
        <v>#N/A</v>
      </c>
      <c r="AB34" s="1809" t="e">
        <f t="shared" si="4"/>
        <v>#N/A</v>
      </c>
      <c r="AC34" s="1809" t="e">
        <f t="shared" si="5"/>
        <v>#N/A</v>
      </c>
    </row>
    <row r="35" spans="1:29" ht="15.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40"/>
      <c r="Q35" s="1808" t="str">
        <f t="shared" ref="Q35:Q40" si="14">B35</f>
        <v>宗地形状</v>
      </c>
      <c r="R35" s="773" t="s">
        <v>17</v>
      </c>
      <c r="S35" s="774">
        <f t="shared" si="10"/>
        <v>100</v>
      </c>
      <c r="T35" s="773" t="s">
        <v>17</v>
      </c>
      <c r="U35" s="774">
        <f t="shared" si="11"/>
        <v>100</v>
      </c>
      <c r="V35" s="773" t="s">
        <v>17</v>
      </c>
      <c r="W35" s="774">
        <f t="shared" si="12"/>
        <v>100</v>
      </c>
      <c r="X35" s="1811"/>
      <c r="Y35" s="3240"/>
      <c r="Z35" s="1812" t="str">
        <f t="shared" si="13"/>
        <v>宗地形状</v>
      </c>
      <c r="AA35" s="1809">
        <f t="shared" si="3"/>
        <v>1</v>
      </c>
      <c r="AB35" s="1809">
        <f t="shared" si="4"/>
        <v>1</v>
      </c>
      <c r="AC35" s="1809">
        <f t="shared" si="5"/>
        <v>1</v>
      </c>
    </row>
    <row r="36" spans="1:29" s="117" customFormat="1" ht="15.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40"/>
      <c r="Q36" s="1808" t="str">
        <f t="shared" si="14"/>
        <v>宗地开发程度</v>
      </c>
      <c r="R36" s="769" t="s">
        <v>17</v>
      </c>
      <c r="S36" s="770">
        <f t="shared" si="10"/>
        <v>100</v>
      </c>
      <c r="T36" s="769" t="s">
        <v>17</v>
      </c>
      <c r="U36" s="770">
        <f t="shared" si="11"/>
        <v>100</v>
      </c>
      <c r="V36" s="769" t="s">
        <v>17</v>
      </c>
      <c r="W36" s="770">
        <f t="shared" si="12"/>
        <v>100</v>
      </c>
      <c r="X36" s="771"/>
      <c r="Y36" s="3240"/>
      <c r="Z36" s="55" t="str">
        <f t="shared" si="13"/>
        <v>宗地开发程度</v>
      </c>
      <c r="AA36" s="772">
        <f t="shared" si="3"/>
        <v>1</v>
      </c>
      <c r="AB36" s="772">
        <f t="shared" si="4"/>
        <v>1</v>
      </c>
      <c r="AC36" s="772">
        <f t="shared" si="5"/>
        <v>1</v>
      </c>
    </row>
    <row r="37" spans="1:29" ht="15.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40" t="s">
        <v>2554</v>
      </c>
      <c r="Q37" s="1808" t="str">
        <f t="shared" si="14"/>
        <v>工程地质条件</v>
      </c>
      <c r="R37" s="773" t="s">
        <v>17</v>
      </c>
      <c r="S37" s="774">
        <f t="shared" si="10"/>
        <v>100</v>
      </c>
      <c r="T37" s="773" t="s">
        <v>17</v>
      </c>
      <c r="U37" s="774">
        <f t="shared" si="11"/>
        <v>100</v>
      </c>
      <c r="V37" s="773" t="s">
        <v>17</v>
      </c>
      <c r="W37" s="774">
        <f t="shared" si="12"/>
        <v>100</v>
      </c>
      <c r="X37" s="1811"/>
      <c r="Y37" s="3240" t="s">
        <v>2554</v>
      </c>
      <c r="Z37" s="1812" t="str">
        <f t="shared" si="13"/>
        <v>工程地质条件</v>
      </c>
      <c r="AA37" s="1809">
        <f t="shared" si="3"/>
        <v>1</v>
      </c>
      <c r="AB37" s="1809">
        <f t="shared" si="4"/>
        <v>1</v>
      </c>
      <c r="AC37" s="1809">
        <f t="shared" si="5"/>
        <v>1</v>
      </c>
    </row>
    <row r="38" spans="1:29" ht="15.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0"/>
      <c r="Q38" s="1808">
        <f t="shared" si="14"/>
        <v>111</v>
      </c>
      <c r="R38" s="773" t="s">
        <v>17</v>
      </c>
      <c r="S38" s="774">
        <f t="shared" si="10"/>
        <v>100</v>
      </c>
      <c r="T38" s="773" t="s">
        <v>17</v>
      </c>
      <c r="U38" s="774">
        <f t="shared" si="11"/>
        <v>100</v>
      </c>
      <c r="V38" s="773" t="s">
        <v>17</v>
      </c>
      <c r="W38" s="774">
        <f t="shared" si="12"/>
        <v>100</v>
      </c>
      <c r="X38" s="1811"/>
      <c r="Y38" s="3240"/>
      <c r="Z38" s="1812">
        <f t="shared" si="13"/>
        <v>111</v>
      </c>
      <c r="AA38" s="1809">
        <f t="shared" si="3"/>
        <v>1</v>
      </c>
      <c r="AB38" s="1809">
        <f t="shared" si="4"/>
        <v>1</v>
      </c>
      <c r="AC38" s="1809">
        <f t="shared" si="5"/>
        <v>1</v>
      </c>
    </row>
    <row r="39" spans="1:29" ht="15.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0"/>
      <c r="Q39" s="1808">
        <f t="shared" si="14"/>
        <v>111</v>
      </c>
      <c r="R39" s="773" t="s">
        <v>17</v>
      </c>
      <c r="S39" s="774">
        <f t="shared" si="10"/>
        <v>100</v>
      </c>
      <c r="T39" s="773" t="s">
        <v>17</v>
      </c>
      <c r="U39" s="774">
        <f t="shared" si="11"/>
        <v>100</v>
      </c>
      <c r="V39" s="773" t="s">
        <v>17</v>
      </c>
      <c r="W39" s="774">
        <f t="shared" si="12"/>
        <v>100</v>
      </c>
      <c r="X39" s="1811"/>
      <c r="Y39" s="3240"/>
      <c r="Z39" s="1812">
        <f t="shared" si="13"/>
        <v>111</v>
      </c>
      <c r="AA39" s="1809">
        <f t="shared" si="3"/>
        <v>1</v>
      </c>
      <c r="AB39" s="1809">
        <f t="shared" si="4"/>
        <v>1</v>
      </c>
      <c r="AC39" s="1809">
        <f t="shared" si="5"/>
        <v>1</v>
      </c>
    </row>
    <row r="40" spans="1:29" s="471" customFormat="1" ht="16"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0"/>
      <c r="Q40" s="1808">
        <f t="shared" si="14"/>
        <v>111</v>
      </c>
      <c r="R40" s="776" t="s">
        <v>17</v>
      </c>
      <c r="S40" s="777">
        <f t="shared" si="10"/>
        <v>100</v>
      </c>
      <c r="T40" s="776" t="s">
        <v>17</v>
      </c>
      <c r="U40" s="777">
        <f t="shared" si="11"/>
        <v>100</v>
      </c>
      <c r="V40" s="776" t="s">
        <v>17</v>
      </c>
      <c r="W40" s="777">
        <f t="shared" si="12"/>
        <v>100</v>
      </c>
      <c r="X40" s="778"/>
      <c r="Y40" s="3240"/>
      <c r="Z40" s="779">
        <f t="shared" si="13"/>
        <v>111</v>
      </c>
      <c r="AA40" s="1809">
        <f t="shared" si="3"/>
        <v>1</v>
      </c>
      <c r="AB40" s="1809">
        <f t="shared" si="4"/>
        <v>1</v>
      </c>
      <c r="AC40" s="1809">
        <f t="shared" si="5"/>
        <v>1</v>
      </c>
    </row>
    <row r="41" spans="1:29">
      <c r="A41" s="479" t="s">
        <v>2709</v>
      </c>
      <c r="B41" s="2699" t="s">
        <v>2789</v>
      </c>
      <c r="C41" s="682" t="s">
        <v>1</v>
      </c>
      <c r="D41" s="481"/>
      <c r="E41" s="482"/>
      <c r="F41" s="483"/>
      <c r="G41" s="484"/>
      <c r="H41" s="485"/>
      <c r="I41" s="482"/>
      <c r="J41" s="485"/>
      <c r="K41" s="782"/>
      <c r="L41" s="1142"/>
      <c r="M41" s="1130"/>
      <c r="N41" s="1130"/>
      <c r="O41" s="1143"/>
      <c r="P41" s="3242" t="str">
        <f>A41</f>
        <v>成交单价</v>
      </c>
      <c r="Q41" s="3242"/>
      <c r="R41" s="3230">
        <f>E41</f>
        <v>0</v>
      </c>
      <c r="S41" s="3230"/>
      <c r="T41" s="3230">
        <f>G41</f>
        <v>0</v>
      </c>
      <c r="U41" s="3230"/>
      <c r="V41" s="3230">
        <f>I41</f>
        <v>0</v>
      </c>
      <c r="W41" s="3230"/>
      <c r="X41" s="758"/>
      <c r="Y41" s="780"/>
      <c r="Z41" s="758"/>
      <c r="AA41" s="758"/>
      <c r="AB41" s="758"/>
      <c r="AC41" s="758"/>
    </row>
    <row r="42" spans="1:29" ht="14.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42" t="str">
        <f>A42</f>
        <v>比较价值（元/平方米）</v>
      </c>
      <c r="Q42" s="3242"/>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4.5" thickBot="1">
      <c r="A43" s="492" t="s">
        <v>2659</v>
      </c>
      <c r="B43" s="493"/>
      <c r="C43" s="494" t="e">
        <f>R43</f>
        <v>#DIV/0!</v>
      </c>
      <c r="D43" s="494"/>
      <c r="E43" s="494"/>
      <c r="F43" s="494"/>
      <c r="G43" s="494"/>
      <c r="H43" s="494"/>
      <c r="I43" s="494"/>
      <c r="J43" s="494"/>
      <c r="K43" s="784"/>
      <c r="L43" s="1142"/>
      <c r="M43" s="1130"/>
      <c r="N43" s="1130"/>
      <c r="O43" s="1143"/>
      <c r="P43" s="3281" t="str">
        <f>A43</f>
        <v>估价对象XX用房的比较价值（楼面单价，元/平方米）</v>
      </c>
      <c r="Q43" s="3282"/>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5" thickBot="1">
      <c r="A49" s="1144"/>
      <c r="B49" s="1145"/>
      <c r="C49" s="761"/>
      <c r="D49" s="759"/>
      <c r="E49" s="759"/>
      <c r="F49" s="759"/>
      <c r="G49" s="759"/>
      <c r="H49" s="759"/>
      <c r="I49" s="759"/>
      <c r="J49" s="759"/>
      <c r="K49" s="1147"/>
      <c r="L49" s="1148"/>
      <c r="M49" s="1144"/>
      <c r="N49" s="1144"/>
      <c r="O49" s="1144"/>
    </row>
    <row r="50" spans="1:17" ht="28">
      <c r="A50" s="684" t="s">
        <v>2747</v>
      </c>
      <c r="B50" s="685" t="s">
        <v>2748</v>
      </c>
      <c r="C50" s="2700" t="s">
        <v>2749</v>
      </c>
      <c r="D50" s="2701" t="s">
        <v>2750</v>
      </c>
      <c r="E50" s="686" t="s">
        <v>2751</v>
      </c>
      <c r="F50" s="687" t="s">
        <v>2752</v>
      </c>
      <c r="G50" s="3217"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213"/>
      <c r="H51" s="3242"/>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4.5"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4.5"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2663</v>
      </c>
      <c r="B64" s="758"/>
      <c r="C64" s="763"/>
      <c r="D64" s="763"/>
      <c r="E64" s="763"/>
      <c r="F64" s="764"/>
      <c r="G64" s="764"/>
      <c r="H64" s="763"/>
      <c r="I64" s="763"/>
      <c r="J64" s="763"/>
      <c r="K64" s="765"/>
      <c r="L64" s="766"/>
      <c r="M64" s="763"/>
      <c r="N64" s="763"/>
      <c r="O64" s="1158"/>
      <c r="P64" s="503"/>
      <c r="Q64" s="504"/>
    </row>
    <row r="65" spans="1:17" s="508" customFormat="1">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4.5" thickBot="1">
      <c r="A67" s="515" t="s">
        <v>2574</v>
      </c>
      <c r="B67" s="516"/>
      <c r="C67" s="517"/>
      <c r="D67" s="518"/>
      <c r="E67" s="518"/>
      <c r="F67" s="518"/>
      <c r="G67" s="518"/>
      <c r="H67" s="518"/>
      <c r="I67" s="518"/>
      <c r="J67" s="518"/>
      <c r="K67" s="518"/>
      <c r="L67" s="518"/>
      <c r="M67" s="519"/>
      <c r="N67" s="519"/>
      <c r="O67" s="520"/>
      <c r="P67" s="504"/>
      <c r="Q67" s="504"/>
    </row>
    <row r="68" spans="1:17" s="117" customFormat="1">
      <c r="A68" s="521" t="s">
        <v>2539</v>
      </c>
      <c r="B68" s="510"/>
      <c r="C68" s="522" t="s">
        <v>2641</v>
      </c>
      <c r="D68" s="523"/>
      <c r="E68" s="523"/>
      <c r="F68" s="523"/>
      <c r="G68" s="523"/>
      <c r="H68" s="523"/>
      <c r="I68" s="523"/>
      <c r="J68" s="523"/>
      <c r="K68" s="523"/>
      <c r="L68" s="524"/>
      <c r="M68" s="525"/>
      <c r="N68" s="1150"/>
      <c r="O68" s="1150"/>
      <c r="P68" s="526"/>
      <c r="Q68" s="504"/>
    </row>
    <row r="69" spans="1:17" s="117" customFormat="1" ht="14.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4.5" thickBot="1">
      <c r="A71" s="534"/>
      <c r="B71" s="535"/>
      <c r="C71" s="536"/>
      <c r="D71" s="536"/>
      <c r="E71" s="536"/>
      <c r="F71" s="536"/>
      <c r="G71" s="536"/>
      <c r="H71" s="536"/>
      <c r="I71" s="536"/>
      <c r="J71" s="536"/>
      <c r="K71" s="536"/>
      <c r="L71" s="536"/>
      <c r="M71" s="537"/>
      <c r="N71" s="1152"/>
      <c r="O71" s="1152"/>
      <c r="P71" s="45"/>
      <c r="Q71" s="504"/>
    </row>
    <row r="72" spans="1:17" ht="28.5" thickTop="1">
      <c r="A72" s="534"/>
      <c r="B72" s="538" t="s">
        <v>2546</v>
      </c>
      <c r="C72" s="539"/>
      <c r="D72" s="539"/>
      <c r="E72" s="539"/>
      <c r="F72" s="539"/>
      <c r="G72" s="539"/>
      <c r="H72" s="539"/>
      <c r="I72" s="539"/>
      <c r="J72" s="539"/>
      <c r="K72" s="540"/>
      <c r="L72" s="541"/>
      <c r="M72" s="542"/>
      <c r="N72" s="1151"/>
      <c r="O72" s="1151"/>
      <c r="P72" s="45"/>
      <c r="Q72" s="504"/>
    </row>
    <row r="73" spans="1:17" ht="14.5" thickBot="1">
      <c r="A73" s="534"/>
      <c r="B73" s="543"/>
      <c r="C73" s="544"/>
      <c r="D73" s="544"/>
      <c r="E73" s="544"/>
      <c r="F73" s="544"/>
      <c r="G73" s="544"/>
      <c r="H73" s="544"/>
      <c r="I73" s="544"/>
      <c r="J73" s="544"/>
      <c r="K73" s="544"/>
      <c r="L73" s="544"/>
      <c r="M73" s="545"/>
      <c r="N73" s="1152"/>
      <c r="O73" s="1152"/>
      <c r="P73" s="45"/>
      <c r="Q73" s="504"/>
    </row>
    <row r="74" spans="1:17" ht="14.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5" thickTop="1">
      <c r="A77" s="553"/>
      <c r="B77" s="538">
        <f>B12</f>
        <v>111</v>
      </c>
      <c r="C77" s="554"/>
      <c r="D77" s="554"/>
      <c r="E77" s="554"/>
      <c r="F77" s="554"/>
      <c r="G77" s="554"/>
      <c r="H77" s="555"/>
      <c r="I77" s="555"/>
      <c r="J77" s="555"/>
      <c r="K77" s="555"/>
      <c r="L77" s="556"/>
      <c r="M77" s="557"/>
      <c r="N77" s="1153"/>
      <c r="O77" s="1153"/>
      <c r="P77" s="558"/>
      <c r="Q77" s="559"/>
    </row>
    <row r="78" spans="1:17" s="471" customFormat="1" ht="14.5" thickBot="1">
      <c r="A78" s="553"/>
      <c r="B78" s="543"/>
      <c r="C78" s="560"/>
      <c r="D78" s="536"/>
      <c r="E78" s="536"/>
      <c r="F78" s="536"/>
      <c r="G78" s="536"/>
      <c r="H78" s="536"/>
      <c r="I78" s="536"/>
      <c r="J78" s="536"/>
      <c r="K78" s="536"/>
      <c r="L78" s="536"/>
      <c r="M78" s="537"/>
      <c r="N78" s="1152"/>
      <c r="O78" s="1152"/>
      <c r="P78" s="558"/>
      <c r="Q78" s="559"/>
    </row>
    <row r="79" spans="1:17" s="471" customFormat="1" ht="14.5" thickTop="1">
      <c r="A79" s="553"/>
      <c r="B79" s="538">
        <f>B13</f>
        <v>111</v>
      </c>
      <c r="C79" s="554"/>
      <c r="D79" s="554"/>
      <c r="E79" s="554"/>
      <c r="F79" s="554"/>
      <c r="G79" s="554"/>
      <c r="H79" s="555"/>
      <c r="I79" s="555"/>
      <c r="J79" s="555"/>
      <c r="K79" s="555"/>
      <c r="L79" s="556"/>
      <c r="M79" s="557"/>
      <c r="N79" s="1153"/>
      <c r="O79" s="1153"/>
      <c r="P79" s="470"/>
      <c r="Q79" s="561"/>
    </row>
    <row r="80" spans="1:17" s="471" customFormat="1" ht="14.5" thickBot="1">
      <c r="A80" s="553"/>
      <c r="B80" s="543"/>
      <c r="C80" s="560"/>
      <c r="D80" s="560"/>
      <c r="E80" s="560"/>
      <c r="F80" s="560"/>
      <c r="G80" s="560"/>
      <c r="H80" s="562"/>
      <c r="I80" s="562"/>
      <c r="J80" s="562"/>
      <c r="K80" s="562"/>
      <c r="L80" s="562"/>
      <c r="M80" s="563"/>
      <c r="N80" s="1153"/>
      <c r="O80" s="1153"/>
      <c r="P80" s="558"/>
      <c r="Q80" s="559"/>
    </row>
    <row r="81" spans="1:17" s="471" customFormat="1" ht="14.5" thickTop="1">
      <c r="A81" s="553"/>
      <c r="B81" s="546">
        <f>B14</f>
        <v>111</v>
      </c>
      <c r="C81" s="523"/>
      <c r="D81" s="523"/>
      <c r="E81" s="523"/>
      <c r="F81" s="523"/>
      <c r="G81" s="523"/>
      <c r="H81" s="564"/>
      <c r="I81" s="564"/>
      <c r="J81" s="564"/>
      <c r="K81" s="564"/>
      <c r="L81" s="565"/>
      <c r="M81" s="566"/>
      <c r="N81" s="1153"/>
      <c r="O81" s="1153"/>
      <c r="P81" s="567"/>
      <c r="Q81" s="559"/>
    </row>
    <row r="82" spans="1:17" s="471" customFormat="1" ht="14.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4.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8.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8.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4.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4.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4.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8.5" thickTop="1">
      <c r="A97" s="534"/>
      <c r="B97" s="538" t="s">
        <v>2680</v>
      </c>
      <c r="C97" s="554"/>
      <c r="D97" s="554"/>
      <c r="E97" s="554"/>
      <c r="F97" s="554"/>
      <c r="G97" s="554"/>
      <c r="H97" s="583"/>
      <c r="I97" s="583"/>
      <c r="J97" s="583"/>
      <c r="K97" s="584"/>
      <c r="L97" s="585"/>
      <c r="M97" s="586"/>
      <c r="N97" s="1151"/>
      <c r="O97" s="1151"/>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4.5" thickTop="1">
      <c r="A99" s="534"/>
      <c r="B99" s="538" t="s">
        <v>2739</v>
      </c>
      <c r="C99" s="583"/>
      <c r="D99" s="583"/>
      <c r="E99" s="583"/>
      <c r="F99" s="583"/>
      <c r="G99" s="583"/>
      <c r="H99" s="583"/>
      <c r="I99" s="583"/>
      <c r="J99" s="583"/>
      <c r="K99" s="584"/>
      <c r="L99" s="585"/>
      <c r="M99" s="586"/>
      <c r="N99" s="1151"/>
      <c r="O99" s="1151"/>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5" thickTop="1">
      <c r="A101" s="534"/>
      <c r="B101" s="546">
        <f>B31</f>
        <v>111</v>
      </c>
      <c r="C101" s="554"/>
      <c r="D101" s="554"/>
      <c r="E101" s="554"/>
      <c r="F101" s="554"/>
      <c r="G101" s="587"/>
      <c r="H101" s="587"/>
      <c r="I101" s="587"/>
      <c r="J101" s="587"/>
      <c r="K101" s="588"/>
      <c r="L101" s="589"/>
      <c r="M101" s="590"/>
      <c r="N101" s="1151"/>
      <c r="O101" s="1151"/>
      <c r="P101" s="45"/>
      <c r="Q101" s="504"/>
    </row>
    <row r="102" spans="1:17" ht="14.5" thickBot="1">
      <c r="A102" s="534"/>
      <c r="B102" s="569"/>
      <c r="C102" s="560"/>
      <c r="D102" s="536"/>
      <c r="E102" s="536"/>
      <c r="F102" s="536"/>
      <c r="G102" s="591"/>
      <c r="H102" s="591"/>
      <c r="I102" s="591"/>
      <c r="J102" s="591"/>
      <c r="K102" s="591"/>
      <c r="L102" s="591"/>
      <c r="M102" s="592"/>
      <c r="N102" s="1152"/>
      <c r="O102" s="1152"/>
      <c r="P102" s="45"/>
      <c r="Q102" s="504"/>
    </row>
    <row r="103" spans="1:17" ht="14.5" thickTop="1">
      <c r="A103" s="675"/>
      <c r="B103" s="538">
        <f>B32</f>
        <v>111</v>
      </c>
      <c r="C103" s="554"/>
      <c r="D103" s="554"/>
      <c r="E103" s="554"/>
      <c r="F103" s="554"/>
      <c r="G103" s="583"/>
      <c r="H103" s="583"/>
      <c r="I103" s="583"/>
      <c r="J103" s="583"/>
      <c r="K103" s="584"/>
      <c r="L103" s="585"/>
      <c r="M103" s="586"/>
      <c r="N103" s="1151"/>
      <c r="O103" s="1151"/>
      <c r="P103" s="45"/>
      <c r="Q103" s="504"/>
    </row>
    <row r="104" spans="1:17" ht="14.5" thickBot="1">
      <c r="A104" s="534"/>
      <c r="B104" s="543"/>
      <c r="C104" s="560"/>
      <c r="D104" s="560"/>
      <c r="E104" s="560"/>
      <c r="F104" s="560"/>
      <c r="G104" s="536"/>
      <c r="H104" s="536"/>
      <c r="I104" s="536"/>
      <c r="J104" s="536"/>
      <c r="K104" s="536"/>
      <c r="L104" s="536"/>
      <c r="M104" s="537"/>
      <c r="N104" s="1152"/>
      <c r="O104" s="1152"/>
      <c r="P104" s="45"/>
      <c r="Q104" s="504"/>
    </row>
    <row r="105" spans="1:17" s="471" customFormat="1" ht="14.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5" thickBot="1">
      <c r="A109" s="534"/>
      <c r="B109" s="543"/>
      <c r="C109" s="570"/>
      <c r="D109" s="591"/>
      <c r="E109" s="591"/>
      <c r="F109" s="591"/>
      <c r="G109" s="591"/>
      <c r="H109" s="591"/>
      <c r="I109" s="591"/>
      <c r="J109" s="591"/>
      <c r="K109" s="591"/>
      <c r="L109" s="591"/>
      <c r="M109" s="592"/>
      <c r="N109" s="1152"/>
      <c r="O109" s="1152"/>
      <c r="P109" s="45"/>
      <c r="Q109" s="504"/>
    </row>
    <row r="110" spans="1:17" ht="14.5" thickTop="1">
      <c r="A110" s="599"/>
      <c r="B110" s="538" t="s">
        <v>2781</v>
      </c>
      <c r="C110" s="583"/>
      <c r="D110" s="583"/>
      <c r="E110" s="583"/>
      <c r="F110" s="583"/>
      <c r="G110" s="583"/>
      <c r="H110" s="583"/>
      <c r="I110" s="583"/>
      <c r="J110" s="583"/>
      <c r="K110" s="584"/>
      <c r="L110" s="585"/>
      <c r="M110" s="586"/>
      <c r="N110" s="1151"/>
      <c r="O110" s="1151"/>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4.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4.5" thickTop="1">
      <c r="A114" s="599"/>
      <c r="B114" s="538" t="s">
        <v>2784</v>
      </c>
      <c r="C114" s="554"/>
      <c r="D114" s="554"/>
      <c r="E114" s="583"/>
      <c r="F114" s="583"/>
      <c r="G114" s="583"/>
      <c r="H114" s="583"/>
      <c r="I114" s="583"/>
      <c r="J114" s="583"/>
      <c r="K114" s="584"/>
      <c r="L114" s="585"/>
      <c r="M114" s="586"/>
      <c r="N114" s="1151"/>
      <c r="O114" s="1151"/>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5" thickTop="1">
      <c r="A116" s="599"/>
      <c r="B116" s="538">
        <f>B38</f>
        <v>111</v>
      </c>
      <c r="C116" s="554"/>
      <c r="D116" s="554"/>
      <c r="E116" s="554"/>
      <c r="F116" s="554"/>
      <c r="G116" s="554"/>
      <c r="H116" s="583"/>
      <c r="I116" s="583"/>
      <c r="J116" s="583"/>
      <c r="K116" s="584"/>
      <c r="L116" s="585"/>
      <c r="M116" s="586"/>
      <c r="N116" s="1151"/>
      <c r="O116" s="1151"/>
      <c r="P116" s="45"/>
      <c r="Q116" s="504"/>
    </row>
    <row r="117" spans="1:17" ht="14.5" thickBot="1">
      <c r="A117" s="534"/>
      <c r="B117" s="543"/>
      <c r="C117" s="560"/>
      <c r="D117" s="536"/>
      <c r="E117" s="536"/>
      <c r="F117" s="536"/>
      <c r="G117" s="536"/>
      <c r="H117" s="536"/>
      <c r="I117" s="536"/>
      <c r="J117" s="536"/>
      <c r="K117" s="536"/>
      <c r="L117" s="536"/>
      <c r="M117" s="537"/>
      <c r="N117" s="1152"/>
      <c r="O117" s="1152"/>
      <c r="P117" s="45"/>
      <c r="Q117" s="504"/>
    </row>
    <row r="118" spans="1:17" ht="14.5" thickTop="1">
      <c r="A118" s="599"/>
      <c r="B118" s="538">
        <f>B39</f>
        <v>111</v>
      </c>
      <c r="C118" s="554"/>
      <c r="D118" s="554"/>
      <c r="E118" s="554"/>
      <c r="F118" s="554"/>
      <c r="G118" s="583"/>
      <c r="H118" s="583"/>
      <c r="I118" s="583"/>
      <c r="J118" s="583"/>
      <c r="K118" s="584"/>
      <c r="L118" s="585"/>
      <c r="M118" s="586"/>
      <c r="N118" s="1151"/>
      <c r="O118" s="1151"/>
      <c r="P118" s="45"/>
      <c r="Q118" s="504"/>
    </row>
    <row r="119" spans="1:17" ht="14.5" thickBot="1">
      <c r="A119" s="534"/>
      <c r="B119" s="543"/>
      <c r="C119" s="560"/>
      <c r="D119" s="560"/>
      <c r="E119" s="560"/>
      <c r="F119" s="560"/>
      <c r="G119" s="536"/>
      <c r="H119" s="536"/>
      <c r="I119" s="536"/>
      <c r="J119" s="536"/>
      <c r="K119" s="536"/>
      <c r="L119" s="536"/>
      <c r="M119" s="537"/>
      <c r="N119" s="1152"/>
      <c r="O119" s="1152"/>
      <c r="P119" s="45"/>
      <c r="Q119" s="504"/>
    </row>
    <row r="120" spans="1:17" s="471" customFormat="1" ht="14.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5"/>
  <cols>
    <col min="1" max="1" width="9.7265625" style="2783" customWidth="1"/>
    <col min="2" max="2" width="19.26953125" style="2889" customWidth="1"/>
    <col min="3" max="4" width="12" style="2715"/>
    <col min="5" max="5" width="14.6328125" style="2715" customWidth="1"/>
    <col min="6" max="8" width="12" style="2715"/>
    <col min="9" max="9" width="12.26953125" style="2715" bestFit="1" customWidth="1"/>
    <col min="10" max="10" width="12" style="2715"/>
    <col min="11" max="11" width="8.08984375" style="2778" customWidth="1"/>
    <col min="12" max="12" width="12" style="2715"/>
    <col min="13" max="13" width="8.453125" style="2715" customWidth="1"/>
    <col min="14" max="14" width="9.7265625" style="2715" customWidth="1"/>
    <col min="15" max="25" width="12" style="2715"/>
    <col min="26" max="26" width="9.36328125" style="2783" customWidth="1"/>
    <col min="27" max="32" width="9.36328125" style="1370" customWidth="1"/>
    <col min="33" max="36" width="9.36328125" style="2783" customWidth="1"/>
    <col min="37" max="38" width="9.36328125" style="2715" customWidth="1"/>
    <col min="39" max="16384" width="12" style="2715"/>
  </cols>
  <sheetData>
    <row r="1" spans="1:36" ht="30">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5">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
      <c r="A3" s="247" t="s">
        <v>2807</v>
      </c>
      <c r="B3" s="248">
        <f ca="1">ROUND(B2*10000/D1,0)</f>
        <v>0</v>
      </c>
      <c r="C3" s="2716" t="s">
        <v>2808</v>
      </c>
      <c r="D3" s="2717" t="s">
        <v>2809</v>
      </c>
      <c r="E3" s="2722" t="s">
        <v>3071</v>
      </c>
      <c r="F3" s="2723" t="s">
        <v>3072</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5">
      <c r="A4" s="3309"/>
      <c r="B4" s="3310"/>
      <c r="C4" s="3310"/>
      <c r="D4" s="3311"/>
      <c r="E4" s="3311"/>
      <c r="F4" s="3311"/>
      <c r="G4" s="3311"/>
      <c r="H4" s="3311"/>
      <c r="I4" s="3311"/>
      <c r="J4" s="3312"/>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6"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6"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6">
      <c r="A7" s="3293"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5">
      <c r="A8" s="3313"/>
      <c r="B8" s="198" t="s">
        <v>2825</v>
      </c>
      <c r="C8" s="2745" t="s">
        <v>3073</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6" t="s">
        <v>2828</v>
      </c>
      <c r="X8" s="3307"/>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5">
      <c r="A9" s="3313"/>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08"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5">
      <c r="A10" s="3313"/>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6" thickBot="1">
      <c r="A11" s="3313"/>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08"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6.5" thickBot="1">
      <c r="A12" s="3293"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08"/>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6">
      <c r="A13" s="3314"/>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308"/>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5">
      <c r="A14" s="3314"/>
      <c r="B14" s="2763"/>
      <c r="C14" s="2764" t="s">
        <v>3053</v>
      </c>
      <c r="D14" s="2765" t="s">
        <v>3053</v>
      </c>
      <c r="E14" s="2765" t="s">
        <v>3053</v>
      </c>
      <c r="F14" s="2766" t="s">
        <v>3074</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6" thickBot="1">
      <c r="A15" s="3315"/>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5" customHeight="1">
      <c r="A16" s="3293" t="s">
        <v>2871</v>
      </c>
      <c r="B16" s="2740" t="s">
        <v>2872</v>
      </c>
      <c r="C16" s="2927">
        <f>ROUND(IF(F17="与级别开发程度一致",0,(G17-E17)/C17),0)</f>
        <v>0</v>
      </c>
      <c r="D16" s="3304" t="s">
        <v>2876</v>
      </c>
      <c r="E16" s="3305"/>
      <c r="F16" s="3304" t="s">
        <v>2873</v>
      </c>
      <c r="G16" s="3305"/>
      <c r="H16" s="2774" t="s">
        <v>3055</v>
      </c>
      <c r="I16" s="2774" t="s">
        <v>3056</v>
      </c>
      <c r="J16" s="2931" t="s">
        <v>3060</v>
      </c>
      <c r="K16" s="2774" t="s">
        <v>3057</v>
      </c>
      <c r="L16" s="2774" t="s">
        <v>3058</v>
      </c>
      <c r="M16" s="2774" t="s">
        <v>3059</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5.5" thickBot="1">
      <c r="A17" s="329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3075</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4.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8.5"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43908</v>
      </c>
      <c r="H19" s="2785" t="s">
        <v>3076</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8.5" thickBot="1">
      <c r="A20" s="2791" t="s">
        <v>810</v>
      </c>
      <c r="B20" s="2792" t="s">
        <v>2884</v>
      </c>
      <c r="C20" s="928">
        <f ca="1">ROUND(POWER(1+G20,J20-I20)*(POWER(1+G20,I20)-1)/(POWER(1+G20,J20)-1),4)</f>
        <v>0.95689999999999997</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42</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4">
      <c r="A21" s="2798" t="s">
        <v>811</v>
      </c>
      <c r="B21" s="2799" t="s">
        <v>3077</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5">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8.5"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4.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4.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4">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4.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4.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6.5"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6">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0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
      <c r="A34" s="330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ht="13">
      <c r="A35" s="330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5" thickBot="1">
      <c r="A36" s="330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ht="13">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ht="13">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5"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6">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4.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4">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6">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6">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62.5">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6">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2">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6">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0">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25.5"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6">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87.5">
      <c r="A59" s="2865" t="s">
        <v>2950</v>
      </c>
      <c r="B59" s="2868" t="str">
        <f>估价对象房地状况!C17</f>
        <v>估价对象位于中关村软件园丰台科技园区，周边办公楼项目较多，如：诺德中心二期、三期、华夏幸福中心等，入驻率高，办公集聚程度较好</v>
      </c>
      <c r="C59" s="2765" t="s">
        <v>3078</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62.5">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3078</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6">
      <c r="A61" s="2865" t="s">
        <v>2939</v>
      </c>
      <c r="B61" s="2869">
        <f>估价对象房地状况!C19</f>
        <v>0</v>
      </c>
      <c r="C61" s="2765" t="s">
        <v>3078</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52">
      <c r="A62" s="2865" t="s">
        <v>2940</v>
      </c>
      <c r="B62" s="2870" t="s">
        <v>2941</v>
      </c>
      <c r="C62" s="2765" t="s">
        <v>3078</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6">
      <c r="A63" s="2865" t="s">
        <v>2942</v>
      </c>
      <c r="B63" s="2869">
        <f>估价对象房地状况!C24</f>
        <v>0</v>
      </c>
      <c r="C63" s="2765" t="s">
        <v>3078</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6">
      <c r="A64" s="2865" t="s">
        <v>2943</v>
      </c>
      <c r="B64" s="2871" t="s">
        <v>2944</v>
      </c>
      <c r="C64" s="2765" t="s">
        <v>3078</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50">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3078</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6">
      <c r="A66" s="2865" t="s">
        <v>2946</v>
      </c>
      <c r="B66" s="1723" t="str">
        <f>估价对象房地状况!C22</f>
        <v>区域基础设施水平为七通</v>
      </c>
      <c r="C66" s="2765" t="s">
        <v>3078</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25.5"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3078</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4">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6">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6">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62.5">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6">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50">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6">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26">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25">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26.5"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4">
      <c r="A79" s="2861" t="s">
        <v>2955</v>
      </c>
      <c r="B79" s="2862">
        <f>1+E81</f>
        <v>1</v>
      </c>
      <c r="C79" s="813"/>
      <c r="D79" s="813"/>
      <c r="E79" s="814"/>
      <c r="F79" s="2864"/>
      <c r="G79" s="6"/>
      <c r="H79" s="6"/>
      <c r="I79" s="6"/>
      <c r="J79" s="7"/>
      <c r="K79" s="7"/>
      <c r="L79" s="7"/>
      <c r="M79" s="7"/>
      <c r="N79" s="7"/>
      <c r="Z79" s="2715"/>
      <c r="AA79" s="2783"/>
      <c r="AG79" s="1370"/>
      <c r="AK79" s="2783"/>
    </row>
    <row r="80" spans="1:37" ht="26">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7.5">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50">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6">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4">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6">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6">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26">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50.5"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ht="13">
      <c r="A90" s="3295" t="s">
        <v>2959</v>
      </c>
      <c r="B90" s="3295"/>
      <c r="C90" s="3295"/>
      <c r="D90" s="3295"/>
      <c r="E90" s="3295"/>
      <c r="F90" s="3295"/>
      <c r="G90" s="3295"/>
      <c r="H90" s="3295"/>
      <c r="I90" s="3295"/>
      <c r="J90" s="3295"/>
      <c r="K90" s="2879"/>
      <c r="L90" s="2879"/>
      <c r="M90" s="2879"/>
      <c r="N90" s="2879"/>
    </row>
    <row r="91" spans="1:37" ht="13">
      <c r="A91" s="3297" t="s">
        <v>2960</v>
      </c>
      <c r="B91" s="3297" t="s">
        <v>2961</v>
      </c>
      <c r="C91" s="2833" t="s">
        <v>2962</v>
      </c>
      <c r="D91" s="2834"/>
      <c r="E91" s="2834"/>
      <c r="F91" s="2834"/>
      <c r="G91" s="2834"/>
      <c r="H91" s="2834"/>
      <c r="I91" s="2834"/>
      <c r="J91" s="2880"/>
      <c r="K91" s="2881"/>
      <c r="L91" s="2881"/>
      <c r="M91" s="2881"/>
      <c r="N91" s="2881"/>
    </row>
    <row r="92" spans="1:37" ht="13">
      <c r="A92" s="3297"/>
      <c r="B92" s="329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9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ht="13">
      <c r="A99" s="329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0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ht="13">
      <c r="A101" s="329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29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29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29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29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29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29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299"/>
      <c r="B108" s="3124"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00"/>
      <c r="B109" s="3125"/>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ht="13">
      <c r="A110" s="3296" t="s">
        <v>2967</v>
      </c>
      <c r="B110" s="3296"/>
      <c r="C110" s="3296"/>
      <c r="D110" s="3296"/>
      <c r="E110" s="3296"/>
      <c r="F110" s="3296"/>
      <c r="G110" s="3296"/>
      <c r="H110" s="3296"/>
      <c r="I110" s="3296"/>
      <c r="J110" s="3296"/>
      <c r="K110" s="2888"/>
      <c r="L110" s="2888"/>
      <c r="M110" s="2888"/>
      <c r="N110" s="2888"/>
    </row>
    <row r="112" spans="1:14" ht="13" thickBot="1"/>
    <row r="113" spans="1:13" ht="26"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ht="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ht="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ht="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ht="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6953125" defaultRowHeight="19.5" customHeight="1"/>
  <cols>
    <col min="1" max="1" width="13.6328125" style="815" customWidth="1"/>
    <col min="2" max="9" width="8.26953125" style="877" customWidth="1"/>
    <col min="10" max="13" width="8.26953125" style="815"/>
    <col min="14" max="14" width="10" style="815" customWidth="1"/>
    <col min="15" max="16" width="8.26953125" style="815"/>
    <col min="17" max="17" width="34.08984375" style="815" customWidth="1"/>
    <col min="18" max="18" width="8.26953125" style="815" customWidth="1"/>
    <col min="19" max="19" width="8.26953125" style="815"/>
    <col min="20" max="20" width="11.6328125" style="815" customWidth="1"/>
    <col min="21" max="16384" width="8.26953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
      <c r="A60" s="939"/>
      <c r="B60" s="939"/>
      <c r="C60" s="939" t="s">
        <v>745</v>
      </c>
      <c r="D60" s="939"/>
      <c r="E60" s="894" t="s">
        <v>1</v>
      </c>
      <c r="F60" s="939" t="s">
        <v>1</v>
      </c>
    </row>
    <row r="61" spans="1:8" s="877" customFormat="1" ht="26">
      <c r="A61" s="881">
        <v>1</v>
      </c>
      <c r="B61" s="3316" t="s">
        <v>614</v>
      </c>
      <c r="C61" s="817" t="s">
        <v>615</v>
      </c>
      <c r="D61" s="817" t="s">
        <v>616</v>
      </c>
      <c r="E61" s="894">
        <v>0.5</v>
      </c>
      <c r="F61" s="881">
        <v>80</v>
      </c>
    </row>
    <row r="62" spans="1:8" s="877" customFormat="1" ht="26">
      <c r="A62" s="881">
        <v>2</v>
      </c>
      <c r="B62" s="3316"/>
      <c r="C62" s="817" t="s">
        <v>617</v>
      </c>
      <c r="D62" s="817" t="s">
        <v>618</v>
      </c>
      <c r="E62" s="894">
        <v>0.5</v>
      </c>
      <c r="F62" s="881">
        <v>80</v>
      </c>
    </row>
    <row r="63" spans="1:8" s="877" customFormat="1" ht="39">
      <c r="A63" s="881">
        <v>3</v>
      </c>
      <c r="B63" s="3316"/>
      <c r="C63" s="817" t="s">
        <v>619</v>
      </c>
      <c r="D63" s="817" t="s">
        <v>620</v>
      </c>
      <c r="E63" s="894">
        <v>0.5</v>
      </c>
      <c r="F63" s="881">
        <v>80</v>
      </c>
    </row>
    <row r="64" spans="1:8" s="877" customFormat="1" ht="39">
      <c r="A64" s="881">
        <v>4</v>
      </c>
      <c r="B64" s="3316"/>
      <c r="C64" s="817" t="s">
        <v>621</v>
      </c>
      <c r="D64" s="817" t="s">
        <v>622</v>
      </c>
      <c r="E64" s="894">
        <v>0.4</v>
      </c>
      <c r="F64" s="881">
        <v>60</v>
      </c>
    </row>
    <row r="65" spans="1:6" s="877" customFormat="1" ht="39">
      <c r="A65" s="881">
        <v>5</v>
      </c>
      <c r="B65" s="3316"/>
      <c r="C65" s="817" t="s">
        <v>623</v>
      </c>
      <c r="D65" s="817" t="s">
        <v>624</v>
      </c>
      <c r="E65" s="894">
        <v>0.2</v>
      </c>
      <c r="F65" s="881">
        <v>30</v>
      </c>
    </row>
    <row r="66" spans="1:6" s="877" customFormat="1" ht="39">
      <c r="A66" s="881">
        <v>6</v>
      </c>
      <c r="B66" s="3316"/>
      <c r="C66" s="817" t="s">
        <v>625</v>
      </c>
      <c r="D66" s="817" t="s">
        <v>626</v>
      </c>
      <c r="E66" s="894">
        <v>0.3</v>
      </c>
      <c r="F66" s="881">
        <v>50</v>
      </c>
    </row>
    <row r="67" spans="1:6" s="877" customFormat="1" ht="39">
      <c r="A67" s="881">
        <v>7</v>
      </c>
      <c r="B67" s="3316"/>
      <c r="C67" s="817" t="s">
        <v>627</v>
      </c>
      <c r="D67" s="817" t="s">
        <v>628</v>
      </c>
      <c r="E67" s="894">
        <v>0.2</v>
      </c>
      <c r="F67" s="881">
        <v>30</v>
      </c>
    </row>
    <row r="68" spans="1:6" s="877" customFormat="1" ht="39">
      <c r="A68" s="881">
        <v>8</v>
      </c>
      <c r="B68" s="3316"/>
      <c r="C68" s="817" t="s">
        <v>629</v>
      </c>
      <c r="D68" s="817" t="s">
        <v>630</v>
      </c>
      <c r="E68" s="894">
        <v>0.2</v>
      </c>
      <c r="F68" s="881">
        <v>30</v>
      </c>
    </row>
    <row r="69" spans="1:6" s="877" customFormat="1" ht="39">
      <c r="A69" s="881">
        <v>9</v>
      </c>
      <c r="B69" s="3316"/>
      <c r="C69" s="817" t="s">
        <v>631</v>
      </c>
      <c r="D69" s="817" t="s">
        <v>632</v>
      </c>
      <c r="E69" s="894">
        <v>0.2</v>
      </c>
      <c r="F69" s="881">
        <v>30</v>
      </c>
    </row>
    <row r="70" spans="1:6" s="877" customFormat="1" ht="52">
      <c r="A70" s="881">
        <v>10</v>
      </c>
      <c r="B70" s="3316"/>
      <c r="C70" s="817" t="s">
        <v>633</v>
      </c>
      <c r="D70" s="817" t="s">
        <v>634</v>
      </c>
      <c r="E70" s="894">
        <v>0.2</v>
      </c>
      <c r="F70" s="881">
        <v>30</v>
      </c>
    </row>
    <row r="71" spans="1:6" s="877" customFormat="1" ht="52">
      <c r="A71" s="881">
        <v>11</v>
      </c>
      <c r="B71" s="3316"/>
      <c r="C71" s="817" t="s">
        <v>635</v>
      </c>
      <c r="D71" s="817" t="s">
        <v>636</v>
      </c>
      <c r="E71" s="894">
        <v>0.2</v>
      </c>
      <c r="F71" s="881">
        <v>30</v>
      </c>
    </row>
    <row r="72" spans="1:6" s="877" customFormat="1" ht="39">
      <c r="A72" s="881">
        <v>12</v>
      </c>
      <c r="B72" s="3316"/>
      <c r="C72" s="817" t="s">
        <v>637</v>
      </c>
      <c r="D72" s="817" t="s">
        <v>638</v>
      </c>
      <c r="E72" s="894">
        <v>0.5</v>
      </c>
      <c r="F72" s="881">
        <v>80</v>
      </c>
    </row>
    <row r="73" spans="1:6" s="877" customFormat="1" ht="26">
      <c r="A73" s="881">
        <v>13</v>
      </c>
      <c r="B73" s="3316"/>
      <c r="C73" s="817" t="s">
        <v>639</v>
      </c>
      <c r="D73" s="817" t="s">
        <v>640</v>
      </c>
      <c r="E73" s="894">
        <v>0.4</v>
      </c>
      <c r="F73" s="881">
        <v>60</v>
      </c>
    </row>
    <row r="74" spans="1:6" s="877" customFormat="1" ht="26">
      <c r="A74" s="881">
        <v>14</v>
      </c>
      <c r="B74" s="3316"/>
      <c r="C74" s="817" t="s">
        <v>641</v>
      </c>
      <c r="D74" s="817" t="s">
        <v>642</v>
      </c>
      <c r="E74" s="894">
        <v>0.2</v>
      </c>
      <c r="F74" s="881">
        <v>30</v>
      </c>
    </row>
    <row r="75" spans="1:6" s="877" customFormat="1" ht="26">
      <c r="A75" s="881">
        <v>15</v>
      </c>
      <c r="B75" s="3316"/>
      <c r="C75" s="817" t="s">
        <v>643</v>
      </c>
      <c r="D75" s="817" t="s">
        <v>644</v>
      </c>
      <c r="E75" s="894">
        <v>0.2</v>
      </c>
      <c r="F75" s="881">
        <v>30</v>
      </c>
    </row>
    <row r="76" spans="1:6" s="877" customFormat="1" ht="26">
      <c r="A76" s="881">
        <v>16</v>
      </c>
      <c r="B76" s="3316" t="s">
        <v>645</v>
      </c>
      <c r="C76" s="817" t="s">
        <v>646</v>
      </c>
      <c r="D76" s="817" t="s">
        <v>647</v>
      </c>
      <c r="E76" s="894">
        <v>0.5</v>
      </c>
      <c r="F76" s="881">
        <v>80</v>
      </c>
    </row>
    <row r="77" spans="1:6" s="877" customFormat="1" ht="26">
      <c r="A77" s="881">
        <v>17</v>
      </c>
      <c r="B77" s="3316"/>
      <c r="C77" s="817" t="s">
        <v>648</v>
      </c>
      <c r="D77" s="817" t="s">
        <v>649</v>
      </c>
      <c r="E77" s="894">
        <v>0.5</v>
      </c>
      <c r="F77" s="881">
        <v>80</v>
      </c>
    </row>
    <row r="78" spans="1:6" s="877" customFormat="1" ht="26">
      <c r="A78" s="881">
        <v>18</v>
      </c>
      <c r="B78" s="3316"/>
      <c r="C78" s="817" t="s">
        <v>650</v>
      </c>
      <c r="D78" s="817" t="s">
        <v>651</v>
      </c>
      <c r="E78" s="894">
        <v>0.2</v>
      </c>
      <c r="F78" s="881">
        <v>30</v>
      </c>
    </row>
    <row r="79" spans="1:6" s="877" customFormat="1" ht="26">
      <c r="A79" s="881">
        <v>19</v>
      </c>
      <c r="B79" s="3316"/>
      <c r="C79" s="817" t="s">
        <v>652</v>
      </c>
      <c r="D79" s="817" t="s">
        <v>653</v>
      </c>
      <c r="E79" s="894">
        <v>0.5</v>
      </c>
      <c r="F79" s="881">
        <v>80</v>
      </c>
    </row>
    <row r="80" spans="1:6" s="877" customFormat="1" ht="39">
      <c r="A80" s="881">
        <v>20</v>
      </c>
      <c r="B80" s="3316"/>
      <c r="C80" s="817" t="s">
        <v>654</v>
      </c>
      <c r="D80" s="817" t="s">
        <v>655</v>
      </c>
      <c r="E80" s="894">
        <v>0.2</v>
      </c>
      <c r="F80" s="881">
        <v>30</v>
      </c>
    </row>
    <row r="81" spans="1:6" s="877" customFormat="1" ht="39">
      <c r="A81" s="881">
        <v>21</v>
      </c>
      <c r="B81" s="3316"/>
      <c r="C81" s="817" t="s">
        <v>656</v>
      </c>
      <c r="D81" s="817" t="s">
        <v>657</v>
      </c>
      <c r="E81" s="894">
        <v>0.2</v>
      </c>
      <c r="F81" s="881">
        <v>30</v>
      </c>
    </row>
    <row r="82" spans="1:6" s="877" customFormat="1" ht="52">
      <c r="A82" s="881">
        <v>22</v>
      </c>
      <c r="B82" s="3316"/>
      <c r="C82" s="817" t="s">
        <v>658</v>
      </c>
      <c r="D82" s="817" t="s">
        <v>659</v>
      </c>
      <c r="E82" s="894">
        <v>0.2</v>
      </c>
      <c r="F82" s="881">
        <v>30</v>
      </c>
    </row>
    <row r="83" spans="1:6" s="877" customFormat="1" ht="52">
      <c r="A83" s="881">
        <v>23</v>
      </c>
      <c r="B83" s="3316"/>
      <c r="C83" s="817" t="s">
        <v>660</v>
      </c>
      <c r="D83" s="817" t="s">
        <v>661</v>
      </c>
      <c r="E83" s="894">
        <v>0.2</v>
      </c>
      <c r="F83" s="881">
        <v>30</v>
      </c>
    </row>
    <row r="84" spans="1:6" s="877" customFormat="1" ht="39">
      <c r="A84" s="881">
        <v>24</v>
      </c>
      <c r="B84" s="3316"/>
      <c r="C84" s="817" t="s">
        <v>662</v>
      </c>
      <c r="D84" s="817" t="s">
        <v>663</v>
      </c>
      <c r="E84" s="894">
        <v>0.2</v>
      </c>
      <c r="F84" s="881">
        <v>30</v>
      </c>
    </row>
    <row r="85" spans="1:6" s="877" customFormat="1" ht="39">
      <c r="A85" s="881">
        <v>25</v>
      </c>
      <c r="B85" s="3316"/>
      <c r="C85" s="817" t="s">
        <v>664</v>
      </c>
      <c r="D85" s="817" t="s">
        <v>665</v>
      </c>
      <c r="E85" s="894">
        <v>0.5</v>
      </c>
      <c r="F85" s="881">
        <v>80</v>
      </c>
    </row>
    <row r="86" spans="1:6" s="877" customFormat="1" ht="39">
      <c r="A86" s="881">
        <v>26</v>
      </c>
      <c r="B86" s="3316"/>
      <c r="C86" s="817" t="s">
        <v>666</v>
      </c>
      <c r="D86" s="817" t="s">
        <v>667</v>
      </c>
      <c r="E86" s="894">
        <v>0.2</v>
      </c>
      <c r="F86" s="881">
        <v>30</v>
      </c>
    </row>
    <row r="87" spans="1:6" s="877" customFormat="1" ht="39">
      <c r="A87" s="881">
        <v>27</v>
      </c>
      <c r="B87" s="3316"/>
      <c r="C87" s="817" t="s">
        <v>668</v>
      </c>
      <c r="D87" s="817" t="s">
        <v>669</v>
      </c>
      <c r="E87" s="894">
        <v>0.2</v>
      </c>
      <c r="F87" s="881">
        <v>30</v>
      </c>
    </row>
    <row r="88" spans="1:6" s="877" customFormat="1" ht="39">
      <c r="A88" s="881">
        <v>28</v>
      </c>
      <c r="B88" s="3316"/>
      <c r="C88" s="817" t="s">
        <v>670</v>
      </c>
      <c r="D88" s="817" t="s">
        <v>671</v>
      </c>
      <c r="E88" s="894">
        <v>0.2</v>
      </c>
      <c r="F88" s="881">
        <v>30</v>
      </c>
    </row>
    <row r="89" spans="1:6" s="877" customFormat="1" ht="26">
      <c r="A89" s="881">
        <v>29</v>
      </c>
      <c r="B89" s="3316"/>
      <c r="C89" s="817" t="s">
        <v>672</v>
      </c>
      <c r="D89" s="817" t="s">
        <v>673</v>
      </c>
      <c r="E89" s="894">
        <v>0.2</v>
      </c>
      <c r="F89" s="881">
        <v>30</v>
      </c>
    </row>
    <row r="90" spans="1:6" s="877" customFormat="1" ht="26">
      <c r="A90" s="881">
        <v>30</v>
      </c>
      <c r="B90" s="3316"/>
      <c r="C90" s="817" t="s">
        <v>674</v>
      </c>
      <c r="D90" s="817" t="s">
        <v>675</v>
      </c>
      <c r="E90" s="894">
        <v>0.2</v>
      </c>
      <c r="F90" s="881">
        <v>30</v>
      </c>
    </row>
    <row r="91" spans="1:6" s="877" customFormat="1" ht="39">
      <c r="A91" s="881">
        <v>31</v>
      </c>
      <c r="B91" s="3316"/>
      <c r="C91" s="817" t="s">
        <v>676</v>
      </c>
      <c r="D91" s="817" t="s">
        <v>677</v>
      </c>
      <c r="E91" s="894">
        <v>0.2</v>
      </c>
      <c r="F91" s="881">
        <v>30</v>
      </c>
    </row>
    <row r="92" spans="1:6" s="877" customFormat="1" ht="26">
      <c r="A92" s="881">
        <v>32</v>
      </c>
      <c r="B92" s="3316" t="s">
        <v>678</v>
      </c>
      <c r="C92" s="881" t="s">
        <v>679</v>
      </c>
      <c r="D92" s="817" t="s">
        <v>680</v>
      </c>
      <c r="E92" s="894">
        <v>0.2</v>
      </c>
      <c r="F92" s="881">
        <v>30</v>
      </c>
    </row>
    <row r="93" spans="1:6" s="877" customFormat="1" ht="39">
      <c r="A93" s="881">
        <v>33</v>
      </c>
      <c r="B93" s="3316"/>
      <c r="C93" s="881" t="s">
        <v>681</v>
      </c>
      <c r="D93" s="817" t="s">
        <v>682</v>
      </c>
      <c r="E93" s="894">
        <v>0.2</v>
      </c>
      <c r="F93" s="881">
        <v>30</v>
      </c>
    </row>
    <row r="94" spans="1:6" s="877" customFormat="1" ht="52">
      <c r="A94" s="881">
        <v>34</v>
      </c>
      <c r="B94" s="3316"/>
      <c r="C94" s="881" t="s">
        <v>683</v>
      </c>
      <c r="D94" s="817" t="s">
        <v>684</v>
      </c>
      <c r="E94" s="894">
        <v>0.2</v>
      </c>
      <c r="F94" s="881">
        <v>30</v>
      </c>
    </row>
    <row r="95" spans="1:6" s="877" customFormat="1" ht="39">
      <c r="A95" s="881">
        <v>35</v>
      </c>
      <c r="B95" s="3316"/>
      <c r="C95" s="881" t="s">
        <v>685</v>
      </c>
      <c r="D95" s="817" t="s">
        <v>686</v>
      </c>
      <c r="E95" s="894">
        <v>0.2</v>
      </c>
      <c r="F95" s="881">
        <v>30</v>
      </c>
    </row>
    <row r="96" spans="1:6" s="877" customFormat="1" ht="52">
      <c r="A96" s="881">
        <v>36</v>
      </c>
      <c r="B96" s="3316"/>
      <c r="C96" s="817" t="s">
        <v>687</v>
      </c>
      <c r="D96" s="817" t="s">
        <v>688</v>
      </c>
      <c r="E96" s="894">
        <v>0.2</v>
      </c>
      <c r="F96" s="881">
        <v>30</v>
      </c>
    </row>
    <row r="97" spans="1:6" s="877" customFormat="1" ht="39">
      <c r="A97" s="881">
        <v>37</v>
      </c>
      <c r="B97" s="3316"/>
      <c r="C97" s="881" t="s">
        <v>689</v>
      </c>
      <c r="D97" s="817" t="s">
        <v>690</v>
      </c>
      <c r="E97" s="894">
        <v>0.2</v>
      </c>
      <c r="F97" s="881">
        <v>30</v>
      </c>
    </row>
    <row r="98" spans="1:6" s="877" customFormat="1" ht="39">
      <c r="A98" s="881">
        <v>38</v>
      </c>
      <c r="B98" s="3316"/>
      <c r="C98" s="881" t="s">
        <v>691</v>
      </c>
      <c r="D98" s="817" t="s">
        <v>692</v>
      </c>
      <c r="E98" s="894">
        <v>0.2</v>
      </c>
      <c r="F98" s="881">
        <v>30</v>
      </c>
    </row>
    <row r="99" spans="1:6" s="877" customFormat="1" ht="39">
      <c r="A99" s="881">
        <v>39</v>
      </c>
      <c r="B99" s="3316" t="s">
        <v>693</v>
      </c>
      <c r="C99" s="881" t="s">
        <v>694</v>
      </c>
      <c r="D99" s="817" t="s">
        <v>695</v>
      </c>
      <c r="E99" s="894">
        <v>0.3</v>
      </c>
      <c r="F99" s="881">
        <v>50</v>
      </c>
    </row>
    <row r="100" spans="1:6" s="877" customFormat="1" ht="26">
      <c r="A100" s="881">
        <v>40</v>
      </c>
      <c r="B100" s="3316"/>
      <c r="C100" s="881" t="s">
        <v>696</v>
      </c>
      <c r="D100" s="817" t="s">
        <v>697</v>
      </c>
      <c r="E100" s="894">
        <v>0.2</v>
      </c>
      <c r="F100" s="881">
        <v>30</v>
      </c>
    </row>
    <row r="101" spans="1:6" s="877" customFormat="1" ht="39">
      <c r="A101" s="881">
        <v>41</v>
      </c>
      <c r="B101" s="3316"/>
      <c r="C101" s="881" t="s">
        <v>698</v>
      </c>
      <c r="D101" s="817" t="s">
        <v>695</v>
      </c>
      <c r="E101" s="894">
        <v>0.2</v>
      </c>
      <c r="F101" s="881">
        <v>30</v>
      </c>
    </row>
    <row r="102" spans="1:6" s="877" customFormat="1" ht="52">
      <c r="A102" s="881">
        <v>42</v>
      </c>
      <c r="B102" s="881" t="s">
        <v>699</v>
      </c>
      <c r="C102" s="817" t="s">
        <v>700</v>
      </c>
      <c r="D102" s="817" t="s">
        <v>701</v>
      </c>
      <c r="E102" s="894">
        <v>0.2</v>
      </c>
      <c r="F102" s="881">
        <v>30</v>
      </c>
    </row>
    <row r="103" spans="1:6" s="877" customFormat="1" ht="26">
      <c r="A103" s="881">
        <v>43</v>
      </c>
      <c r="B103" s="881" t="s">
        <v>702</v>
      </c>
      <c r="C103" s="881" t="s">
        <v>703</v>
      </c>
      <c r="D103" s="817" t="s">
        <v>704</v>
      </c>
      <c r="E103" s="894">
        <v>0.2</v>
      </c>
      <c r="F103" s="881">
        <v>30</v>
      </c>
    </row>
    <row r="104" spans="1:6" s="877" customFormat="1" ht="39">
      <c r="A104" s="881">
        <v>44</v>
      </c>
      <c r="B104" s="881" t="s">
        <v>705</v>
      </c>
      <c r="C104" s="881" t="s">
        <v>706</v>
      </c>
      <c r="D104" s="817" t="s">
        <v>707</v>
      </c>
      <c r="E104" s="894">
        <v>0.2</v>
      </c>
      <c r="F104" s="881">
        <v>30</v>
      </c>
    </row>
    <row r="105" spans="1:6" s="877" customFormat="1" ht="39">
      <c r="A105" s="881">
        <v>45</v>
      </c>
      <c r="B105" s="3316" t="s">
        <v>708</v>
      </c>
      <c r="C105" s="881" t="s">
        <v>709</v>
      </c>
      <c r="D105" s="817" t="s">
        <v>710</v>
      </c>
      <c r="E105" s="894">
        <v>0.2</v>
      </c>
      <c r="F105" s="881">
        <v>30</v>
      </c>
    </row>
    <row r="106" spans="1:6" s="877" customFormat="1" ht="39">
      <c r="A106" s="881">
        <v>46</v>
      </c>
      <c r="B106" s="3316"/>
      <c r="C106" s="881" t="s">
        <v>711</v>
      </c>
      <c r="D106" s="817" t="s">
        <v>712</v>
      </c>
      <c r="E106" s="894">
        <v>0.2</v>
      </c>
      <c r="F106" s="881">
        <v>30</v>
      </c>
    </row>
    <row r="107" spans="1:6" s="877" customFormat="1" ht="39">
      <c r="A107" s="881">
        <v>47</v>
      </c>
      <c r="B107" s="3316" t="s">
        <v>713</v>
      </c>
      <c r="C107" s="881" t="s">
        <v>714</v>
      </c>
      <c r="D107" s="817" t="s">
        <v>715</v>
      </c>
      <c r="E107" s="894">
        <v>0.3</v>
      </c>
      <c r="F107" s="881">
        <v>50</v>
      </c>
    </row>
    <row r="108" spans="1:6" s="877" customFormat="1" ht="39">
      <c r="A108" s="881">
        <v>48</v>
      </c>
      <c r="B108" s="3316"/>
      <c r="C108" s="881" t="s">
        <v>716</v>
      </c>
      <c r="D108" s="817" t="s">
        <v>717</v>
      </c>
      <c r="E108" s="894">
        <v>0.2</v>
      </c>
      <c r="F108" s="881">
        <v>30</v>
      </c>
    </row>
    <row r="109" spans="1:6" s="877" customFormat="1" ht="39">
      <c r="A109" s="881">
        <v>49</v>
      </c>
      <c r="B109" s="881" t="s">
        <v>718</v>
      </c>
      <c r="C109" s="881" t="s">
        <v>719</v>
      </c>
      <c r="D109" s="817" t="s">
        <v>720</v>
      </c>
      <c r="E109" s="894">
        <v>0.2</v>
      </c>
      <c r="F109" s="881">
        <v>30</v>
      </c>
    </row>
    <row r="110" spans="1:6" s="877" customFormat="1" ht="39">
      <c r="A110" s="881">
        <v>50</v>
      </c>
      <c r="B110" s="881" t="s">
        <v>721</v>
      </c>
      <c r="C110" s="881" t="s">
        <v>722</v>
      </c>
      <c r="D110" s="817" t="s">
        <v>723</v>
      </c>
      <c r="E110" s="894">
        <v>0.2</v>
      </c>
      <c r="F110" s="881">
        <v>30</v>
      </c>
    </row>
    <row r="111" spans="1:6" s="877" customFormat="1" ht="39">
      <c r="A111" s="881">
        <v>51</v>
      </c>
      <c r="B111" s="3316" t="s">
        <v>724</v>
      </c>
      <c r="C111" s="881" t="s">
        <v>725</v>
      </c>
      <c r="D111" s="817" t="s">
        <v>726</v>
      </c>
      <c r="E111" s="894">
        <v>0.2</v>
      </c>
      <c r="F111" s="881">
        <v>30</v>
      </c>
    </row>
    <row r="112" spans="1:6" s="877" customFormat="1" ht="26">
      <c r="A112" s="881">
        <v>52</v>
      </c>
      <c r="B112" s="3316"/>
      <c r="C112" s="881" t="s">
        <v>727</v>
      </c>
      <c r="D112" s="817" t="s">
        <v>728</v>
      </c>
      <c r="E112" s="894">
        <v>0.2</v>
      </c>
      <c r="F112" s="881">
        <v>30</v>
      </c>
    </row>
    <row r="113" spans="1:6" s="877" customFormat="1" ht="26">
      <c r="A113" s="881">
        <v>53</v>
      </c>
      <c r="B113" s="3316"/>
      <c r="C113" s="881" t="s">
        <v>729</v>
      </c>
      <c r="D113" s="817" t="s">
        <v>730</v>
      </c>
      <c r="E113" s="894">
        <v>0.2</v>
      </c>
      <c r="F113" s="881">
        <v>30</v>
      </c>
    </row>
    <row r="114" spans="1:6" ht="39">
      <c r="A114" s="881">
        <v>54</v>
      </c>
      <c r="B114" s="881" t="s">
        <v>731</v>
      </c>
      <c r="C114" s="881" t="s">
        <v>732</v>
      </c>
      <c r="D114" s="817" t="s">
        <v>733</v>
      </c>
      <c r="E114" s="894">
        <v>0.2</v>
      </c>
      <c r="F114" s="881">
        <v>30</v>
      </c>
    </row>
    <row r="115" spans="1:6" ht="26">
      <c r="A115" s="881">
        <v>55</v>
      </c>
      <c r="B115" s="881" t="s">
        <v>734</v>
      </c>
      <c r="C115" s="881" t="s">
        <v>735</v>
      </c>
      <c r="D115" s="817" t="s">
        <v>736</v>
      </c>
      <c r="E115" s="894">
        <v>0.2</v>
      </c>
      <c r="F115" s="881">
        <v>30</v>
      </c>
    </row>
    <row r="116" spans="1:6" ht="26">
      <c r="A116" s="881">
        <v>56</v>
      </c>
      <c r="B116" s="3316" t="s">
        <v>737</v>
      </c>
      <c r="C116" s="881" t="s">
        <v>738</v>
      </c>
      <c r="D116" s="817" t="s">
        <v>739</v>
      </c>
      <c r="E116" s="894">
        <v>0.2</v>
      </c>
      <c r="F116" s="881">
        <v>30</v>
      </c>
    </row>
    <row r="117" spans="1:6" ht="39">
      <c r="A117" s="881">
        <v>57</v>
      </c>
      <c r="B117" s="3316"/>
      <c r="C117" s="881" t="s">
        <v>740</v>
      </c>
      <c r="D117" s="817" t="s">
        <v>741</v>
      </c>
      <c r="E117" s="894">
        <v>0.2</v>
      </c>
      <c r="F117" s="881">
        <v>30</v>
      </c>
    </row>
    <row r="118" spans="1:6" ht="39">
      <c r="A118" s="881">
        <v>58</v>
      </c>
      <c r="B118" s="881" t="s">
        <v>742</v>
      </c>
      <c r="C118" s="881" t="s">
        <v>743</v>
      </c>
      <c r="D118" s="817" t="s">
        <v>744</v>
      </c>
      <c r="E118" s="894">
        <v>0.2</v>
      </c>
      <c r="F118" s="881">
        <v>30</v>
      </c>
    </row>
    <row r="119" spans="1:6" ht="1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
  <cols>
    <col min="1" max="1" width="9" style="914"/>
    <col min="2" max="16384" width="9" style="897"/>
  </cols>
  <sheetData>
    <row r="1" spans="1:14" ht="1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
      <c r="A103" s="895" t="s">
        <v>748</v>
      </c>
      <c r="B103" s="896"/>
      <c r="C103" s="896"/>
      <c r="D103" s="896"/>
      <c r="E103" s="896"/>
      <c r="F103" s="896"/>
      <c r="G103" s="896"/>
      <c r="H103" s="896"/>
      <c r="I103" s="896"/>
      <c r="J103" s="896"/>
      <c r="K103" s="896"/>
      <c r="L103" s="896"/>
      <c r="M103" s="896"/>
      <c r="N103" s="896"/>
    </row>
    <row r="104" spans="1:14" ht="1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
  <cols>
    <col min="1" max="1" width="23.36328125" style="1942" customWidth="1"/>
    <col min="2" max="2" width="12.453125" style="1942" customWidth="1"/>
    <col min="3" max="3" width="12.08984375" style="1942" customWidth="1"/>
    <col min="4" max="4" width="14.08984375" style="1942" customWidth="1"/>
    <col min="5" max="5" width="12.453125" style="1942" customWidth="1"/>
    <col min="6" max="16384" width="9" style="1942"/>
  </cols>
  <sheetData>
    <row r="1" spans="1:5" ht="21">
      <c r="A1" s="2556" t="s">
        <v>2990</v>
      </c>
    </row>
    <row r="2" spans="1:5" ht="15.5">
      <c r="A2" s="2897" t="s">
        <v>2982</v>
      </c>
      <c r="B2" s="2898">
        <f ca="1">SUMIF(B6:B13,"&lt;&gt;#ref!",B6:B13)</f>
        <v>0</v>
      </c>
      <c r="C2" s="2897" t="s">
        <v>2983</v>
      </c>
      <c r="D2" s="2897" t="s">
        <v>2984</v>
      </c>
      <c r="E2" s="2898">
        <f ca="1">SUMIF(E6:E13,"&lt;&gt;#ref!",E6:E13)</f>
        <v>264.85000000000002</v>
      </c>
    </row>
    <row r="3" spans="1:5" ht="15.5">
      <c r="A3" s="2897" t="s">
        <v>2985</v>
      </c>
      <c r="B3" s="2898">
        <f ca="1">ROUND(B2*10000/E2,0)</f>
        <v>0</v>
      </c>
      <c r="C3" s="2897" t="s">
        <v>2991</v>
      </c>
      <c r="D3" s="2899"/>
      <c r="E3" s="2899"/>
    </row>
    <row r="4" spans="1:5" ht="15.5">
      <c r="A4" s="2900"/>
      <c r="B4" s="2899"/>
      <c r="C4" s="2899"/>
      <c r="D4" s="2899"/>
      <c r="E4" s="2899"/>
    </row>
    <row r="5" spans="1:5" ht="30">
      <c r="A5" s="2901" t="s">
        <v>2986</v>
      </c>
      <c r="B5" s="2897" t="s">
        <v>2987</v>
      </c>
      <c r="C5" s="2898"/>
      <c r="D5" s="2899"/>
      <c r="E5" s="2897" t="s">
        <v>2988</v>
      </c>
    </row>
    <row r="6" spans="1:5" ht="15.5">
      <c r="A6" s="2902" t="s">
        <v>2989</v>
      </c>
      <c r="B6" s="2898">
        <f ca="1">SUMIF(INDIRECT("'"&amp;A6&amp;"'"&amp;"!A:A"),"总价",INDIRECT("'"&amp;A6&amp;"'"&amp;"!B:B"))</f>
        <v>0</v>
      </c>
      <c r="C6" s="2897" t="s">
        <v>2983</v>
      </c>
      <c r="D6" s="2899"/>
      <c r="E6" s="2570">
        <f ca="1">SUMIF(INDIRECT("'"&amp;A6&amp;"'"&amp;"!C:C"),"建筑面积",INDIRECT("'"&amp;A6&amp;"'"&amp;"!D:D"))</f>
        <v>264.85000000000002</v>
      </c>
    </row>
    <row r="7" spans="1:5" ht="15.5">
      <c r="A7" s="2902"/>
      <c r="B7" s="2898" t="e">
        <f ca="1">SUMIF(INDIRECT("'"&amp;A7&amp;"'"&amp;"!A:A"),"总价",INDIRECT("'"&amp;A7&amp;"'"&amp;"!B:B"))</f>
        <v>#REF!</v>
      </c>
      <c r="C7" s="2897" t="s">
        <v>2983</v>
      </c>
      <c r="D7" s="2899"/>
      <c r="E7" s="2570" t="e">
        <f t="shared" ref="E7:E13" ca="1" si="0">SUMIF(INDIRECT("'"&amp;A7&amp;"'"&amp;"!C:C"),"建筑面积",INDIRECT("'"&amp;A7&amp;"'"&amp;"!D:D"))</f>
        <v>#REF!</v>
      </c>
    </row>
    <row r="8" spans="1:5" ht="15.5">
      <c r="A8" s="2902"/>
      <c r="B8" s="2898" t="e">
        <f t="shared" ref="B8:B13" ca="1" si="1">SUMIF(INDIRECT("'"&amp;A8&amp;"'"&amp;"!A:A"),"总价",INDIRECT("'"&amp;A8&amp;"'"&amp;"!B:B"))</f>
        <v>#REF!</v>
      </c>
      <c r="C8" s="2897" t="s">
        <v>2983</v>
      </c>
      <c r="D8" s="2899"/>
      <c r="E8" s="2570" t="e">
        <f t="shared" ca="1" si="0"/>
        <v>#REF!</v>
      </c>
    </row>
    <row r="9" spans="1:5" ht="15.5">
      <c r="A9" s="2902"/>
      <c r="B9" s="2898" t="e">
        <f t="shared" ca="1" si="1"/>
        <v>#REF!</v>
      </c>
      <c r="C9" s="2897" t="s">
        <v>2983</v>
      </c>
      <c r="D9" s="2899"/>
      <c r="E9" s="2570" t="e">
        <f t="shared" ca="1" si="0"/>
        <v>#REF!</v>
      </c>
    </row>
    <row r="10" spans="1:5" ht="15.5">
      <c r="A10" s="2902"/>
      <c r="B10" s="2898" t="e">
        <f t="shared" ca="1" si="1"/>
        <v>#REF!</v>
      </c>
      <c r="C10" s="2897" t="s">
        <v>2983</v>
      </c>
      <c r="D10" s="2899"/>
      <c r="E10" s="2570" t="e">
        <f t="shared" ca="1" si="0"/>
        <v>#REF!</v>
      </c>
    </row>
    <row r="11" spans="1:5" ht="15.5">
      <c r="A11" s="2902"/>
      <c r="B11" s="2898" t="e">
        <f t="shared" ca="1" si="1"/>
        <v>#REF!</v>
      </c>
      <c r="C11" s="2897" t="s">
        <v>2983</v>
      </c>
      <c r="D11" s="2899"/>
      <c r="E11" s="2570" t="e">
        <f t="shared" ca="1" si="0"/>
        <v>#REF!</v>
      </c>
    </row>
    <row r="12" spans="1:5" ht="15.5">
      <c r="A12" s="2902"/>
      <c r="B12" s="2898" t="e">
        <f t="shared" ca="1" si="1"/>
        <v>#REF!</v>
      </c>
      <c r="C12" s="2897" t="s">
        <v>2983</v>
      </c>
      <c r="D12" s="2899"/>
      <c r="E12" s="2570" t="e">
        <f t="shared" ca="1" si="0"/>
        <v>#REF!</v>
      </c>
    </row>
    <row r="13" spans="1:5" ht="15.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5"/>
  <cols>
    <col min="1" max="1" width="9" style="1469"/>
    <col min="2" max="6" width="9" style="1469" customWidth="1"/>
    <col min="7" max="7" width="9" style="1484"/>
    <col min="8" max="8" width="9" style="1469"/>
    <col min="9" max="12" width="9" style="1469" customWidth="1"/>
    <col min="13" max="13" width="2.26953125" style="1469" customWidth="1"/>
    <col min="14" max="14" width="9" style="1484" customWidth="1"/>
    <col min="15" max="17" width="9" style="1469" customWidth="1"/>
    <col min="18" max="18" width="2.36328125" style="1469" customWidth="1"/>
    <col min="19" max="19" width="7.08984375" style="1484" customWidth="1"/>
    <col min="20" max="22" width="7.08984375" style="1469" customWidth="1"/>
    <col min="23" max="23" width="24.26953125" style="1469" customWidth="1"/>
    <col min="24" max="25" width="9" style="1469"/>
    <col min="26" max="27" width="11.6328125" style="1469" customWidth="1"/>
    <col min="28" max="28" width="9" style="1469"/>
    <col min="29" max="29" width="2" style="1469" customWidth="1"/>
    <col min="30" max="16384" width="9" style="1469"/>
  </cols>
  <sheetData>
    <row r="1" spans="1:34" s="1443" customFormat="1" ht="13">
      <c r="B1" s="3322" t="s">
        <v>1146</v>
      </c>
      <c r="C1" s="3322"/>
      <c r="D1" s="3322"/>
      <c r="E1" s="3322"/>
      <c r="F1" s="3322"/>
      <c r="G1" s="3318" t="s">
        <v>1147</v>
      </c>
      <c r="H1" s="3318"/>
      <c r="I1" s="3318"/>
      <c r="J1" s="3318"/>
      <c r="K1" s="3318"/>
      <c r="L1" s="3318"/>
      <c r="N1" s="3318" t="s">
        <v>1148</v>
      </c>
      <c r="O1" s="3318"/>
      <c r="P1" s="3318"/>
      <c r="Q1" s="3318"/>
      <c r="R1" s="1444"/>
      <c r="S1" s="3318" t="s">
        <v>1149</v>
      </c>
      <c r="T1" s="3318"/>
      <c r="U1" s="3318"/>
      <c r="V1" s="3318"/>
      <c r="X1" s="3317" t="s">
        <v>1150</v>
      </c>
      <c r="Y1" s="3318"/>
      <c r="Z1" s="3318"/>
      <c r="AA1" s="3318"/>
      <c r="AB1" s="3318"/>
      <c r="AD1" s="3317" t="s">
        <v>1151</v>
      </c>
      <c r="AE1" s="3318"/>
      <c r="AF1" s="3318"/>
      <c r="AG1" s="3318"/>
      <c r="AH1" s="3318"/>
    </row>
    <row r="2" spans="1:34" s="1445" customFormat="1" ht="14.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ht="13">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ht="13">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ht="13">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ht="13">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ht="13">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 thickBot="1">
      <c r="A35" s="1459" t="s">
        <v>1166</v>
      </c>
      <c r="B35" s="1475">
        <f>B34/(1+N34)</f>
        <v>275.19025476197027</v>
      </c>
      <c r="C35" s="1511">
        <v>232</v>
      </c>
      <c r="D35" s="1511">
        <f t="shared" si="97"/>
        <v>232</v>
      </c>
      <c r="E35" s="1475">
        <f t="shared" si="108"/>
        <v>375.65990977608692</v>
      </c>
      <c r="F35" s="1475">
        <f t="shared" si="108"/>
        <v>214.12518283971252</v>
      </c>
      <c r="G35" s="332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0">
        <v>2003</v>
      </c>
      <c r="H70" s="1463">
        <v>2</v>
      </c>
      <c r="I70" s="1532"/>
      <c r="J70" s="1532"/>
      <c r="K70" s="1532"/>
      <c r="L70" s="1532"/>
      <c r="X70" s="1524"/>
      <c r="Y70" s="1524"/>
      <c r="Z70" s="1524"/>
    </row>
    <row r="71" spans="1:26" ht="13" thickBot="1">
      <c r="A71" s="1459" t="s">
        <v>1202</v>
      </c>
      <c r="B71" s="1534">
        <f t="shared" si="133"/>
        <v>107.25</v>
      </c>
      <c r="C71" s="1534">
        <f t="shared" si="133"/>
        <v>108.75</v>
      </c>
      <c r="D71" s="1534">
        <f t="shared" si="97"/>
        <v>108.75</v>
      </c>
      <c r="E71" s="1534">
        <f t="shared" si="134"/>
        <v>105.75</v>
      </c>
      <c r="F71" s="1534">
        <f t="shared" si="134"/>
        <v>102.5</v>
      </c>
      <c r="G71" s="3321">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0">
        <v>2002</v>
      </c>
      <c r="H74" s="1463">
        <v>2</v>
      </c>
      <c r="I74" s="1532"/>
      <c r="J74" s="1532"/>
      <c r="K74" s="1532"/>
      <c r="L74" s="1532"/>
      <c r="X74" s="1524"/>
      <c r="Y74" s="1524"/>
      <c r="Z74" s="1524"/>
    </row>
    <row r="75" spans="1:26" s="1496" customFormat="1" ht="13" thickBot="1">
      <c r="A75" s="1492" t="s">
        <v>1206</v>
      </c>
      <c r="B75" s="1538">
        <f t="shared" si="135"/>
        <v>103</v>
      </c>
      <c r="C75" s="1538">
        <f t="shared" si="135"/>
        <v>104</v>
      </c>
      <c r="D75" s="1538">
        <f t="shared" si="97"/>
        <v>104</v>
      </c>
      <c r="E75" s="1538">
        <f t="shared" si="136"/>
        <v>103.5</v>
      </c>
      <c r="F75" s="1538">
        <f t="shared" si="136"/>
        <v>100.5</v>
      </c>
      <c r="G75" s="3321">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ht="13">
      <c r="A78" s="1546" t="s">
        <v>1207</v>
      </c>
      <c r="G78" s="1548"/>
      <c r="N78" s="1548"/>
      <c r="S78" s="1548"/>
    </row>
    <row r="79" spans="1:26" s="1547" customFormat="1" ht="13">
      <c r="A79" s="1547" t="s">
        <v>1208</v>
      </c>
      <c r="G79" s="1548"/>
      <c r="N79" s="1548"/>
      <c r="S79" s="1548"/>
    </row>
    <row r="80" spans="1:26" s="1547" customFormat="1" ht="13">
      <c r="A80" s="1547" t="s">
        <v>1209</v>
      </c>
      <c r="G80" s="1548"/>
      <c r="I80" s="1549"/>
      <c r="J80" s="1549"/>
      <c r="K80" s="1549"/>
      <c r="L80" s="1549"/>
      <c r="N80" s="1550"/>
      <c r="O80" s="1549"/>
      <c r="P80" s="1549"/>
      <c r="Q80" s="1549"/>
      <c r="S80" s="1550"/>
      <c r="T80" s="1549"/>
      <c r="U80" s="1549"/>
      <c r="V80" s="1549"/>
    </row>
    <row r="81" spans="1:22" s="1547" customFormat="1" ht="13">
      <c r="A81" s="1547" t="s">
        <v>1210</v>
      </c>
      <c r="G81" s="1548"/>
      <c r="N81" s="1548"/>
      <c r="S81" s="1548"/>
    </row>
    <row r="88" spans="1:22" ht="13" thickBot="1"/>
    <row r="89" spans="1:22" ht="13">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7" customWidth="1"/>
    <col min="2" max="2" width="37.26953125" style="1957" customWidth="1"/>
    <col min="3" max="3" width="11.36328125" style="1957" customWidth="1"/>
    <col min="4" max="4" width="31.7265625" style="1957" customWidth="1"/>
    <col min="5" max="5" width="0.453125" style="1957" customWidth="1"/>
    <col min="6" max="7" width="13" style="1957" customWidth="1"/>
    <col min="8" max="16384" width="9" style="1957"/>
  </cols>
  <sheetData>
    <row r="1" spans="1:5" ht="18">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8.5" thickBot="1">
      <c r="A4" s="1958"/>
      <c r="B4" s="3008" t="s">
        <v>1625</v>
      </c>
      <c r="C4" s="3008"/>
      <c r="D4" s="3008"/>
      <c r="E4" s="1958"/>
    </row>
    <row r="5" spans="1:5" ht="16" thickTop="1">
      <c r="A5" s="1956"/>
      <c r="B5" s="3006" t="s">
        <v>1617</v>
      </c>
      <c r="C5" s="1959" t="s">
        <v>1618</v>
      </c>
      <c r="D5" s="1039">
        <f ca="1">结果表!H101</f>
        <v>3107</v>
      </c>
      <c r="E5" s="1956"/>
    </row>
    <row r="6" spans="1:5" ht="15.5">
      <c r="A6" s="1956"/>
      <c r="B6" s="3006"/>
      <c r="C6" s="1959" t="s">
        <v>1619</v>
      </c>
      <c r="D6" s="1039" t="str">
        <f ca="1">NUMBERSTRING(INT(D5*10000),2)&amp;"元整"</f>
        <v>叁仟壹佰零柒万元整</v>
      </c>
      <c r="E6" s="1956"/>
    </row>
    <row r="7" spans="1:5" ht="15.5">
      <c r="A7" s="1956"/>
      <c r="B7" s="3011"/>
      <c r="C7" s="1960" t="s">
        <v>1620</v>
      </c>
      <c r="D7" s="1040">
        <f ca="1">结果表!H102</f>
        <v>40409</v>
      </c>
      <c r="E7" s="1956"/>
    </row>
    <row r="8" spans="1:5" ht="15.5">
      <c r="A8" s="1956"/>
      <c r="B8" s="3012" t="str">
        <f>结果表!E103</f>
        <v>2.估价师知悉的法定优先受偿款</v>
      </c>
      <c r="C8" s="1961" t="s">
        <v>1621</v>
      </c>
      <c r="D8" s="1040">
        <f>结果表!H103</f>
        <v>0</v>
      </c>
      <c r="E8" s="1956"/>
    </row>
    <row r="9" spans="1:5" ht="15.5">
      <c r="A9" s="1956"/>
      <c r="B9" s="3014"/>
      <c r="C9" s="1959" t="s">
        <v>1619</v>
      </c>
      <c r="D9" s="1039" t="str">
        <f>NUMBERSTRING(INT(D8*10000),2)&amp;"元整"</f>
        <v>零元整</v>
      </c>
      <c r="E9" s="1956"/>
    </row>
    <row r="10" spans="1:5" ht="16">
      <c r="A10" s="1956"/>
      <c r="B10" s="1962" t="s">
        <v>1624</v>
      </c>
      <c r="C10" s="1963" t="s">
        <v>1622</v>
      </c>
      <c r="D10" s="1041">
        <f>结果表!H104</f>
        <v>0</v>
      </c>
      <c r="E10" s="1956"/>
    </row>
    <row r="11" spans="1:5" ht="16">
      <c r="A11" s="1956"/>
      <c r="B11" s="1962" t="s">
        <v>1626</v>
      </c>
      <c r="C11" s="1963" t="s">
        <v>1627</v>
      </c>
      <c r="D11" s="1041">
        <f>结果表!H105</f>
        <v>0</v>
      </c>
      <c r="E11" s="1956"/>
    </row>
    <row r="12" spans="1:5" ht="16">
      <c r="A12" s="1956"/>
      <c r="B12" s="1962" t="s">
        <v>1628</v>
      </c>
      <c r="C12" s="1963" t="s">
        <v>1627</v>
      </c>
      <c r="D12" s="1041">
        <f>结果表!H106</f>
        <v>0</v>
      </c>
      <c r="E12" s="1956"/>
    </row>
    <row r="13" spans="1:5" ht="15.5">
      <c r="A13" s="1956"/>
      <c r="B13" s="3005" t="str">
        <f>结果表!E107</f>
        <v>3.房地产抵押价值</v>
      </c>
      <c r="C13" s="1964" t="s">
        <v>1618</v>
      </c>
      <c r="D13" s="1042">
        <f ca="1">结果表!H107</f>
        <v>3107</v>
      </c>
      <c r="E13" s="1956"/>
    </row>
    <row r="14" spans="1:5" ht="15.5">
      <c r="A14" s="1956"/>
      <c r="B14" s="3006"/>
      <c r="C14" s="1959" t="s">
        <v>1619</v>
      </c>
      <c r="D14" s="1039" t="str">
        <f ca="1">NUMBERSTRING(INT(D13*10000),2)&amp;"元整"</f>
        <v>叁仟壹佰零柒万元整</v>
      </c>
      <c r="E14" s="1956"/>
    </row>
    <row r="15" spans="1:5" ht="15.5">
      <c r="A15" s="1956"/>
      <c r="B15" s="3011"/>
      <c r="C15" s="1960" t="s">
        <v>1629</v>
      </c>
      <c r="D15" s="1051">
        <f ca="1">结果表!H108</f>
        <v>40409</v>
      </c>
      <c r="E15" s="1956"/>
    </row>
    <row r="16" spans="1:5" ht="15">
      <c r="A16" s="1956"/>
      <c r="B16" s="3012" t="str">
        <f>结果表!E109</f>
        <v>——</v>
      </c>
      <c r="C16" s="1964" t="s">
        <v>1630</v>
      </c>
      <c r="D16" s="1965" t="str">
        <f>结果表!H109</f>
        <v>——</v>
      </c>
      <c r="E16" s="1956"/>
    </row>
    <row r="17" spans="1:5" ht="15.5">
      <c r="A17" s="1956"/>
      <c r="B17" s="3013"/>
      <c r="C17" s="1959" t="s">
        <v>1631</v>
      </c>
      <c r="D17" s="1039" t="e">
        <f>NUMBERSTRING(INT(D16*10000),2)&amp;"元整"</f>
        <v>#VALUE!</v>
      </c>
      <c r="E17" s="1956"/>
    </row>
    <row r="18" spans="1:5" ht="15.5">
      <c r="A18" s="1956"/>
      <c r="B18" s="3014"/>
      <c r="C18" s="1960" t="s">
        <v>1620</v>
      </c>
      <c r="D18" s="1051" t="str">
        <f>结果表!H110</f>
        <v>——</v>
      </c>
      <c r="E18" s="1956"/>
    </row>
    <row r="19" spans="1:5" ht="15.5">
      <c r="A19" s="1956"/>
      <c r="B19" s="3005" t="str">
        <f>结果表!E111</f>
        <v>——</v>
      </c>
      <c r="C19" s="1964" t="s">
        <v>1618</v>
      </c>
      <c r="D19" s="1040" t="str">
        <f>结果表!H111</f>
        <v>——</v>
      </c>
      <c r="E19" s="1956"/>
    </row>
    <row r="20" spans="1:5" ht="15.5">
      <c r="A20" s="1956"/>
      <c r="B20" s="3006"/>
      <c r="C20" s="1959" t="s">
        <v>1631</v>
      </c>
      <c r="D20" s="1039" t="e">
        <f>NUMBERSTRING(INT(D19*10000),2)&amp;"元整"</f>
        <v>#VALUE!</v>
      </c>
      <c r="E20" s="1956"/>
    </row>
    <row r="21" spans="1:5" ht="16" thickBot="1">
      <c r="A21" s="1956"/>
      <c r="B21" s="3007"/>
      <c r="C21" s="1966" t="s">
        <v>1629</v>
      </c>
      <c r="D21" s="1052" t="str">
        <f>结果表!H112</f>
        <v>——</v>
      </c>
      <c r="E21" s="1956"/>
    </row>
    <row r="22" spans="1:5" ht="14.5" thickTop="1">
      <c r="A22" s="1956"/>
      <c r="B22" s="1967" t="s">
        <v>1632</v>
      </c>
      <c r="C22" s="1956"/>
      <c r="D22" s="1956"/>
      <c r="E22" s="1956"/>
    </row>
    <row r="23" spans="1:5">
      <c r="A23" s="1956"/>
      <c r="B23" s="1956"/>
      <c r="C23" s="1956"/>
      <c r="D23" s="1956"/>
      <c r="E23" s="1956"/>
    </row>
    <row r="24" spans="1:5" ht="1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 zoomScale="90" zoomScaleNormal="90" workbookViewId="0">
      <selection activeCell="M38" sqref="M38"/>
    </sheetView>
  </sheetViews>
  <sheetFormatPr defaultColWidth="9" defaultRowHeight="14"/>
  <cols>
    <col min="1" max="1" width="10.453125" style="403" customWidth="1"/>
    <col min="2" max="2" width="15.7265625" style="403" customWidth="1"/>
    <col min="3" max="3" width="22.7265625" style="403" customWidth="1"/>
    <col min="4" max="4" width="12.26953125" style="403" customWidth="1"/>
    <col min="5" max="5" width="15.90625" style="403" customWidth="1"/>
    <col min="6" max="6" width="12.26953125" style="403" customWidth="1"/>
    <col min="7" max="7" width="16.36328125" style="403" customWidth="1"/>
    <col min="8" max="8" width="12.26953125" style="403" customWidth="1"/>
    <col min="9" max="9" width="16.08984375"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2675</v>
      </c>
      <c r="C1" s="1618" t="s">
        <v>2519</v>
      </c>
      <c r="D1" s="1619" t="s">
        <v>27</v>
      </c>
      <c r="E1" s="1628"/>
      <c r="F1" s="2579" t="s">
        <v>3123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4.5</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1" t="s">
        <v>2524</v>
      </c>
      <c r="B4" s="402"/>
      <c r="C4" s="3217" t="s">
        <v>2525</v>
      </c>
      <c r="D4" s="3218"/>
      <c r="E4" s="3219" t="s">
        <v>2526</v>
      </c>
      <c r="F4" s="3220"/>
      <c r="G4" s="3217" t="s">
        <v>2527</v>
      </c>
      <c r="H4" s="3218"/>
      <c r="I4" s="3217" t="s">
        <v>2528</v>
      </c>
      <c r="J4" s="3218"/>
      <c r="K4" s="610" t="s">
        <v>2529</v>
      </c>
      <c r="L4" s="1129"/>
      <c r="M4" s="1130"/>
      <c r="N4" s="1130"/>
      <c r="O4" s="1130"/>
      <c r="P4" s="3221" t="s">
        <v>2530</v>
      </c>
      <c r="Q4" s="3222"/>
      <c r="R4" s="3203" t="s">
        <v>2526</v>
      </c>
      <c r="S4" s="3204"/>
      <c r="T4" s="3203" t="s">
        <v>2527</v>
      </c>
      <c r="U4" s="3204"/>
      <c r="V4" s="3229" t="s">
        <v>2528</v>
      </c>
      <c r="W4" s="3229"/>
      <c r="X4" s="2953"/>
      <c r="Y4" s="3203" t="s">
        <v>2530</v>
      </c>
      <c r="Z4" s="3204"/>
      <c r="AA4" s="3198" t="s">
        <v>2526</v>
      </c>
      <c r="AB4" s="3198" t="s">
        <v>2527</v>
      </c>
      <c r="AC4" s="3214" t="s">
        <v>2528</v>
      </c>
    </row>
    <row r="5" spans="1:29">
      <c r="A5" s="404"/>
      <c r="B5" s="405"/>
      <c r="C5" s="3209" t="s">
        <v>3164</v>
      </c>
      <c r="D5" s="3210"/>
      <c r="E5" s="3207" t="s">
        <v>3166</v>
      </c>
      <c r="F5" s="3208"/>
      <c r="G5" s="3207" t="s">
        <v>3150</v>
      </c>
      <c r="H5" s="3208"/>
      <c r="I5" s="3207" t="s">
        <v>3167</v>
      </c>
      <c r="J5" s="3208"/>
      <c r="K5" s="610"/>
      <c r="L5" s="1129"/>
      <c r="M5" s="1130"/>
      <c r="N5" s="1130"/>
      <c r="O5" s="1130"/>
      <c r="P5" s="3223"/>
      <c r="Q5" s="3224"/>
      <c r="R5" s="3205"/>
      <c r="S5" s="3206"/>
      <c r="T5" s="3205"/>
      <c r="U5" s="3206"/>
      <c r="V5" s="3230"/>
      <c r="W5" s="3230"/>
      <c r="X5" s="2951"/>
      <c r="Y5" s="3205"/>
      <c r="Z5" s="3206"/>
      <c r="AA5" s="3199"/>
      <c r="AB5" s="3199"/>
      <c r="AC5" s="3215"/>
    </row>
    <row r="6" spans="1:29" ht="15.75" customHeight="1" thickBot="1">
      <c r="A6" s="406"/>
      <c r="B6" s="407"/>
      <c r="C6" s="3211" t="s">
        <v>3129</v>
      </c>
      <c r="D6" s="3212"/>
      <c r="E6" s="3211"/>
      <c r="F6" s="3212"/>
      <c r="G6" s="3328"/>
      <c r="H6" s="3329"/>
      <c r="I6" s="3211"/>
      <c r="J6" s="3212"/>
      <c r="K6" s="610" t="s">
        <v>2536</v>
      </c>
      <c r="L6" s="1129"/>
      <c r="M6" s="1130"/>
      <c r="N6" s="1130"/>
      <c r="O6" s="1130"/>
      <c r="P6" s="3225"/>
      <c r="Q6" s="3226"/>
      <c r="R6" s="3205"/>
      <c r="S6" s="3206"/>
      <c r="T6" s="3227"/>
      <c r="U6" s="3228"/>
      <c r="V6" s="3230"/>
      <c r="W6" s="3230"/>
      <c r="X6" s="2951"/>
      <c r="Y6" s="3227"/>
      <c r="Z6" s="3228"/>
      <c r="AA6" s="3200"/>
      <c r="AB6" s="3200"/>
      <c r="AC6" s="3216"/>
    </row>
    <row r="7" spans="1:29" s="117" customFormat="1" ht="14.5" thickBot="1">
      <c r="A7" s="408" t="s">
        <v>2537</v>
      </c>
      <c r="B7" s="409"/>
      <c r="C7" s="410">
        <f>'数据-取费表'!B2</f>
        <v>43908</v>
      </c>
      <c r="D7" s="411">
        <v>100</v>
      </c>
      <c r="E7" s="412">
        <f>C7</f>
        <v>43908</v>
      </c>
      <c r="F7" s="413">
        <f>SUMIF(59:59,YEAR(E7)&amp;"-"&amp;MONTH(E7),60:60)</f>
        <v>100</v>
      </c>
      <c r="G7" s="412">
        <f>E7</f>
        <v>43908</v>
      </c>
      <c r="H7" s="411">
        <f>SUMIF(59:59,YEAR(G7)&amp;"-"&amp;MONTH(G7),60:60)</f>
        <v>100</v>
      </c>
      <c r="I7" s="412">
        <f>G7</f>
        <v>43908</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4.5" thickBot="1">
      <c r="A8" s="408" t="s">
        <v>2539</v>
      </c>
      <c r="B8" s="409"/>
      <c r="C8" s="414" t="s">
        <v>2576</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2945" t="str">
        <f t="shared" ref="Q9:Q15" si="6">B9</f>
        <v>用途</v>
      </c>
      <c r="R9" s="769" t="s">
        <v>17</v>
      </c>
      <c r="S9" s="770">
        <f t="shared" si="0"/>
        <v>100</v>
      </c>
      <c r="T9" s="769" t="s">
        <v>17</v>
      </c>
      <c r="U9" s="770">
        <f t="shared" si="1"/>
        <v>100</v>
      </c>
      <c r="V9" s="769" t="s">
        <v>17</v>
      </c>
      <c r="W9" s="770">
        <f t="shared" si="2"/>
        <v>100</v>
      </c>
      <c r="X9" s="771"/>
      <c r="Y9" s="3070" t="s">
        <v>2545</v>
      </c>
      <c r="Z9" s="2946" t="str">
        <f t="shared" ref="Z9:Z15" si="7">Q9</f>
        <v>用途</v>
      </c>
      <c r="AA9" s="772">
        <f t="shared" si="3"/>
        <v>1</v>
      </c>
      <c r="AB9" s="772">
        <f t="shared" si="4"/>
        <v>1</v>
      </c>
      <c r="AC9" s="2666">
        <f t="shared" si="5"/>
        <v>1</v>
      </c>
    </row>
    <row r="10" spans="1:29" s="427" customFormat="1" ht="28">
      <c r="A10" s="421"/>
      <c r="B10" s="2947"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2945" t="str">
        <f t="shared" si="6"/>
        <v>土地使用年限（年）</v>
      </c>
      <c r="R10" s="769" t="s">
        <v>17</v>
      </c>
      <c r="S10" s="770">
        <f t="shared" si="0"/>
        <v>100</v>
      </c>
      <c r="T10" s="769" t="s">
        <v>17</v>
      </c>
      <c r="U10" s="770">
        <f t="shared" si="1"/>
        <v>100</v>
      </c>
      <c r="V10" s="769" t="s">
        <v>17</v>
      </c>
      <c r="W10" s="770">
        <f t="shared" si="2"/>
        <v>100</v>
      </c>
      <c r="X10" s="771"/>
      <c r="Y10" s="3070"/>
      <c r="Z10" s="2946" t="str">
        <f t="shared" si="7"/>
        <v>土地使用年限（年）</v>
      </c>
      <c r="AA10" s="772">
        <f t="shared" si="3"/>
        <v>1</v>
      </c>
      <c r="AB10" s="772">
        <f t="shared" si="4"/>
        <v>1</v>
      </c>
      <c r="AC10" s="2666">
        <f t="shared" si="5"/>
        <v>1</v>
      </c>
    </row>
    <row r="11" spans="1:29" ht="15.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2945" t="str">
        <f t="shared" si="6"/>
        <v>容积率</v>
      </c>
      <c r="R11" s="769" t="s">
        <v>17</v>
      </c>
      <c r="S11" s="770">
        <f t="shared" si="0"/>
        <v>100</v>
      </c>
      <c r="T11" s="769" t="s">
        <v>17</v>
      </c>
      <c r="U11" s="770">
        <f t="shared" si="1"/>
        <v>100</v>
      </c>
      <c r="V11" s="769" t="s">
        <v>17</v>
      </c>
      <c r="W11" s="770">
        <f t="shared" si="2"/>
        <v>100</v>
      </c>
      <c r="X11" s="771"/>
      <c r="Y11" s="3070"/>
      <c r="Z11" s="2946" t="str">
        <f t="shared" si="7"/>
        <v>容积率</v>
      </c>
      <c r="AA11" s="772">
        <f t="shared" si="3"/>
        <v>1</v>
      </c>
      <c r="AB11" s="772">
        <f t="shared" si="4"/>
        <v>1</v>
      </c>
      <c r="AC11" s="2666">
        <f t="shared" si="5"/>
        <v>1</v>
      </c>
    </row>
    <row r="12" spans="1:29" s="117" customFormat="1" ht="15.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2945">
        <f t="shared" si="6"/>
        <v>0</v>
      </c>
      <c r="R12" s="769" t="s">
        <v>17</v>
      </c>
      <c r="S12" s="770">
        <f t="shared" si="0"/>
        <v>100</v>
      </c>
      <c r="T12" s="769" t="s">
        <v>17</v>
      </c>
      <c r="U12" s="770">
        <f t="shared" si="1"/>
        <v>100</v>
      </c>
      <c r="V12" s="769" t="s">
        <v>17</v>
      </c>
      <c r="W12" s="770">
        <f t="shared" si="2"/>
        <v>100</v>
      </c>
      <c r="X12" s="771"/>
      <c r="Y12" s="3070"/>
      <c r="Z12" s="2946">
        <f t="shared" si="7"/>
        <v>0</v>
      </c>
      <c r="AA12" s="772">
        <f>D12/F12</f>
        <v>1</v>
      </c>
      <c r="AB12" s="772">
        <f>D12/H12</f>
        <v>1</v>
      </c>
      <c r="AC12" s="2666">
        <f>D12/J12</f>
        <v>1</v>
      </c>
    </row>
    <row r="13" spans="1:29" ht="15.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2945">
        <f t="shared" si="6"/>
        <v>0</v>
      </c>
      <c r="R13" s="769" t="s">
        <v>17</v>
      </c>
      <c r="S13" s="770">
        <f t="shared" si="0"/>
        <v>100</v>
      </c>
      <c r="T13" s="769" t="s">
        <v>17</v>
      </c>
      <c r="U13" s="770">
        <f t="shared" si="1"/>
        <v>100</v>
      </c>
      <c r="V13" s="769" t="s">
        <v>17</v>
      </c>
      <c r="W13" s="770">
        <f t="shared" si="2"/>
        <v>100</v>
      </c>
      <c r="X13" s="771"/>
      <c r="Y13" s="3070"/>
      <c r="Z13" s="2946">
        <f t="shared" si="7"/>
        <v>0</v>
      </c>
      <c r="AA13" s="772">
        <f t="shared" si="3"/>
        <v>1</v>
      </c>
      <c r="AB13" s="772">
        <f t="shared" si="4"/>
        <v>1</v>
      </c>
      <c r="AC13" s="2666">
        <f t="shared" si="5"/>
        <v>1</v>
      </c>
    </row>
    <row r="14" spans="1:29" ht="1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2945">
        <f t="shared" si="6"/>
        <v>0</v>
      </c>
      <c r="R14" s="769" t="s">
        <v>17</v>
      </c>
      <c r="S14" s="770">
        <f t="shared" si="0"/>
        <v>100</v>
      </c>
      <c r="T14" s="769" t="s">
        <v>17</v>
      </c>
      <c r="U14" s="770">
        <f t="shared" si="1"/>
        <v>100</v>
      </c>
      <c r="V14" s="769" t="s">
        <v>17</v>
      </c>
      <c r="W14" s="770">
        <f t="shared" si="2"/>
        <v>100</v>
      </c>
      <c r="X14" s="771"/>
      <c r="Y14" s="3070"/>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33" t="s">
        <v>2549</v>
      </c>
      <c r="Q15" s="2949" t="str">
        <f t="shared" si="6"/>
        <v>办公集聚程度</v>
      </c>
      <c r="R15" s="773" t="s">
        <v>17</v>
      </c>
      <c r="S15" s="774">
        <f t="shared" si="0"/>
        <v>100</v>
      </c>
      <c r="T15" s="773" t="s">
        <v>17</v>
      </c>
      <c r="U15" s="774">
        <f t="shared" si="1"/>
        <v>100</v>
      </c>
      <c r="V15" s="773" t="s">
        <v>17</v>
      </c>
      <c r="W15" s="774">
        <f t="shared" si="2"/>
        <v>100</v>
      </c>
      <c r="X15" s="2951"/>
      <c r="Y15" s="3235" t="s">
        <v>2549</v>
      </c>
      <c r="Z15" s="2952" t="str">
        <f t="shared" si="7"/>
        <v>办公集聚程度</v>
      </c>
      <c r="AA15" s="2950">
        <f t="shared" si="3"/>
        <v>1</v>
      </c>
      <c r="AB15" s="2950">
        <f t="shared" si="4"/>
        <v>1</v>
      </c>
      <c r="AC15" s="2669">
        <f t="shared" si="5"/>
        <v>1</v>
      </c>
    </row>
    <row r="16" spans="1:29" ht="15.5">
      <c r="A16" s="428"/>
      <c r="B16" s="630"/>
      <c r="C16" s="2606" t="s">
        <v>3078</v>
      </c>
      <c r="D16" s="448"/>
      <c r="E16" s="447" t="s">
        <v>3078</v>
      </c>
      <c r="F16" s="448"/>
      <c r="G16" s="2606" t="s">
        <v>3078</v>
      </c>
      <c r="H16" s="450"/>
      <c r="I16" s="447" t="s">
        <v>3078</v>
      </c>
      <c r="J16" s="448"/>
      <c r="K16" s="615"/>
      <c r="L16" s="1139"/>
      <c r="M16" s="1130"/>
      <c r="N16" s="1130"/>
      <c r="O16" s="1130"/>
      <c r="P16" s="3234"/>
      <c r="Q16" s="2949"/>
      <c r="R16" s="773"/>
      <c r="S16" s="774"/>
      <c r="T16" s="773"/>
      <c r="U16" s="774"/>
      <c r="V16" s="773"/>
      <c r="W16" s="774"/>
      <c r="X16" s="2951"/>
      <c r="Y16" s="3236"/>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34"/>
      <c r="Q17" s="2949" t="str">
        <f>B17</f>
        <v>交通便捷度</v>
      </c>
      <c r="R17" s="773" t="s">
        <v>17</v>
      </c>
      <c r="S17" s="774">
        <f>F17</f>
        <v>100</v>
      </c>
      <c r="T17" s="773" t="s">
        <v>17</v>
      </c>
      <c r="U17" s="774">
        <f>H17</f>
        <v>100</v>
      </c>
      <c r="V17" s="773" t="s">
        <v>17</v>
      </c>
      <c r="W17" s="774">
        <f>J17</f>
        <v>100</v>
      </c>
      <c r="X17" s="2951"/>
      <c r="Y17" s="3236"/>
      <c r="Z17" s="2952" t="str">
        <f>Q17</f>
        <v>交通便捷度</v>
      </c>
      <c r="AA17" s="2950">
        <f t="shared" si="3"/>
        <v>1</v>
      </c>
      <c r="AB17" s="2950">
        <f t="shared" si="4"/>
        <v>1</v>
      </c>
      <c r="AC17" s="2669">
        <f t="shared" si="5"/>
        <v>1</v>
      </c>
    </row>
    <row r="18" spans="1:29" ht="15.5">
      <c r="A18" s="428"/>
      <c r="B18" s="632"/>
      <c r="C18" s="2671" t="s">
        <v>3078</v>
      </c>
      <c r="D18" s="450"/>
      <c r="E18" s="2671" t="s">
        <v>3078</v>
      </c>
      <c r="F18" s="450"/>
      <c r="G18" s="2671" t="s">
        <v>3078</v>
      </c>
      <c r="H18" s="448"/>
      <c r="I18" s="2671" t="s">
        <v>3078</v>
      </c>
      <c r="J18" s="448"/>
      <c r="K18" s="615"/>
      <c r="L18" s="1139"/>
      <c r="M18" s="1130"/>
      <c r="N18" s="1130"/>
      <c r="O18" s="1130"/>
      <c r="P18" s="3234"/>
      <c r="Q18" s="2949"/>
      <c r="R18" s="773"/>
      <c r="S18" s="774"/>
      <c r="T18" s="773"/>
      <c r="U18" s="774"/>
      <c r="V18" s="773"/>
      <c r="W18" s="774"/>
      <c r="X18" s="2951"/>
      <c r="Y18" s="3236"/>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34"/>
      <c r="Q19" s="2949" t="str">
        <f>B19</f>
        <v>公共配套设施</v>
      </c>
      <c r="R19" s="773" t="s">
        <v>17</v>
      </c>
      <c r="S19" s="774">
        <f>F19</f>
        <v>100</v>
      </c>
      <c r="T19" s="773" t="s">
        <v>17</v>
      </c>
      <c r="U19" s="774">
        <f>H19</f>
        <v>100</v>
      </c>
      <c r="V19" s="773" t="s">
        <v>17</v>
      </c>
      <c r="W19" s="774">
        <f>J19</f>
        <v>100</v>
      </c>
      <c r="X19" s="2951"/>
      <c r="Y19" s="3236"/>
      <c r="Z19" s="2952" t="str">
        <f>Q19</f>
        <v>公共配套设施</v>
      </c>
      <c r="AA19" s="2950">
        <f t="shared" si="3"/>
        <v>1</v>
      </c>
      <c r="AB19" s="2950">
        <f t="shared" si="4"/>
        <v>1</v>
      </c>
      <c r="AC19" s="2669">
        <f t="shared" si="5"/>
        <v>1</v>
      </c>
    </row>
    <row r="20" spans="1:29" ht="15.5">
      <c r="A20" s="428"/>
      <c r="B20" s="632"/>
      <c r="C20" s="2606" t="s">
        <v>3078</v>
      </c>
      <c r="D20" s="448"/>
      <c r="E20" s="2606" t="s">
        <v>3078</v>
      </c>
      <c r="F20" s="448"/>
      <c r="G20" s="2606" t="s">
        <v>3078</v>
      </c>
      <c r="H20" s="448"/>
      <c r="I20" s="2606" t="s">
        <v>3078</v>
      </c>
      <c r="J20" s="448"/>
      <c r="K20" s="615"/>
      <c r="L20" s="1139"/>
      <c r="M20" s="1130"/>
      <c r="N20" s="1130"/>
      <c r="O20" s="1130"/>
      <c r="P20" s="3234"/>
      <c r="Q20" s="2949"/>
      <c r="R20" s="773"/>
      <c r="S20" s="774"/>
      <c r="T20" s="773"/>
      <c r="U20" s="774"/>
      <c r="V20" s="773"/>
      <c r="W20" s="774"/>
      <c r="X20" s="2951"/>
      <c r="Y20" s="3236"/>
      <c r="Z20" s="2952"/>
      <c r="AA20" s="2950">
        <v>1</v>
      </c>
      <c r="AB20" s="2950">
        <v>1</v>
      </c>
      <c r="AC20" s="2669">
        <v>1</v>
      </c>
    </row>
    <row r="21" spans="1:29" ht="15.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34"/>
      <c r="Q21" s="2949" t="str">
        <f>B21</f>
        <v>基础设施水平</v>
      </c>
      <c r="R21" s="773" t="s">
        <v>17</v>
      </c>
      <c r="S21" s="774">
        <f>F21</f>
        <v>100</v>
      </c>
      <c r="T21" s="773" t="s">
        <v>17</v>
      </c>
      <c r="U21" s="774">
        <f>H21</f>
        <v>100</v>
      </c>
      <c r="V21" s="773" t="s">
        <v>17</v>
      </c>
      <c r="W21" s="774">
        <f>J21</f>
        <v>100</v>
      </c>
      <c r="X21" s="2951"/>
      <c r="Y21" s="3236"/>
      <c r="Z21" s="2952" t="str">
        <f>Q21</f>
        <v>基础设施水平</v>
      </c>
      <c r="AA21" s="2950">
        <f t="shared" ref="AA21" si="8">D21/F21</f>
        <v>1</v>
      </c>
      <c r="AB21" s="2950">
        <f t="shared" ref="AB21" si="9">D21/H21</f>
        <v>1</v>
      </c>
      <c r="AC21" s="2669">
        <f t="shared" ref="AC21" si="10">D21/J21</f>
        <v>1</v>
      </c>
    </row>
    <row r="22" spans="1:29" ht="15.5">
      <c r="A22" s="428"/>
      <c r="B22" s="633"/>
      <c r="C22" s="2671" t="s">
        <v>3110</v>
      </c>
      <c r="D22" s="448"/>
      <c r="E22" s="2671" t="s">
        <v>3110</v>
      </c>
      <c r="F22" s="448"/>
      <c r="G22" s="2671" t="s">
        <v>3110</v>
      </c>
      <c r="H22" s="448"/>
      <c r="I22" s="2671" t="s">
        <v>3110</v>
      </c>
      <c r="J22" s="448"/>
      <c r="K22" s="1381"/>
      <c r="L22" s="1139"/>
      <c r="M22" s="1130"/>
      <c r="N22" s="1130"/>
      <c r="O22" s="1130"/>
      <c r="P22" s="3234"/>
      <c r="Q22" s="2949"/>
      <c r="R22" s="773"/>
      <c r="S22" s="774"/>
      <c r="T22" s="773"/>
      <c r="U22" s="774"/>
      <c r="V22" s="773"/>
      <c r="W22" s="774"/>
      <c r="X22" s="2951"/>
      <c r="Y22" s="3236"/>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34"/>
      <c r="Q23" s="2949" t="str">
        <f>B23</f>
        <v>环境质量</v>
      </c>
      <c r="R23" s="773" t="s">
        <v>17</v>
      </c>
      <c r="S23" s="774">
        <f>F23</f>
        <v>100</v>
      </c>
      <c r="T23" s="773" t="s">
        <v>17</v>
      </c>
      <c r="U23" s="774">
        <f>H23</f>
        <v>100</v>
      </c>
      <c r="V23" s="773" t="s">
        <v>17</v>
      </c>
      <c r="W23" s="774">
        <f>J23</f>
        <v>100</v>
      </c>
      <c r="X23" s="2951"/>
      <c r="Y23" s="3236"/>
      <c r="Z23" s="2952" t="str">
        <f>Q23</f>
        <v>环境质量</v>
      </c>
      <c r="AA23" s="2950">
        <f t="shared" si="3"/>
        <v>1</v>
      </c>
      <c r="AB23" s="2950">
        <f t="shared" si="4"/>
        <v>1</v>
      </c>
      <c r="AC23" s="2669">
        <f t="shared" si="5"/>
        <v>1</v>
      </c>
    </row>
    <row r="24" spans="1:29" ht="15.5">
      <c r="A24" s="428"/>
      <c r="B24" s="633"/>
      <c r="C24" s="2606" t="s">
        <v>3078</v>
      </c>
      <c r="D24" s="448"/>
      <c r="E24" s="2606" t="s">
        <v>3078</v>
      </c>
      <c r="F24" s="448"/>
      <c r="G24" s="2606" t="s">
        <v>3078</v>
      </c>
      <c r="H24" s="448"/>
      <c r="I24" s="2606" t="s">
        <v>3078</v>
      </c>
      <c r="J24" s="448"/>
      <c r="K24" s="615"/>
      <c r="L24" s="1139"/>
      <c r="M24" s="1130"/>
      <c r="N24" s="1130"/>
      <c r="O24" s="1130"/>
      <c r="P24" s="3234"/>
      <c r="Q24" s="2949"/>
      <c r="R24" s="773"/>
      <c r="S24" s="774"/>
      <c r="T24" s="773"/>
      <c r="U24" s="774"/>
      <c r="V24" s="773"/>
      <c r="W24" s="774"/>
      <c r="X24" s="2951"/>
      <c r="Y24" s="3236"/>
      <c r="Z24" s="2952"/>
      <c r="AA24" s="2950">
        <v>1</v>
      </c>
      <c r="AB24" s="2950">
        <v>1</v>
      </c>
      <c r="AC24" s="2669">
        <v>1</v>
      </c>
    </row>
    <row r="25" spans="1:29" ht="28">
      <c r="A25" s="404"/>
      <c r="B25" s="631" t="s">
        <v>2680</v>
      </c>
      <c r="C25" s="2963" t="s">
        <v>3119</v>
      </c>
      <c r="D25" s="435">
        <v>100</v>
      </c>
      <c r="E25" s="2963" t="s">
        <v>3132</v>
      </c>
      <c r="F25" s="435">
        <f>SUMIF(87:87,E26,88:88)-SUMIF(87:87,C26,88:88)+100</f>
        <v>98</v>
      </c>
      <c r="G25" s="2993" t="s">
        <v>3119</v>
      </c>
      <c r="H25" s="435">
        <f>SUMIF(87:87,G26,88:88)-SUMIF(87:87,C26,88:88)+100</f>
        <v>100</v>
      </c>
      <c r="I25" s="2963" t="s">
        <v>3124</v>
      </c>
      <c r="J25" s="435">
        <f>SUMIF(87:87,I26,88:88)-SUMIF(87:87,C26,88:88)+100</f>
        <v>98</v>
      </c>
      <c r="K25" s="614">
        <v>1</v>
      </c>
      <c r="L25" s="1139"/>
      <c r="M25" s="1130"/>
      <c r="N25" s="1130"/>
      <c r="O25" s="1130"/>
      <c r="P25" s="3234"/>
      <c r="Q25" s="2949" t="str">
        <f>B25</f>
        <v>毗邻道路的类型与等级</v>
      </c>
      <c r="R25" s="773" t="s">
        <v>17</v>
      </c>
      <c r="S25" s="774">
        <f>F25</f>
        <v>98</v>
      </c>
      <c r="T25" s="773" t="s">
        <v>17</v>
      </c>
      <c r="U25" s="774">
        <f>H25</f>
        <v>100</v>
      </c>
      <c r="V25" s="773" t="s">
        <v>17</v>
      </c>
      <c r="W25" s="774">
        <f>J25</f>
        <v>98</v>
      </c>
      <c r="X25" s="2951"/>
      <c r="Y25" s="3236"/>
      <c r="Z25" s="2952" t="str">
        <f>Q25</f>
        <v>毗邻道路的类型与等级</v>
      </c>
      <c r="AA25" s="2950">
        <f t="shared" si="3"/>
        <v>1.0204081632653061</v>
      </c>
      <c r="AB25" s="2950">
        <f t="shared" si="4"/>
        <v>1</v>
      </c>
      <c r="AC25" s="2669">
        <f t="shared" si="5"/>
        <v>1.0204081632653061</v>
      </c>
    </row>
    <row r="26" spans="1:29" ht="15.5">
      <c r="A26" s="404"/>
      <c r="B26" s="632"/>
      <c r="C26" s="634" t="s">
        <v>3085</v>
      </c>
      <c r="D26" s="435"/>
      <c r="E26" s="616" t="s">
        <v>3088</v>
      </c>
      <c r="F26" s="435"/>
      <c r="G26" s="634" t="s">
        <v>3085</v>
      </c>
      <c r="H26" s="435"/>
      <c r="I26" s="616" t="s">
        <v>3088</v>
      </c>
      <c r="J26" s="435"/>
      <c r="K26" s="615"/>
      <c r="L26" s="1139"/>
      <c r="M26" s="1130"/>
      <c r="N26" s="1130"/>
      <c r="O26" s="1130"/>
      <c r="P26" s="3234"/>
      <c r="Q26" s="2949"/>
      <c r="R26" s="773"/>
      <c r="S26" s="774"/>
      <c r="T26" s="773"/>
      <c r="U26" s="774"/>
      <c r="V26" s="773"/>
      <c r="W26" s="774"/>
      <c r="X26" s="2951"/>
      <c r="Y26" s="3236"/>
      <c r="Z26" s="2952"/>
      <c r="AA26" s="2950">
        <v>1</v>
      </c>
      <c r="AB26" s="2950">
        <v>1</v>
      </c>
      <c r="AC26" s="2669">
        <v>1</v>
      </c>
    </row>
    <row r="27" spans="1:29" ht="15.5">
      <c r="A27" s="428"/>
      <c r="B27" s="632" t="s">
        <v>2648</v>
      </c>
      <c r="C27" s="634" t="s">
        <v>3091</v>
      </c>
      <c r="D27" s="435">
        <v>100</v>
      </c>
      <c r="E27" s="616" t="s">
        <v>3093</v>
      </c>
      <c r="F27" s="435">
        <f>SUMIF(89:89,E27,90:90)-SUMIF(89:89,C27,90:90)+100</f>
        <v>99</v>
      </c>
      <c r="G27" s="634" t="s">
        <v>3063</v>
      </c>
      <c r="H27" s="435">
        <f>SUMIF(89:89,G27,90:90)-SUMIF(89:89,C27,90:90)+100</f>
        <v>98</v>
      </c>
      <c r="I27" s="616" t="s">
        <v>3091</v>
      </c>
      <c r="J27" s="435">
        <f>SUMIF(89:89,I27,90:90)-SUMIF(89:89,C27,90:90)+100</f>
        <v>100</v>
      </c>
      <c r="K27" s="612">
        <v>1</v>
      </c>
      <c r="L27" s="1139"/>
      <c r="M27" s="1130"/>
      <c r="N27" s="1130"/>
      <c r="O27" s="1130"/>
      <c r="P27" s="3234"/>
      <c r="Q27" s="2949" t="str">
        <f t="shared" ref="Q27:Q47" si="11">B27</f>
        <v>楼层</v>
      </c>
      <c r="R27" s="773" t="s">
        <v>17</v>
      </c>
      <c r="S27" s="774">
        <f>F27</f>
        <v>99</v>
      </c>
      <c r="T27" s="773" t="s">
        <v>17</v>
      </c>
      <c r="U27" s="774">
        <f>H27</f>
        <v>98</v>
      </c>
      <c r="V27" s="773" t="s">
        <v>17</v>
      </c>
      <c r="W27" s="774">
        <f>J27</f>
        <v>100</v>
      </c>
      <c r="X27" s="2951"/>
      <c r="Y27" s="3236"/>
      <c r="Z27" s="2952" t="str">
        <f>Q27</f>
        <v>楼层</v>
      </c>
      <c r="AA27" s="2950">
        <f t="shared" si="3"/>
        <v>1.0101010101010102</v>
      </c>
      <c r="AB27" s="2950">
        <f t="shared" si="4"/>
        <v>1.0204081632653061</v>
      </c>
      <c r="AC27" s="2669">
        <f t="shared" si="5"/>
        <v>1</v>
      </c>
    </row>
    <row r="28" spans="1:29" s="117" customFormat="1" ht="15.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34"/>
      <c r="Q28" s="2945" t="str">
        <f t="shared" si="11"/>
        <v>朝向</v>
      </c>
      <c r="R28" s="769" t="s">
        <v>17</v>
      </c>
      <c r="S28" s="770">
        <f>F28</f>
        <v>100</v>
      </c>
      <c r="T28" s="769" t="s">
        <v>17</v>
      </c>
      <c r="U28" s="770">
        <f>H28</f>
        <v>100</v>
      </c>
      <c r="V28" s="769" t="s">
        <v>17</v>
      </c>
      <c r="W28" s="770">
        <f>J28</f>
        <v>100</v>
      </c>
      <c r="X28" s="771"/>
      <c r="Y28" s="3236"/>
      <c r="Z28" s="2946" t="str">
        <f>Q28</f>
        <v>朝向</v>
      </c>
      <c r="AA28" s="2950">
        <f>D28/F28</f>
        <v>1</v>
      </c>
      <c r="AB28" s="2950">
        <f>D28/H28</f>
        <v>1</v>
      </c>
      <c r="AC28" s="2669">
        <f>D28/J28</f>
        <v>1</v>
      </c>
    </row>
    <row r="29" spans="1:29" ht="15.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2949">
        <f t="shared" si="11"/>
        <v>0</v>
      </c>
      <c r="R29" s="773" t="s">
        <v>17</v>
      </c>
      <c r="S29" s="774">
        <f t="shared" ref="S29:S47" si="12">F29</f>
        <v>100</v>
      </c>
      <c r="T29" s="773" t="s">
        <v>17</v>
      </c>
      <c r="U29" s="774">
        <f t="shared" ref="U29:U47" si="13">H29</f>
        <v>100</v>
      </c>
      <c r="V29" s="773" t="s">
        <v>17</v>
      </c>
      <c r="W29" s="774">
        <f t="shared" ref="W29:W47" si="14">J29</f>
        <v>100</v>
      </c>
      <c r="X29" s="2951"/>
      <c r="Y29" s="3236"/>
      <c r="Z29" s="2952">
        <f t="shared" ref="Z29:Z47" si="15">Q29</f>
        <v>0</v>
      </c>
      <c r="AA29" s="2950">
        <f t="shared" si="3"/>
        <v>1</v>
      </c>
      <c r="AB29" s="2950">
        <f t="shared" si="4"/>
        <v>1</v>
      </c>
      <c r="AC29" s="2669">
        <f t="shared" si="5"/>
        <v>1</v>
      </c>
    </row>
    <row r="30" spans="1:29" ht="15.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2949">
        <f t="shared" si="11"/>
        <v>0</v>
      </c>
      <c r="R30" s="773" t="s">
        <v>17</v>
      </c>
      <c r="S30" s="774">
        <f t="shared" si="12"/>
        <v>100</v>
      </c>
      <c r="T30" s="773" t="s">
        <v>17</v>
      </c>
      <c r="U30" s="774">
        <f t="shared" si="13"/>
        <v>100</v>
      </c>
      <c r="V30" s="773" t="s">
        <v>17</v>
      </c>
      <c r="W30" s="774">
        <f t="shared" si="14"/>
        <v>100</v>
      </c>
      <c r="X30" s="2951"/>
      <c r="Y30" s="3236"/>
      <c r="Z30" s="2952">
        <f t="shared" si="15"/>
        <v>0</v>
      </c>
      <c r="AA30" s="2950">
        <f t="shared" si="3"/>
        <v>1</v>
      </c>
      <c r="AB30" s="2950">
        <f t="shared" si="4"/>
        <v>1</v>
      </c>
      <c r="AC30" s="2669">
        <f t="shared" si="5"/>
        <v>1</v>
      </c>
    </row>
    <row r="31" spans="1:29" ht="15.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2949">
        <f t="shared" si="11"/>
        <v>0</v>
      </c>
      <c r="R31" s="773" t="s">
        <v>17</v>
      </c>
      <c r="S31" s="774">
        <f t="shared" si="12"/>
        <v>100</v>
      </c>
      <c r="T31" s="773" t="s">
        <v>17</v>
      </c>
      <c r="U31" s="774">
        <f t="shared" si="13"/>
        <v>100</v>
      </c>
      <c r="V31" s="773" t="s">
        <v>17</v>
      </c>
      <c r="W31" s="774">
        <f t="shared" si="14"/>
        <v>100</v>
      </c>
      <c r="X31" s="2951"/>
      <c r="Y31" s="3236"/>
      <c r="Z31" s="2952">
        <f t="shared" si="15"/>
        <v>0</v>
      </c>
      <c r="AA31" s="2950">
        <f t="shared" si="3"/>
        <v>1</v>
      </c>
      <c r="AB31" s="2950">
        <f t="shared" si="4"/>
        <v>1</v>
      </c>
      <c r="AC31" s="2669">
        <f t="shared" si="5"/>
        <v>1</v>
      </c>
    </row>
    <row r="32" spans="1:29" ht="1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2949">
        <f t="shared" si="11"/>
        <v>0</v>
      </c>
      <c r="R32" s="773" t="s">
        <v>17</v>
      </c>
      <c r="S32" s="774">
        <f t="shared" si="12"/>
        <v>100</v>
      </c>
      <c r="T32" s="773" t="s">
        <v>17</v>
      </c>
      <c r="U32" s="774">
        <f t="shared" si="13"/>
        <v>100</v>
      </c>
      <c r="V32" s="773" t="s">
        <v>17</v>
      </c>
      <c r="W32" s="774">
        <f t="shared" si="14"/>
        <v>100</v>
      </c>
      <c r="X32" s="2951"/>
      <c r="Y32" s="3236"/>
      <c r="Z32" s="2952">
        <f t="shared" si="15"/>
        <v>0</v>
      </c>
      <c r="AA32" s="2950">
        <f t="shared" si="3"/>
        <v>1</v>
      </c>
      <c r="AB32" s="2950">
        <f t="shared" si="4"/>
        <v>1</v>
      </c>
      <c r="AC32" s="2669">
        <f t="shared" si="5"/>
        <v>1</v>
      </c>
    </row>
    <row r="33" spans="1:29" ht="15.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2949" t="str">
        <f t="shared" si="11"/>
        <v>建筑类型</v>
      </c>
      <c r="R33" s="773" t="s">
        <v>17</v>
      </c>
      <c r="S33" s="774">
        <f t="shared" si="12"/>
        <v>100</v>
      </c>
      <c r="T33" s="773" t="s">
        <v>17</v>
      </c>
      <c r="U33" s="774">
        <f t="shared" si="13"/>
        <v>100</v>
      </c>
      <c r="V33" s="773" t="s">
        <v>17</v>
      </c>
      <c r="W33" s="774">
        <f t="shared" si="14"/>
        <v>100</v>
      </c>
      <c r="X33" s="2951"/>
      <c r="Y33" s="3240" t="s">
        <v>2554</v>
      </c>
      <c r="Z33" s="2952" t="str">
        <f t="shared" si="15"/>
        <v>建筑类型</v>
      </c>
      <c r="AA33" s="2950">
        <f t="shared" si="3"/>
        <v>1</v>
      </c>
      <c r="AB33" s="2950">
        <f t="shared" si="4"/>
        <v>1</v>
      </c>
      <c r="AC33" s="2669">
        <f t="shared" si="5"/>
        <v>1</v>
      </c>
    </row>
    <row r="34" spans="1:29" s="471" customFormat="1" ht="15.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38"/>
      <c r="Q34" s="775" t="str">
        <f t="shared" si="11"/>
        <v>项目建筑规模</v>
      </c>
      <c r="R34" s="776" t="s">
        <v>17</v>
      </c>
      <c r="S34" s="777">
        <f t="shared" si="12"/>
        <v>100</v>
      </c>
      <c r="T34" s="776" t="s">
        <v>17</v>
      </c>
      <c r="U34" s="777">
        <f t="shared" si="13"/>
        <v>102</v>
      </c>
      <c r="V34" s="776" t="s">
        <v>17</v>
      </c>
      <c r="W34" s="777">
        <f t="shared" si="14"/>
        <v>100</v>
      </c>
      <c r="X34" s="778"/>
      <c r="Y34" s="3240"/>
      <c r="Z34" s="779" t="str">
        <f t="shared" si="15"/>
        <v>项目建筑规模</v>
      </c>
      <c r="AA34" s="2950">
        <f t="shared" si="3"/>
        <v>1</v>
      </c>
      <c r="AB34" s="2950">
        <f t="shared" si="4"/>
        <v>0.98039215686274506</v>
      </c>
      <c r="AC34" s="2669">
        <f t="shared" si="5"/>
        <v>1</v>
      </c>
    </row>
    <row r="35" spans="1:29" ht="15.5">
      <c r="A35" s="472"/>
      <c r="B35" s="2947"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2949" t="str">
        <f t="shared" si="11"/>
        <v>建筑结构</v>
      </c>
      <c r="R35" s="773" t="s">
        <v>17</v>
      </c>
      <c r="S35" s="774">
        <f t="shared" si="12"/>
        <v>100</v>
      </c>
      <c r="T35" s="773" t="s">
        <v>17</v>
      </c>
      <c r="U35" s="774">
        <f t="shared" si="13"/>
        <v>100</v>
      </c>
      <c r="V35" s="773" t="s">
        <v>17</v>
      </c>
      <c r="W35" s="774">
        <f t="shared" si="14"/>
        <v>100</v>
      </c>
      <c r="X35" s="2951"/>
      <c r="Y35" s="3240"/>
      <c r="Z35" s="2952" t="str">
        <f t="shared" si="15"/>
        <v>建筑结构</v>
      </c>
      <c r="AA35" s="2950">
        <f t="shared" si="3"/>
        <v>1</v>
      </c>
      <c r="AB35" s="2950">
        <f t="shared" si="4"/>
        <v>1</v>
      </c>
      <c r="AC35" s="2669">
        <f t="shared" si="5"/>
        <v>1</v>
      </c>
    </row>
    <row r="36" spans="1:29" ht="15.5">
      <c r="A36" s="472"/>
      <c r="B36" s="2947" t="s">
        <v>2650</v>
      </c>
      <c r="C36" s="460" t="s">
        <v>3100</v>
      </c>
      <c r="D36" s="435">
        <v>100</v>
      </c>
      <c r="E36" s="460" t="s">
        <v>3100</v>
      </c>
      <c r="F36" s="461">
        <f>SUMIF(108:108,E36,109:109)-SUMIF(108:108,C36,109:109)+100</f>
        <v>100</v>
      </c>
      <c r="G36" s="460" t="s">
        <v>3100</v>
      </c>
      <c r="H36" s="435">
        <f>SUMIF(108:108,G36,109:109)-SUMIF(108:108,C36,109:109)+100</f>
        <v>100</v>
      </c>
      <c r="I36" s="460" t="s">
        <v>3100</v>
      </c>
      <c r="J36" s="435">
        <f>SUMIF(108:108,I36,109:109)-SUMIF(108:108,C36,109:109)+100</f>
        <v>100</v>
      </c>
      <c r="K36" s="612">
        <v>1</v>
      </c>
      <c r="L36" s="1139"/>
      <c r="M36" s="1130"/>
      <c r="N36" s="1130"/>
      <c r="O36" s="1130"/>
      <c r="P36" s="3238"/>
      <c r="Q36" s="2949" t="str">
        <f t="shared" si="11"/>
        <v>公共部分装修</v>
      </c>
      <c r="R36" s="773" t="s">
        <v>17</v>
      </c>
      <c r="S36" s="774">
        <f t="shared" si="12"/>
        <v>100</v>
      </c>
      <c r="T36" s="773" t="s">
        <v>17</v>
      </c>
      <c r="U36" s="774">
        <f t="shared" si="13"/>
        <v>100</v>
      </c>
      <c r="V36" s="773" t="s">
        <v>17</v>
      </c>
      <c r="W36" s="774">
        <f t="shared" si="14"/>
        <v>100</v>
      </c>
      <c r="X36" s="2951"/>
      <c r="Y36" s="3240"/>
      <c r="Z36" s="2952" t="str">
        <f t="shared" si="15"/>
        <v>公共部分装修</v>
      </c>
      <c r="AA36" s="2950">
        <f t="shared" si="3"/>
        <v>1</v>
      </c>
      <c r="AB36" s="2950">
        <f t="shared" si="4"/>
        <v>1</v>
      </c>
      <c r="AC36" s="2669">
        <f t="shared" si="5"/>
        <v>1</v>
      </c>
    </row>
    <row r="37" spans="1:29" ht="15.5">
      <c r="A37" s="472"/>
      <c r="B37" s="2947" t="s">
        <v>2651</v>
      </c>
      <c r="C37" s="474">
        <f>'数据-取费表'!N6</f>
        <v>0.9</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38"/>
      <c r="Q37" s="2949" t="str">
        <f t="shared" si="11"/>
        <v>成新度</v>
      </c>
      <c r="R37" s="773" t="s">
        <v>17</v>
      </c>
      <c r="S37" s="774">
        <f t="shared" si="12"/>
        <v>100</v>
      </c>
      <c r="T37" s="773" t="s">
        <v>17</v>
      </c>
      <c r="U37" s="774">
        <f t="shared" si="13"/>
        <v>100</v>
      </c>
      <c r="V37" s="773" t="s">
        <v>17</v>
      </c>
      <c r="W37" s="774">
        <f t="shared" si="14"/>
        <v>100</v>
      </c>
      <c r="X37" s="2951"/>
      <c r="Y37" s="3240"/>
      <c r="Z37" s="2952" t="str">
        <f t="shared" si="15"/>
        <v>成新度</v>
      </c>
      <c r="AA37" s="2950">
        <f t="shared" si="3"/>
        <v>1</v>
      </c>
      <c r="AB37" s="2950">
        <f t="shared" si="4"/>
        <v>1</v>
      </c>
      <c r="AC37" s="2669">
        <f t="shared" si="5"/>
        <v>1</v>
      </c>
    </row>
    <row r="38" spans="1:29" s="117" customFormat="1" ht="15.5">
      <c r="A38" s="473"/>
      <c r="B38" s="2947"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2945" t="str">
        <f t="shared" si="11"/>
        <v>写字楼等级</v>
      </c>
      <c r="R38" s="769" t="s">
        <v>17</v>
      </c>
      <c r="S38" s="770">
        <f t="shared" si="12"/>
        <v>100</v>
      </c>
      <c r="T38" s="769" t="s">
        <v>17</v>
      </c>
      <c r="U38" s="770">
        <f t="shared" si="13"/>
        <v>100</v>
      </c>
      <c r="V38" s="769" t="s">
        <v>17</v>
      </c>
      <c r="W38" s="770">
        <f t="shared" si="14"/>
        <v>100</v>
      </c>
      <c r="X38" s="771"/>
      <c r="Y38" s="3240"/>
      <c r="Z38" s="2946" t="str">
        <f t="shared" si="15"/>
        <v>写字楼等级</v>
      </c>
      <c r="AA38" s="772">
        <f t="shared" si="3"/>
        <v>1</v>
      </c>
      <c r="AB38" s="772">
        <f t="shared" si="4"/>
        <v>1</v>
      </c>
      <c r="AC38" s="2666">
        <f t="shared" si="5"/>
        <v>1</v>
      </c>
    </row>
    <row r="39" spans="1:29" ht="15.5">
      <c r="A39" s="472"/>
      <c r="B39" s="2947"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2949" t="str">
        <f t="shared" si="11"/>
        <v>物业管理</v>
      </c>
      <c r="R39" s="773" t="s">
        <v>17</v>
      </c>
      <c r="S39" s="774">
        <f t="shared" si="12"/>
        <v>100</v>
      </c>
      <c r="T39" s="773" t="s">
        <v>17</v>
      </c>
      <c r="U39" s="774">
        <f t="shared" si="13"/>
        <v>100</v>
      </c>
      <c r="V39" s="773" t="s">
        <v>17</v>
      </c>
      <c r="W39" s="774">
        <f t="shared" si="14"/>
        <v>100</v>
      </c>
      <c r="X39" s="2951"/>
      <c r="Y39" s="3240" t="s">
        <v>2554</v>
      </c>
      <c r="Z39" s="2952" t="str">
        <f t="shared" si="15"/>
        <v>物业管理</v>
      </c>
      <c r="AA39" s="2950">
        <f t="shared" si="3"/>
        <v>1</v>
      </c>
      <c r="AB39" s="2950">
        <f t="shared" si="4"/>
        <v>1</v>
      </c>
      <c r="AC39" s="2669">
        <f t="shared" si="5"/>
        <v>1</v>
      </c>
    </row>
    <row r="40" spans="1:29" ht="15.5">
      <c r="A40" s="472"/>
      <c r="B40" s="2947"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2949" t="str">
        <f t="shared" si="11"/>
        <v>市政基础设施</v>
      </c>
      <c r="R40" s="773" t="s">
        <v>17</v>
      </c>
      <c r="S40" s="774">
        <f t="shared" si="12"/>
        <v>100</v>
      </c>
      <c r="T40" s="773" t="s">
        <v>17</v>
      </c>
      <c r="U40" s="774">
        <f t="shared" si="13"/>
        <v>100</v>
      </c>
      <c r="V40" s="773" t="s">
        <v>17</v>
      </c>
      <c r="W40" s="774">
        <f t="shared" si="14"/>
        <v>100</v>
      </c>
      <c r="X40" s="2951"/>
      <c r="Y40" s="3240"/>
      <c r="Z40" s="2952" t="str">
        <f t="shared" si="15"/>
        <v>市政基础设施</v>
      </c>
      <c r="AA40" s="2950">
        <f t="shared" si="3"/>
        <v>1</v>
      </c>
      <c r="AB40" s="2950">
        <f t="shared" si="4"/>
        <v>1</v>
      </c>
      <c r="AC40" s="2669">
        <f t="shared" si="5"/>
        <v>1</v>
      </c>
    </row>
    <row r="41" spans="1:29" ht="15.5">
      <c r="A41" s="472"/>
      <c r="B41" s="2947"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2949" t="str">
        <f t="shared" si="11"/>
        <v>层高</v>
      </c>
      <c r="R41" s="773" t="s">
        <v>17</v>
      </c>
      <c r="S41" s="774">
        <f t="shared" si="12"/>
        <v>100</v>
      </c>
      <c r="T41" s="773" t="s">
        <v>17</v>
      </c>
      <c r="U41" s="774">
        <f t="shared" si="13"/>
        <v>100</v>
      </c>
      <c r="V41" s="773" t="s">
        <v>17</v>
      </c>
      <c r="W41" s="774">
        <f t="shared" si="14"/>
        <v>100</v>
      </c>
      <c r="X41" s="2951"/>
      <c r="Y41" s="3240"/>
      <c r="Z41" s="2952" t="str">
        <f t="shared" si="15"/>
        <v>层高</v>
      </c>
      <c r="AA41" s="2950">
        <f t="shared" si="3"/>
        <v>1</v>
      </c>
      <c r="AB41" s="2950">
        <f t="shared" si="4"/>
        <v>1</v>
      </c>
      <c r="AC41" s="2669">
        <f t="shared" si="5"/>
        <v>1</v>
      </c>
    </row>
    <row r="42" spans="1:29" s="471" customFormat="1" ht="15.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2950">
        <f t="shared" si="3"/>
        <v>1</v>
      </c>
      <c r="AB42" s="2950">
        <f t="shared" si="4"/>
        <v>1</v>
      </c>
      <c r="AC42" s="2669">
        <f t="shared" si="5"/>
        <v>1</v>
      </c>
    </row>
    <row r="43" spans="1:29" ht="15.5">
      <c r="A43" s="472"/>
      <c r="B43" s="2947" t="s">
        <v>2657</v>
      </c>
      <c r="C43" s="460" t="s">
        <v>3100</v>
      </c>
      <c r="D43" s="435">
        <v>100</v>
      </c>
      <c r="E43" s="460" t="s">
        <v>3100</v>
      </c>
      <c r="F43" s="461">
        <f>SUMIF(123:123,E43,124:124)-SUMIF(123:123,C43,124:124)+100</f>
        <v>100</v>
      </c>
      <c r="G43" s="460" t="s">
        <v>3102</v>
      </c>
      <c r="H43" s="435">
        <f>SUMIF(123:123,G43,124:124)-SUMIF(123:123,C43,124:124)+100</f>
        <v>99</v>
      </c>
      <c r="I43" s="460" t="s">
        <v>3100</v>
      </c>
      <c r="J43" s="435">
        <f>SUMIF(123:123,I43,124:124)-SUMIF(123:123,C43,124:124)+100</f>
        <v>100</v>
      </c>
      <c r="K43" s="612">
        <v>1</v>
      </c>
      <c r="L43" s="1139"/>
      <c r="M43" s="1130"/>
      <c r="N43" s="1130"/>
      <c r="O43" s="1130"/>
      <c r="P43" s="3238"/>
      <c r="Q43" s="2949" t="str">
        <f t="shared" si="11"/>
        <v>内部装修</v>
      </c>
      <c r="R43" s="773" t="s">
        <v>17</v>
      </c>
      <c r="S43" s="774">
        <f t="shared" si="12"/>
        <v>100</v>
      </c>
      <c r="T43" s="773" t="s">
        <v>17</v>
      </c>
      <c r="U43" s="774">
        <f t="shared" si="13"/>
        <v>99</v>
      </c>
      <c r="V43" s="773" t="s">
        <v>17</v>
      </c>
      <c r="W43" s="774">
        <f t="shared" si="14"/>
        <v>100</v>
      </c>
      <c r="X43" s="2951"/>
      <c r="Y43" s="3240"/>
      <c r="Z43" s="2952" t="str">
        <f t="shared" si="15"/>
        <v>内部装修</v>
      </c>
      <c r="AA43" s="2950">
        <f t="shared" si="3"/>
        <v>1</v>
      </c>
      <c r="AB43" s="2950">
        <f t="shared" si="4"/>
        <v>1.0101010101010102</v>
      </c>
      <c r="AC43" s="2669">
        <f t="shared" si="5"/>
        <v>1</v>
      </c>
    </row>
    <row r="44" spans="1:29" ht="28">
      <c r="A44" s="472"/>
      <c r="B44" s="2947"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2949" t="str">
        <f t="shared" si="11"/>
        <v>内部装修维护情况</v>
      </c>
      <c r="R44" s="773" t="s">
        <v>17</v>
      </c>
      <c r="S44" s="774">
        <f t="shared" si="12"/>
        <v>100</v>
      </c>
      <c r="T44" s="773" t="s">
        <v>17</v>
      </c>
      <c r="U44" s="774">
        <f t="shared" si="13"/>
        <v>100</v>
      </c>
      <c r="V44" s="773" t="s">
        <v>17</v>
      </c>
      <c r="W44" s="774">
        <f t="shared" si="14"/>
        <v>100</v>
      </c>
      <c r="X44" s="2951"/>
      <c r="Y44" s="3240"/>
      <c r="Z44" s="2952" t="str">
        <f t="shared" si="15"/>
        <v>内部装修维护情况</v>
      </c>
      <c r="AA44" s="2950">
        <f t="shared" si="3"/>
        <v>1</v>
      </c>
      <c r="AB44" s="2950">
        <f t="shared" si="4"/>
        <v>1</v>
      </c>
      <c r="AC44" s="2669">
        <f t="shared" si="5"/>
        <v>1</v>
      </c>
    </row>
    <row r="45" spans="1:29" s="117" customFormat="1" ht="15.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2945">
        <f t="shared" si="11"/>
        <v>0</v>
      </c>
      <c r="R45" s="769" t="s">
        <v>17</v>
      </c>
      <c r="S45" s="770">
        <f t="shared" si="12"/>
        <v>100</v>
      </c>
      <c r="T45" s="769" t="s">
        <v>17</v>
      </c>
      <c r="U45" s="770">
        <f t="shared" si="13"/>
        <v>100</v>
      </c>
      <c r="V45" s="769" t="s">
        <v>17</v>
      </c>
      <c r="W45" s="770">
        <f t="shared" si="14"/>
        <v>100</v>
      </c>
      <c r="X45" s="771"/>
      <c r="Y45" s="3240"/>
      <c r="Z45" s="2946">
        <f t="shared" si="15"/>
        <v>0</v>
      </c>
      <c r="AA45" s="772">
        <f t="shared" si="3"/>
        <v>1</v>
      </c>
      <c r="AB45" s="772">
        <f t="shared" si="4"/>
        <v>1</v>
      </c>
      <c r="AC45" s="2666">
        <f t="shared" si="5"/>
        <v>1</v>
      </c>
    </row>
    <row r="46" spans="1:29" ht="15.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2949">
        <f t="shared" si="11"/>
        <v>0</v>
      </c>
      <c r="R46" s="773" t="s">
        <v>17</v>
      </c>
      <c r="S46" s="774">
        <f t="shared" si="12"/>
        <v>100</v>
      </c>
      <c r="T46" s="773" t="s">
        <v>17</v>
      </c>
      <c r="U46" s="774">
        <f t="shared" si="13"/>
        <v>100</v>
      </c>
      <c r="V46" s="773" t="s">
        <v>17</v>
      </c>
      <c r="W46" s="774">
        <f t="shared" si="14"/>
        <v>100</v>
      </c>
      <c r="X46" s="2951"/>
      <c r="Y46" s="3240"/>
      <c r="Z46" s="2952">
        <f t="shared" si="15"/>
        <v>0</v>
      </c>
      <c r="AA46" s="2950">
        <f t="shared" si="3"/>
        <v>1</v>
      </c>
      <c r="AB46" s="2950">
        <f t="shared" si="4"/>
        <v>1</v>
      </c>
      <c r="AC46" s="2669">
        <f t="shared" si="5"/>
        <v>1</v>
      </c>
    </row>
    <row r="47" spans="1:29" ht="1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2949">
        <f t="shared" si="11"/>
        <v>0</v>
      </c>
      <c r="R47" s="773" t="s">
        <v>17</v>
      </c>
      <c r="S47" s="774">
        <f t="shared" si="12"/>
        <v>100</v>
      </c>
      <c r="T47" s="773" t="s">
        <v>17</v>
      </c>
      <c r="U47" s="774">
        <f t="shared" si="13"/>
        <v>100</v>
      </c>
      <c r="V47" s="773" t="s">
        <v>17</v>
      </c>
      <c r="W47" s="774">
        <f t="shared" si="14"/>
        <v>100</v>
      </c>
      <c r="X47" s="2951"/>
      <c r="Y47" s="3241"/>
      <c r="Z47" s="2952">
        <f t="shared" si="15"/>
        <v>0</v>
      </c>
      <c r="AA47" s="2950">
        <f t="shared" si="3"/>
        <v>1</v>
      </c>
      <c r="AB47" s="2950">
        <f t="shared" si="4"/>
        <v>1</v>
      </c>
      <c r="AC47" s="2669">
        <f t="shared" si="5"/>
        <v>1</v>
      </c>
    </row>
    <row r="48" spans="1:29">
      <c r="A48" s="479" t="s">
        <v>2566</v>
      </c>
      <c r="B48" s="480"/>
      <c r="C48" s="1405" t="s">
        <v>1</v>
      </c>
      <c r="D48" s="1406"/>
      <c r="E48" s="1407">
        <v>4.5</v>
      </c>
      <c r="F48" s="1408"/>
      <c r="G48" s="1409">
        <v>4.2</v>
      </c>
      <c r="H48" s="1410"/>
      <c r="I48" s="1407">
        <v>4.5</v>
      </c>
      <c r="J48" s="485"/>
      <c r="K48" s="782"/>
      <c r="L48" s="1142"/>
      <c r="M48" s="1130"/>
      <c r="N48" s="1130"/>
      <c r="O48" s="1130"/>
      <c r="P48" s="3213" t="str">
        <f>A48</f>
        <v>成交单价（元/平方米）</v>
      </c>
      <c r="Q48" s="3242"/>
      <c r="R48" s="3243">
        <f>E48</f>
        <v>4.5</v>
      </c>
      <c r="S48" s="3243"/>
      <c r="T48" s="3243">
        <f>G48</f>
        <v>4.2</v>
      </c>
      <c r="U48" s="3243"/>
      <c r="V48" s="3243">
        <f>I48</f>
        <v>4.5</v>
      </c>
      <c r="W48" s="3243"/>
      <c r="X48" s="446"/>
      <c r="Y48" s="780"/>
      <c r="Z48" s="446"/>
      <c r="AA48" s="446"/>
      <c r="AB48" s="446"/>
      <c r="AC48" s="630"/>
    </row>
    <row r="49" spans="1:29" ht="14.5" thickBot="1">
      <c r="A49" s="486" t="s">
        <v>2567</v>
      </c>
      <c r="B49" s="487"/>
      <c r="C49" s="1411">
        <f>R50</f>
        <v>4.5</v>
      </c>
      <c r="D49" s="1412"/>
      <c r="E49" s="1413">
        <f>R49</f>
        <v>4.5999999999999996</v>
      </c>
      <c r="F49" s="1413"/>
      <c r="G49" s="1411">
        <f>T49</f>
        <v>4.2</v>
      </c>
      <c r="H49" s="1412"/>
      <c r="I49" s="1413">
        <f>V49</f>
        <v>4.5999999999999996</v>
      </c>
      <c r="J49" s="489"/>
      <c r="K49" s="783"/>
      <c r="L49" s="1142"/>
      <c r="M49" s="1130"/>
      <c r="N49" s="1130"/>
      <c r="O49" s="1130"/>
      <c r="P49" s="3213" t="str">
        <f>A49</f>
        <v>比较价值（元/平方米）</v>
      </c>
      <c r="Q49" s="3242"/>
      <c r="R49" s="3243">
        <f>IF(F1="售价",ROUND(PRODUCT(R48,AA7:AA47),0),ROUND(PRODUCT(R48,AA7:AA47),1))</f>
        <v>4.5999999999999996</v>
      </c>
      <c r="S49" s="3243"/>
      <c r="T49" s="3243">
        <f>IF(F1="售价",ROUND(PRODUCT(T48,AB7:AB47),0),ROUND(PRODUCT(T48,AB7:AB47),1))</f>
        <v>4.2</v>
      </c>
      <c r="U49" s="3243"/>
      <c r="V49" s="3243">
        <f>IF(F1="售价",ROUND(PRODUCT(V48,AC7:AC47),0),ROUND(PRODUCT(V48,AC7:AC47),1))</f>
        <v>4.5999999999999996</v>
      </c>
      <c r="W49" s="3243"/>
      <c r="X49" s="446"/>
      <c r="Y49" s="446"/>
      <c r="Z49" s="446"/>
      <c r="AA49" s="446"/>
      <c r="AB49" s="446"/>
      <c r="AC49" s="630"/>
    </row>
    <row r="50" spans="1:29" ht="14.5" thickBot="1">
      <c r="A50" s="492" t="s">
        <v>3165</v>
      </c>
      <c r="B50" s="493"/>
      <c r="C50" s="1415">
        <f>R50</f>
        <v>4.5</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4.5</v>
      </c>
      <c r="S50" s="3246"/>
      <c r="T50" s="3246"/>
      <c r="U50" s="3246"/>
      <c r="V50" s="3246"/>
      <c r="W50" s="324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2.2222222222222143E-2</v>
      </c>
      <c r="F53" s="500" t="str">
        <f>IF(OR(E53&gt;=0.3,E53&lt;=-0.3),"超过30%","")</f>
        <v/>
      </c>
      <c r="G53" s="499">
        <f>IF(G48&lt;G49,G49/G48-1,G48/G49-1)</f>
        <v>0</v>
      </c>
      <c r="H53" s="500" t="str">
        <f>IF(OR(G53&gt;=0.3,G53&lt;=-0.3),"超过30%","")</f>
        <v/>
      </c>
      <c r="I53" s="499">
        <f>IF(I48&lt;I49,I49/I48-1,I48/I49-1)</f>
        <v>2.2222222222222143E-2</v>
      </c>
      <c r="J53" s="500" t="str">
        <f>IF(OR(I53&gt;=0.3,I53&lt;=-0.3),"超过30%","")</f>
        <v/>
      </c>
      <c r="K53" s="1104"/>
      <c r="L53" s="1105"/>
      <c r="M53" s="1143"/>
      <c r="N53" s="1143"/>
      <c r="O53" s="1143"/>
    </row>
    <row r="54" spans="1:29" ht="13.5" customHeight="1">
      <c r="A54" s="1143"/>
      <c r="B54" s="1143"/>
      <c r="C54" s="497" t="s">
        <v>2570</v>
      </c>
      <c r="D54" s="501"/>
      <c r="E54" s="499">
        <f>IF(E49&lt;G49,G49/E49-1,E49/G49-1)</f>
        <v>9.5238095238095122E-2</v>
      </c>
      <c r="F54" s="500" t="str">
        <f>IF(OR(E54&gt;=0.2,E54&lt;=-0.2),"超过20%","")</f>
        <v/>
      </c>
      <c r="G54" s="499">
        <f>IF(G49&lt;I49,I49/G49-1,G49/I49-1)</f>
        <v>9.5238095238095122E-2</v>
      </c>
      <c r="H54" s="500" t="str">
        <f>IF(OR(G54&gt;=0.2,G54&lt;=-0.2),"超过20%","")</f>
        <v/>
      </c>
      <c r="I54" s="499">
        <f>IF(I49&lt;E49,E49/I49-1,I49/E49-1)</f>
        <v>0</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7.1428571428571397E-2</v>
      </c>
      <c r="F55" s="500" t="str">
        <f>IF(OR(E55&gt;=0.3,E55&lt;=-0.3),"超过30%","")</f>
        <v/>
      </c>
      <c r="G55" s="499">
        <f>IF(G48&lt;I48,I48/G48-1,G48/I48-1)</f>
        <v>7.1428571428571397E-2</v>
      </c>
      <c r="H55" s="500" t="str">
        <f>IF(OR(G55&gt;=0.3,G55&lt;=-0.3),"超过30%","")</f>
        <v/>
      </c>
      <c r="I55" s="499">
        <f>IF(I48&lt;E48,E48/I48-1,I48/E48-1)</f>
        <v>0</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5" thickBot="1">
      <c r="A58" s="762" t="s">
        <v>2572</v>
      </c>
      <c r="B58" s="758"/>
      <c r="C58" s="763"/>
      <c r="D58" s="763"/>
      <c r="E58" s="763"/>
      <c r="F58" s="764"/>
      <c r="G58" s="764"/>
      <c r="H58" s="763"/>
      <c r="I58" s="763"/>
      <c r="J58" s="763"/>
      <c r="K58" s="765"/>
      <c r="L58" s="1160"/>
      <c r="M58" s="1158"/>
      <c r="N58" s="1158"/>
      <c r="O58" s="1158"/>
      <c r="P58" s="2676"/>
      <c r="Q58" s="504"/>
    </row>
    <row r="59" spans="1:29" s="508" customFormat="1">
      <c r="A59" s="505" t="s">
        <v>2537</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4.5" thickBot="1">
      <c r="A61" s="515" t="s">
        <v>2574</v>
      </c>
      <c r="B61" s="516"/>
      <c r="C61" s="517"/>
      <c r="D61" s="518"/>
      <c r="E61" s="518"/>
      <c r="F61" s="518"/>
      <c r="G61" s="518"/>
      <c r="H61" s="518"/>
      <c r="I61" s="518"/>
      <c r="J61" s="518"/>
      <c r="K61" s="518"/>
      <c r="L61" s="518"/>
      <c r="M61" s="519"/>
      <c r="N61" s="518"/>
      <c r="O61" s="519"/>
      <c r="P61" s="2677"/>
      <c r="Q61" s="504"/>
    </row>
    <row r="62" spans="1:29" s="117" customFormat="1">
      <c r="A62" s="521" t="s">
        <v>2539</v>
      </c>
      <c r="B62" s="510"/>
      <c r="C62" s="522" t="s">
        <v>2576</v>
      </c>
      <c r="D62" s="523"/>
      <c r="E62" s="523"/>
      <c r="F62" s="523"/>
      <c r="G62" s="523"/>
      <c r="H62" s="523"/>
      <c r="I62" s="523"/>
      <c r="J62" s="523"/>
      <c r="K62" s="523"/>
      <c r="L62" s="524"/>
      <c r="M62" s="525"/>
      <c r="N62" s="1150"/>
      <c r="O62" s="1150"/>
      <c r="P62" s="2678"/>
      <c r="Q62" s="504"/>
    </row>
    <row r="63" spans="1:29" s="117" customFormat="1" ht="14.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4.5" thickBot="1">
      <c r="A65" s="534"/>
      <c r="B65" s="535"/>
      <c r="C65" s="536">
        <v>100</v>
      </c>
      <c r="D65" s="536"/>
      <c r="E65" s="536"/>
      <c r="F65" s="536"/>
      <c r="G65" s="536"/>
      <c r="H65" s="536"/>
      <c r="I65" s="536"/>
      <c r="J65" s="536"/>
      <c r="K65" s="536"/>
      <c r="L65" s="536"/>
      <c r="M65" s="537"/>
      <c r="N65" s="1152"/>
      <c r="O65" s="1152"/>
      <c r="P65" s="2679"/>
      <c r="Q65" s="504"/>
    </row>
    <row r="66" spans="1:17" ht="28.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4.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5" thickTop="1">
      <c r="A71" s="553"/>
      <c r="B71" s="538">
        <f>B12</f>
        <v>0</v>
      </c>
      <c r="C71" s="554"/>
      <c r="D71" s="554"/>
      <c r="E71" s="554"/>
      <c r="F71" s="554"/>
      <c r="G71" s="554"/>
      <c r="H71" s="555"/>
      <c r="I71" s="555"/>
      <c r="J71" s="555"/>
      <c r="K71" s="555"/>
      <c r="L71" s="556"/>
      <c r="M71" s="557"/>
      <c r="N71" s="1153"/>
      <c r="O71" s="1153"/>
      <c r="P71" s="2680"/>
      <c r="Q71" s="559"/>
    </row>
    <row r="72" spans="1:17" s="471" customFormat="1" ht="14.5" thickBot="1">
      <c r="A72" s="553"/>
      <c r="B72" s="543"/>
      <c r="C72" s="560"/>
      <c r="D72" s="536"/>
      <c r="E72" s="536"/>
      <c r="F72" s="536"/>
      <c r="G72" s="536"/>
      <c r="H72" s="536"/>
      <c r="I72" s="536"/>
      <c r="J72" s="536"/>
      <c r="K72" s="536"/>
      <c r="L72" s="536"/>
      <c r="M72" s="537"/>
      <c r="N72" s="1152"/>
      <c r="O72" s="1152"/>
      <c r="P72" s="2680"/>
      <c r="Q72" s="559"/>
    </row>
    <row r="73" spans="1:17" s="471" customFormat="1" ht="14.5" thickTop="1">
      <c r="A73" s="553"/>
      <c r="B73" s="538">
        <f>B13</f>
        <v>0</v>
      </c>
      <c r="C73" s="554"/>
      <c r="D73" s="554"/>
      <c r="E73" s="554"/>
      <c r="F73" s="554"/>
      <c r="G73" s="554"/>
      <c r="H73" s="555"/>
      <c r="I73" s="555"/>
      <c r="J73" s="555"/>
      <c r="K73" s="555"/>
      <c r="L73" s="556"/>
      <c r="M73" s="557"/>
      <c r="N73" s="1153"/>
      <c r="O73" s="1153"/>
      <c r="P73" s="2681"/>
      <c r="Q73" s="561"/>
    </row>
    <row r="74" spans="1:17" s="471" customFormat="1" ht="14.5" thickBot="1">
      <c r="A74" s="553"/>
      <c r="B74" s="543"/>
      <c r="C74" s="560"/>
      <c r="D74" s="560"/>
      <c r="E74" s="560"/>
      <c r="F74" s="560"/>
      <c r="G74" s="560"/>
      <c r="H74" s="562"/>
      <c r="I74" s="562"/>
      <c r="J74" s="562"/>
      <c r="K74" s="562"/>
      <c r="L74" s="562"/>
      <c r="M74" s="563"/>
      <c r="N74" s="1153"/>
      <c r="O74" s="1153"/>
      <c r="P74" s="2680"/>
      <c r="Q74" s="559"/>
    </row>
    <row r="75" spans="1:17" s="471" customFormat="1" ht="14.5" thickTop="1">
      <c r="A75" s="553"/>
      <c r="B75" s="546">
        <f>B14</f>
        <v>0</v>
      </c>
      <c r="C75" s="523"/>
      <c r="D75" s="523"/>
      <c r="E75" s="523"/>
      <c r="F75" s="523"/>
      <c r="G75" s="523"/>
      <c r="H75" s="564"/>
      <c r="I75" s="564"/>
      <c r="J75" s="564"/>
      <c r="K75" s="564"/>
      <c r="L75" s="565"/>
      <c r="M75" s="566"/>
      <c r="N75" s="1153"/>
      <c r="O75" s="1153"/>
      <c r="P75" s="2682"/>
      <c r="Q75" s="559"/>
    </row>
    <row r="76" spans="1:17" s="471" customFormat="1" ht="14.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4.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4.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4.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5"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4.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5"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8.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4.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4.5" thickTop="1">
      <c r="A93" s="534"/>
      <c r="B93" s="538">
        <f>B29</f>
        <v>0</v>
      </c>
      <c r="C93" s="554"/>
      <c r="D93" s="554"/>
      <c r="E93" s="554"/>
      <c r="F93" s="554"/>
      <c r="G93" s="554"/>
      <c r="H93" s="554"/>
      <c r="I93" s="554"/>
      <c r="J93" s="554"/>
      <c r="K93" s="554"/>
      <c r="L93" s="580"/>
      <c r="M93" s="581"/>
      <c r="N93" s="1151"/>
      <c r="O93" s="1151"/>
      <c r="P93" s="2679"/>
      <c r="Q93" s="504"/>
    </row>
    <row r="94" spans="1:17" ht="14.5" thickBot="1">
      <c r="A94" s="534"/>
      <c r="B94" s="543"/>
      <c r="C94" s="560"/>
      <c r="D94" s="536"/>
      <c r="E94" s="536"/>
      <c r="F94" s="536"/>
      <c r="G94" s="536"/>
      <c r="H94" s="536"/>
      <c r="I94" s="536"/>
      <c r="J94" s="536"/>
      <c r="K94" s="536"/>
      <c r="L94" s="536"/>
      <c r="M94" s="537"/>
      <c r="N94" s="1152"/>
      <c r="O94" s="1152"/>
      <c r="P94" s="2679"/>
      <c r="Q94" s="504"/>
    </row>
    <row r="95" spans="1:17" ht="14.5" thickTop="1">
      <c r="A95" s="534"/>
      <c r="B95" s="538">
        <f>B30</f>
        <v>0</v>
      </c>
      <c r="C95" s="554"/>
      <c r="D95" s="554"/>
      <c r="E95" s="554"/>
      <c r="F95" s="554"/>
      <c r="G95" s="583"/>
      <c r="H95" s="583"/>
      <c r="I95" s="583"/>
      <c r="J95" s="583"/>
      <c r="K95" s="584"/>
      <c r="L95" s="585"/>
      <c r="M95" s="586"/>
      <c r="N95" s="1151"/>
      <c r="O95" s="1151"/>
      <c r="P95" s="2679"/>
      <c r="Q95" s="504"/>
    </row>
    <row r="96" spans="1:17" ht="14.5" thickBot="1">
      <c r="A96" s="534"/>
      <c r="B96" s="543"/>
      <c r="C96" s="560"/>
      <c r="D96" s="560"/>
      <c r="E96" s="560"/>
      <c r="F96" s="560"/>
      <c r="G96" s="536"/>
      <c r="H96" s="536"/>
      <c r="I96" s="536"/>
      <c r="J96" s="536"/>
      <c r="K96" s="536"/>
      <c r="L96" s="536"/>
      <c r="M96" s="537"/>
      <c r="N96" s="1152"/>
      <c r="O96" s="1152"/>
      <c r="P96" s="2679"/>
      <c r="Q96" s="504"/>
    </row>
    <row r="97" spans="1:17" ht="14.5" thickTop="1">
      <c r="A97" s="534"/>
      <c r="B97" s="538">
        <f>B31</f>
        <v>0</v>
      </c>
      <c r="C97" s="554"/>
      <c r="D97" s="554"/>
      <c r="E97" s="554"/>
      <c r="F97" s="554"/>
      <c r="G97" s="583"/>
      <c r="H97" s="583"/>
      <c r="I97" s="583"/>
      <c r="J97" s="583"/>
      <c r="K97" s="584"/>
      <c r="L97" s="585"/>
      <c r="M97" s="586"/>
      <c r="N97" s="1151"/>
      <c r="O97" s="1151"/>
      <c r="P97" s="2679"/>
      <c r="Q97" s="504"/>
    </row>
    <row r="98" spans="1:17" ht="14.5" thickBot="1">
      <c r="A98" s="534"/>
      <c r="B98" s="543"/>
      <c r="C98" s="560"/>
      <c r="D98" s="536"/>
      <c r="E98" s="536"/>
      <c r="F98" s="536"/>
      <c r="G98" s="536"/>
      <c r="H98" s="536"/>
      <c r="I98" s="536"/>
      <c r="J98" s="536"/>
      <c r="K98" s="536"/>
      <c r="L98" s="536"/>
      <c r="M98" s="537"/>
      <c r="N98" s="1152"/>
      <c r="O98" s="1152"/>
      <c r="P98" s="2679"/>
      <c r="Q98" s="504"/>
    </row>
    <row r="99" spans="1:17" ht="14.5" thickTop="1">
      <c r="A99" s="534"/>
      <c r="B99" s="546">
        <f>B32</f>
        <v>0</v>
      </c>
      <c r="C99" s="523"/>
      <c r="D99" s="523"/>
      <c r="E99" s="523"/>
      <c r="F99" s="523"/>
      <c r="G99" s="587"/>
      <c r="H99" s="587"/>
      <c r="I99" s="587"/>
      <c r="J99" s="587"/>
      <c r="K99" s="588"/>
      <c r="L99" s="589"/>
      <c r="M99" s="590"/>
      <c r="N99" s="1151"/>
      <c r="O99" s="1151"/>
      <c r="P99" s="2679"/>
      <c r="Q99" s="504"/>
    </row>
    <row r="100" spans="1:17" ht="14.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4.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4.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4.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4.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4.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4.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4.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4.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5" thickBot="1">
      <c r="A122" s="553"/>
      <c r="B122" s="535"/>
      <c r="C122" s="560"/>
      <c r="D122" s="560"/>
      <c r="E122" s="560"/>
      <c r="F122" s="560"/>
      <c r="G122" s="560"/>
      <c r="H122" s="560"/>
      <c r="I122" s="560"/>
      <c r="J122" s="560"/>
      <c r="K122" s="560"/>
      <c r="L122" s="560"/>
      <c r="M122" s="560"/>
      <c r="N122" s="1153"/>
      <c r="O122" s="1153"/>
      <c r="P122" s="2680"/>
      <c r="Q122" s="559"/>
    </row>
    <row r="123" spans="1:17" ht="14.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8.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5" thickBot="1">
      <c r="A128" s="553"/>
      <c r="B128" s="543"/>
      <c r="C128" s="560"/>
      <c r="D128" s="536"/>
      <c r="E128" s="536"/>
      <c r="F128" s="536"/>
      <c r="G128" s="560"/>
      <c r="H128" s="562"/>
      <c r="I128" s="562"/>
      <c r="J128" s="562"/>
      <c r="K128" s="562"/>
      <c r="L128" s="562"/>
      <c r="M128" s="563"/>
      <c r="N128" s="1153"/>
      <c r="O128" s="1153"/>
      <c r="P128" s="2680"/>
      <c r="Q128" s="559"/>
    </row>
    <row r="129" spans="1:17" ht="14.5" thickTop="1">
      <c r="A129" s="599"/>
      <c r="B129" s="538">
        <f>B46</f>
        <v>0</v>
      </c>
      <c r="C129" s="554"/>
      <c r="D129" s="554"/>
      <c r="E129" s="554"/>
      <c r="F129" s="554"/>
      <c r="G129" s="583"/>
      <c r="H129" s="583"/>
      <c r="I129" s="583"/>
      <c r="J129" s="583"/>
      <c r="K129" s="584"/>
      <c r="L129" s="585"/>
      <c r="M129" s="586"/>
      <c r="N129" s="1151"/>
      <c r="O129" s="1151"/>
      <c r="P129" s="2679"/>
      <c r="Q129" s="504"/>
    </row>
    <row r="130" spans="1:17" ht="14.5" thickBot="1">
      <c r="A130" s="534"/>
      <c r="B130" s="543"/>
      <c r="C130" s="560"/>
      <c r="D130" s="560"/>
      <c r="E130" s="560"/>
      <c r="F130" s="560"/>
      <c r="G130" s="536"/>
      <c r="H130" s="536"/>
      <c r="I130" s="536"/>
      <c r="J130" s="536"/>
      <c r="K130" s="536"/>
      <c r="L130" s="536"/>
      <c r="M130" s="537"/>
      <c r="N130" s="1152"/>
      <c r="O130" s="1152"/>
      <c r="P130" s="2679"/>
      <c r="Q130" s="504"/>
    </row>
    <row r="131" spans="1:17" ht="14.5" thickTop="1">
      <c r="A131" s="599"/>
      <c r="B131" s="546">
        <f>B47</f>
        <v>0</v>
      </c>
      <c r="C131" s="523"/>
      <c r="D131" s="523"/>
      <c r="E131" s="523"/>
      <c r="F131" s="523"/>
      <c r="G131" s="587"/>
      <c r="H131" s="587"/>
      <c r="I131" s="587"/>
      <c r="J131" s="587"/>
      <c r="K131" s="523"/>
      <c r="L131" s="524"/>
      <c r="M131" s="590"/>
      <c r="N131" s="1151"/>
      <c r="O131" s="1151"/>
      <c r="P131" s="2679"/>
      <c r="Q131" s="504"/>
    </row>
    <row r="132" spans="1:17" ht="14.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90" zoomScaleNormal="90" workbookViewId="0">
      <pane ySplit="24" topLeftCell="A25" activePane="bottomLeft" state="frozen"/>
      <selection activeCell="B6" sqref="B6:C6"/>
      <selection pane="bottomLeft" activeCell="S25" sqref="S25:S27"/>
    </sheetView>
  </sheetViews>
  <sheetFormatPr defaultColWidth="9" defaultRowHeight="12.5"/>
  <cols>
    <col min="1" max="1" width="12.72656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31" t="s">
        <v>2993</v>
      </c>
      <c r="D1" s="3332"/>
      <c r="E1" s="3332"/>
      <c r="F1" s="3332"/>
      <c r="G1" s="3332"/>
      <c r="H1" s="3332"/>
      <c r="I1" s="3332"/>
      <c r="J1" s="3332"/>
      <c r="K1" s="3332"/>
      <c r="L1" s="3332"/>
      <c r="M1" s="3332"/>
      <c r="N1" s="3332"/>
      <c r="O1" s="3332"/>
      <c r="P1" s="3332"/>
      <c r="Q1" s="3332"/>
      <c r="R1" s="3332"/>
      <c r="S1" s="3333"/>
      <c r="T1" s="1203" t="s">
        <v>2994</v>
      </c>
    </row>
    <row r="2" spans="1:45" s="707" customFormat="1" ht="37.5">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97</v>
      </c>
      <c r="E4" s="1209">
        <f>'比较法-办公'!E105</f>
        <v>98</v>
      </c>
      <c r="F4" s="1209">
        <f>'比较法-办公'!F105</f>
        <v>99</v>
      </c>
      <c r="G4" s="1209">
        <f>'比较法-办公'!G105</f>
        <v>100</v>
      </c>
      <c r="H4" s="1209">
        <f>'比较法-办公'!H105</f>
        <v>101</v>
      </c>
      <c r="I4" s="1209">
        <f>'比较法-办公'!I105</f>
        <v>102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13">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13">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3">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13">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13">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3">
      <c r="A17" s="2903" t="s">
        <v>3002</v>
      </c>
      <c r="B17" s="2904" t="s">
        <v>3003</v>
      </c>
      <c r="C17" s="2964" t="s">
        <v>3120</v>
      </c>
      <c r="D17" s="2965" t="s">
        <v>3121</v>
      </c>
      <c r="E17" s="2965"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ht="13">
      <c r="A19" s="138"/>
      <c r="B19" s="168"/>
      <c r="C19" s="168"/>
      <c r="D19" s="2905" t="s">
        <v>3004</v>
      </c>
      <c r="E19" s="1790"/>
      <c r="F19" s="1790"/>
      <c r="G19" s="1790"/>
      <c r="H19" s="1278"/>
      <c r="I19" s="168"/>
      <c r="J19" s="168"/>
      <c r="K19" s="168"/>
      <c r="L19" s="168"/>
      <c r="M19" s="168"/>
      <c r="N19" s="168"/>
      <c r="O19" s="168"/>
      <c r="P19" s="168"/>
      <c r="Q19" s="168"/>
      <c r="R19" s="787"/>
      <c r="S19" s="138"/>
    </row>
    <row r="20" spans="1:45" ht="16" thickBot="1">
      <c r="A20" s="714" t="s">
        <v>3005</v>
      </c>
      <c r="B20" s="338">
        <f ca="1">IF(D20="——",S22,S22-F20)</f>
        <v>3107</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5">
      <c r="A21" s="714" t="s">
        <v>3007</v>
      </c>
      <c r="B21" s="338">
        <f ca="1">R22</f>
        <v>40409</v>
      </c>
      <c r="C21" s="168"/>
      <c r="D21" s="168"/>
      <c r="E21" s="168"/>
      <c r="F21" s="168"/>
      <c r="G21" s="168"/>
      <c r="H21" s="168"/>
      <c r="I21" s="168"/>
      <c r="J21" s="168"/>
      <c r="K21" s="168"/>
      <c r="L21" s="168"/>
      <c r="M21" s="168"/>
      <c r="N21" s="168"/>
      <c r="O21" s="168"/>
      <c r="P21" s="168"/>
      <c r="Q21" s="168"/>
      <c r="R21" s="787"/>
      <c r="S21" s="138"/>
    </row>
    <row r="22" spans="1:45" ht="13">
      <c r="A22" s="361" t="s">
        <v>3008</v>
      </c>
      <c r="B22" s="24">
        <f>SUM(B24:B10000)</f>
        <v>768.88</v>
      </c>
      <c r="C22" s="3105" t="s">
        <v>33</v>
      </c>
      <c r="D22" s="3106"/>
      <c r="E22" s="3106"/>
      <c r="F22" s="3106"/>
      <c r="G22" s="3106"/>
      <c r="H22" s="3106"/>
      <c r="I22" s="3106"/>
      <c r="J22" s="3106"/>
      <c r="K22" s="3106"/>
      <c r="L22" s="3106"/>
      <c r="M22" s="3106"/>
      <c r="N22" s="3106"/>
      <c r="O22" s="3106"/>
      <c r="P22" s="3106"/>
      <c r="Q22" s="3330"/>
      <c r="R22" s="715">
        <f ca="1">ROUND(S22*10000/B22,0)</f>
        <v>40409</v>
      </c>
      <c r="S22" s="24">
        <f ca="1">SUM(S24:S10000)</f>
        <v>3107</v>
      </c>
    </row>
    <row r="23" spans="1:45" s="12" customFormat="1" ht="26">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3091</v>
      </c>
      <c r="Q24" s="718">
        <v>1</v>
      </c>
      <c r="R24" s="720">
        <f ca="1">'结果表 (2601)'!G20</f>
        <v>40416</v>
      </c>
      <c r="S24" s="718">
        <f t="shared" ref="S24:S54" ca="1" si="11">ROUND(R24*B24/10000,0)</f>
        <v>1070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3091</v>
      </c>
      <c r="Q25" s="24">
        <f>(SUMIF($17:$17,P25,$18:$18)-SUMIF($17:$17,$P$24,$18:$18)+100)/100</f>
        <v>1</v>
      </c>
      <c r="R25" s="715">
        <f ca="1">IF(B25="",0,ROUND($R$24*C25*E25*G25*I25*K25*M25*O25*Q25,0))</f>
        <v>40416</v>
      </c>
      <c r="S25" s="361">
        <f t="shared" ca="1" si="11"/>
        <v>455</v>
      </c>
    </row>
    <row r="26" spans="1:45" ht="13">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3091</v>
      </c>
      <c r="Q26" s="24">
        <f t="shared" ref="Q26:Q89" si="19">(SUMIF($17:$17,P26,$18:$18)-SUMIF($17:$17,$P$24,$18:$18)+100)/100</f>
        <v>1</v>
      </c>
      <c r="R26" s="715">
        <f t="shared" ref="R26:R89" ca="1" si="20">IF(B26="",0,ROUND($R$24*C26*E26*G26*I26*K26*M26*O26*Q26,0))</f>
        <v>40416</v>
      </c>
      <c r="S26" s="361">
        <f t="shared" ca="1" si="11"/>
        <v>552</v>
      </c>
    </row>
    <row r="27" spans="1:45" ht="13">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3091</v>
      </c>
      <c r="Q27" s="24">
        <f t="shared" si="19"/>
        <v>1</v>
      </c>
      <c r="R27" s="715">
        <f t="shared" ca="1" si="20"/>
        <v>40416</v>
      </c>
      <c r="S27" s="361">
        <f t="shared" ca="1" si="11"/>
        <v>1030</v>
      </c>
    </row>
    <row r="28" spans="1:45" ht="13">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ht="13">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ht="13">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ht="13">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ht="13">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ht="13">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ht="13">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ht="13">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ht="13">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ht="13">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ht="13">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ht="13">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ht="13">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ht="13">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ht="13">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ht="13">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ht="13">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ht="13">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ht="13">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ht="13">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ht="13">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ht="13">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ht="13">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ht="13">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ht="13">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ht="13">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ht="13">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ht="13">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ht="13">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ht="13">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ht="13">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ht="13">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ht="13">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ht="13">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ht="13">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ht="13">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ht="13">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ht="13">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ht="13">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ht="13">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ht="13">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ht="13">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ht="13">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ht="13">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ht="13">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ht="13">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ht="13">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ht="13">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ht="13">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ht="13">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ht="13">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ht="13">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ht="13">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ht="13">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ht="13">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ht="13">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ht="13">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ht="13">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ht="13">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ht="13">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ht="13">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ht="13">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ht="13">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ht="13">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ht="13">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ht="13">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ht="13">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ht="13">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ht="13">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ht="13">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ht="13">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ht="13">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ht="13">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ht="13">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ht="13">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ht="13">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ht="13">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ht="13">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ht="13">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ht="13">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ht="13">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ht="13">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ht="13">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ht="13">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ht="13">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ht="13">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ht="13">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ht="13">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ht="13">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ht="13">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ht="13">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ht="13">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ht="13">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ht="13">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ht="13">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ht="13">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ht="13">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ht="13">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ht="13">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ht="13">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ht="13">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ht="13">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ht="13">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ht="13">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ht="13">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ht="13">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ht="13">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ht="13">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ht="13">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ht="13">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ht="13">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ht="13">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ht="13">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ht="13">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ht="13">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ht="13">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ht="13">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ht="13">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ht="13">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ht="13">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ht="13">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ht="13">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ht="13">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ht="13">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ht="13">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ht="13">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ht="13">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ht="13">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ht="13">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ht="13">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ht="13">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ht="13">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ht="13">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ht="13">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ht="13">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ht="13">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ht="13">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ht="13">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ht="13">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ht="13">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ht="13">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ht="13">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ht="13">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ht="13">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ht="13">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ht="13">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ht="13">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ht="13">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ht="13">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ht="13">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ht="13">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ht="13">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ht="13">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ht="13">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ht="13">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ht="13">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ht="13">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ht="13">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ht="13">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ht="13">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ht="13">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ht="13">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ht="13">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ht="13">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ht="13">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ht="13">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ht="13">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ht="13">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ht="13">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ht="13">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ht="13">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ht="13">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ht="13">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ht="13">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ht="13">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ht="13">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ht="13">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ht="13">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ht="13">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ht="13">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ht="13">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ht="13">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ht="13">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ht="13">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ht="13">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ht="13">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ht="13">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ht="13">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ht="13">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ht="13">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ht="13">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ht="13">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ht="13">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ht="13">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ht="13">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ht="13">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ht="13">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ht="13">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ht="13">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ht="13">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ht="13">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ht="13">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ht="13">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ht="13">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ht="13">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ht="13">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ht="13">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ht="13">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ht="13">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ht="13">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ht="13">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ht="13">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ht="13">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ht="13">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ht="13">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ht="13">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ht="13">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ht="13">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ht="13">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ht="13">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ht="13">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ht="13">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ht="13">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ht="13">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ht="13">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ht="13">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ht="13">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ht="13">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ht="13">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ht="13">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ht="13">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ht="13">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ht="13">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ht="13">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ht="13">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ht="13">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ht="13">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ht="13">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ht="13">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ht="13">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ht="13">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ht="13">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ht="13">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ht="13">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ht="13">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ht="13">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ht="13">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ht="13">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ht="13">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ht="13">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ht="13">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ht="13">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ht="13">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ht="13">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ht="13">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ht="13">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ht="13">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ht="13">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ht="13">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ht="13">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ht="13">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ht="13">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ht="13">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ht="13">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ht="13">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ht="13">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ht="13">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ht="13">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ht="13">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ht="13">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ht="13">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ht="13">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ht="13">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ht="13">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ht="13">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ht="13">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ht="13">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ht="13">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ht="13">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ht="13">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ht="13">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ht="13">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ht="13">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ht="13">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ht="13">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ht="13">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ht="13">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ht="13">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ht="13">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ht="13">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ht="13">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ht="13">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ht="13">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ht="13">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ht="13">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ht="13">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ht="13">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ht="13">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ht="13">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ht="13">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ht="13">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ht="13">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ht="13">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ht="13">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ht="13">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ht="13">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ht="13">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ht="13">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ht="13">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ht="13">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ht="13">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ht="13">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ht="13">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ht="13">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ht="13">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ht="13">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ht="13">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ht="13">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ht="13">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ht="13">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ht="13">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ht="13">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ht="13">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ht="13">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ht="13">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ht="13">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ht="13">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ht="13">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ht="13">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ht="13">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ht="13">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ht="13">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ht="13">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ht="13">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ht="13">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ht="13">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ht="13">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ht="13">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ht="13">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ht="13">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ht="13">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ht="13">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ht="13">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ht="13">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ht="13">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ht="13">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ht="13">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ht="13">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ht="13">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ht="13">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ht="13">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ht="13">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ht="13">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ht="13">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ht="13">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ht="13">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ht="13">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ht="13">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ht="13">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ht="13">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ht="13">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ht="13">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ht="13">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ht="13">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ht="13">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ht="13">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ht="13">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ht="13">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ht="13">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ht="13">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ht="13">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ht="13">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ht="13">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ht="13">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ht="13">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ht="13">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ht="13">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ht="13">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ht="13">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ht="13">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ht="13">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ht="13">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ht="13">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ht="13">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ht="13">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ht="13">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ht="13">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ht="13">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ht="13">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ht="13">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ht="13">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ht="13">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ht="13">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ht="13">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ht="13">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ht="13">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ht="13">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ht="13">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ht="13">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ht="13">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ht="13">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ht="13">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ht="13">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ht="13">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ht="13">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ht="13">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ht="13">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ht="13">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ht="13">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ht="13">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ht="13">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ht="13">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ht="13">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ht="13">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ht="13">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ht="13">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ht="13">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ht="13">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ht="13">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ht="13">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ht="13">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ht="13">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ht="13">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ht="13">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ht="13">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ht="13">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ht="13">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ht="13">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ht="13">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ht="13">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ht="13">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ht="13">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ht="13">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ht="13">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ht="13">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ht="13">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ht="13">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ht="13">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ht="13">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ht="13">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ht="13">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ht="13">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ht="13">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ht="13">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ht="13">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ht="13">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ht="13">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ht="13">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ht="13">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ht="13">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ht="13">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ht="13">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ht="13">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ht="13">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ht="13">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ht="13">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ht="13">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ht="13">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ht="13">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ht="13">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ht="13">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ht="13">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ht="13">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ht="13">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ht="13">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ht="13">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ht="13">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ht="13">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ht="13">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ht="13">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ht="13">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ht="13">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ht="13">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ht="13">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ht="13">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ht="13">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ht="13">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ht="13">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ht="13">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ht="13">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ht="13">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ht="13">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ht="13">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ht="13">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ht="13">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ht="13">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ht="13">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ht="13">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ht="13">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ht="13">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ht="13">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ht="13">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ht="13">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ht="13">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ht="13">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ht="13">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ht="13">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29747</v>
      </c>
      <c r="C2" s="2" t="s">
        <v>133</v>
      </c>
      <c r="D2" s="243"/>
      <c r="E2" s="243"/>
      <c r="F2" s="243"/>
      <c r="G2" s="243"/>
    </row>
    <row r="3" spans="1:7" s="244" customFormat="1" ht="18" customHeight="1" thickBot="1">
      <c r="A3" s="247" t="s">
        <v>85</v>
      </c>
      <c r="B3" s="248">
        <f ca="1">ROUND(B2*10000/'数据-汇总表'!E3,0)</f>
        <v>386887</v>
      </c>
      <c r="C3" s="2" t="s">
        <v>134</v>
      </c>
      <c r="D3" s="243"/>
      <c r="E3" s="243"/>
      <c r="F3" s="243"/>
      <c r="G3" s="243"/>
    </row>
    <row r="4" spans="1:7" s="252" customFormat="1" ht="16">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ht="13">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6">
      <c r="A25" s="950" t="s">
        <v>793</v>
      </c>
      <c r="B25" s="259" t="s">
        <v>1055</v>
      </c>
      <c r="C25" s="1353">
        <f ca="1">ROUND(IF('数据-取费表'!B22&lt;=1,C20*F22*'数据-取费表'!B23/2,C20*(POWER((1+F22),'数据-取费表'!B23/2)-1)),0)</f>
        <v>20</v>
      </c>
      <c r="D25" s="282"/>
      <c r="E25" s="285"/>
      <c r="F25" s="283"/>
      <c r="G25" s="286" t="s">
        <v>110</v>
      </c>
    </row>
    <row r="26" spans="1:7" s="258" customFormat="1" ht="13">
      <c r="A26" s="950" t="s">
        <v>795</v>
      </c>
      <c r="B26" s="259" t="s">
        <v>1057</v>
      </c>
      <c r="C26" s="282">
        <f ca="1">ROUND(IF('数据-取费表'!B22&lt;=1,F21*F22*'数据-取费表'!B23/2,F21*(POWER((1+F22),'数据-取费表'!B23/2)-1)),4)</f>
        <v>1E-3</v>
      </c>
      <c r="D26" s="282"/>
      <c r="E26" s="285"/>
      <c r="F26" s="283"/>
      <c r="G26" s="287"/>
    </row>
    <row r="27" spans="1:7" s="258" customFormat="1" ht="27">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6">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6">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6">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158</v>
      </c>
      <c r="D51" s="276"/>
      <c r="E51" s="276"/>
      <c r="F51" s="308"/>
      <c r="G51" s="278" t="s">
        <v>64</v>
      </c>
    </row>
    <row r="52" spans="1:7" s="252" customFormat="1" ht="16.5" thickBot="1">
      <c r="A52" s="309" t="s">
        <v>65</v>
      </c>
      <c r="B52" s="310"/>
      <c r="C52" s="311">
        <f ca="1">C31+C51</f>
        <v>29747</v>
      </c>
      <c r="D52" s="310"/>
      <c r="E52" s="310"/>
      <c r="F52" s="310"/>
      <c r="G52" s="312"/>
    </row>
    <row r="55" spans="1:7" ht="15.5">
      <c r="B55" s="314" t="s">
        <v>66</v>
      </c>
      <c r="C55" s="315"/>
    </row>
    <row r="56" spans="1:7" ht="13">
      <c r="B56" s="317" t="s">
        <v>67</v>
      </c>
      <c r="C56" s="318">
        <f ca="1">ROUND(C51/C52,3)</f>
        <v>5.0000000000000001E-3</v>
      </c>
    </row>
    <row r="57" spans="1:7" ht="13">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
  <cols>
    <col min="1" max="1" width="12.6328125" style="854" customWidth="1"/>
    <col min="2" max="5" width="10.269531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4"/>
  <cols>
    <col min="1" max="1" width="12.6328125" style="854" customWidth="1"/>
    <col min="2" max="2" width="10.26953125" style="812" customWidth="1"/>
  </cols>
  <sheetData>
    <row r="1" spans="1:6">
      <c r="A1" s="3334" t="s">
        <v>868</v>
      </c>
      <c r="B1" s="3334"/>
    </row>
    <row r="2" spans="1:6" ht="14.5" thickBot="1">
      <c r="A2" s="1056"/>
      <c r="B2" s="1056"/>
    </row>
    <row r="3" spans="1:6" ht="14.5" thickBot="1">
      <c r="A3" s="1056"/>
      <c r="B3" s="1056"/>
      <c r="C3" s="1060" t="s">
        <v>871</v>
      </c>
      <c r="D3" s="1060" t="s">
        <v>872</v>
      </c>
      <c r="E3" s="1060" t="s">
        <v>873</v>
      </c>
      <c r="F3" s="1060" t="s">
        <v>874</v>
      </c>
    </row>
    <row r="4" spans="1:6" ht="14.5" thickBot="1">
      <c r="A4" s="1058" t="s">
        <v>869</v>
      </c>
      <c r="B4" s="1059" t="s">
        <v>870</v>
      </c>
      <c r="C4" s="1060"/>
      <c r="D4" s="1060"/>
      <c r="E4" s="1060"/>
      <c r="F4" s="1060"/>
    </row>
    <row r="5" spans="1:6" ht="14.5" thickBot="1">
      <c r="A5" s="839" t="s">
        <v>875</v>
      </c>
      <c r="B5" s="840" t="s">
        <v>876</v>
      </c>
      <c r="C5" s="1061">
        <v>8.8999999999999996E-2</v>
      </c>
      <c r="D5" s="1061">
        <v>7.3999999999999996E-2</v>
      </c>
      <c r="E5" s="1061">
        <v>7.4999999999999997E-2</v>
      </c>
      <c r="F5" s="1062">
        <v>0.1</v>
      </c>
    </row>
    <row r="6" spans="1:6" ht="14.5" thickBot="1">
      <c r="A6" s="839" t="s">
        <v>212</v>
      </c>
      <c r="B6" s="833" t="s">
        <v>877</v>
      </c>
      <c r="C6" s="1063">
        <v>0.1</v>
      </c>
      <c r="D6" s="1063">
        <v>9.0999999999999998E-2</v>
      </c>
      <c r="E6" s="1063">
        <v>9.0999999999999998E-2</v>
      </c>
      <c r="F6" s="1064">
        <v>0.1</v>
      </c>
    </row>
    <row r="7" spans="1:6" ht="14.5" thickBot="1">
      <c r="A7" s="839" t="s">
        <v>212</v>
      </c>
      <c r="B7" s="843" t="s">
        <v>201</v>
      </c>
      <c r="C7" s="1063">
        <v>8.5999999999999993E-2</v>
      </c>
      <c r="D7" s="1063">
        <v>9.6000000000000002E-2</v>
      </c>
      <c r="E7" s="1063">
        <v>7.5999999999999998E-2</v>
      </c>
      <c r="F7" s="1064">
        <v>0.1</v>
      </c>
    </row>
    <row r="8" spans="1:6" ht="14.5" thickBot="1">
      <c r="A8" s="839" t="s">
        <v>212</v>
      </c>
      <c r="B8" s="833" t="s">
        <v>213</v>
      </c>
      <c r="C8" s="1063">
        <v>9.9000000000000005E-2</v>
      </c>
      <c r="D8" s="1063">
        <v>9.8000000000000004E-2</v>
      </c>
      <c r="E8" s="1063">
        <v>9.8000000000000004E-2</v>
      </c>
      <c r="F8" s="1064">
        <v>0.1</v>
      </c>
    </row>
    <row r="9" spans="1:6" ht="14.5" thickBot="1">
      <c r="A9" s="849" t="s">
        <v>212</v>
      </c>
      <c r="B9" s="844" t="s">
        <v>225</v>
      </c>
      <c r="C9" s="1065">
        <v>0.05</v>
      </c>
      <c r="D9" s="1073"/>
      <c r="E9" s="1073"/>
      <c r="F9" s="1074"/>
    </row>
    <row r="10" spans="1:6" ht="14.5" thickBot="1">
      <c r="A10" s="839" t="s">
        <v>269</v>
      </c>
      <c r="B10" s="840" t="s">
        <v>878</v>
      </c>
      <c r="C10" s="1061">
        <v>8.8999999999999996E-2</v>
      </c>
      <c r="D10" s="1061">
        <v>7.2999999999999995E-2</v>
      </c>
      <c r="E10" s="1061">
        <v>8.2000000000000003E-2</v>
      </c>
      <c r="F10" s="1062">
        <v>0.1</v>
      </c>
    </row>
    <row r="11" spans="1:6" ht="14.5" thickBot="1">
      <c r="A11" s="839" t="s">
        <v>269</v>
      </c>
      <c r="B11" s="843" t="s">
        <v>188</v>
      </c>
      <c r="C11" s="1063">
        <v>8.8999999999999996E-2</v>
      </c>
      <c r="D11" s="1063">
        <v>7.2999999999999995E-2</v>
      </c>
      <c r="E11" s="1063">
        <v>8.2000000000000003E-2</v>
      </c>
      <c r="F11" s="1064">
        <v>0.1</v>
      </c>
    </row>
    <row r="12" spans="1:6" ht="14.5" thickBot="1">
      <c r="A12" s="839" t="s">
        <v>269</v>
      </c>
      <c r="B12" s="843" t="s">
        <v>138</v>
      </c>
      <c r="C12" s="1063">
        <v>6.0999999999999999E-2</v>
      </c>
      <c r="D12" s="1063">
        <v>7.0999999999999994E-2</v>
      </c>
      <c r="E12" s="1063">
        <v>9.6000000000000002E-2</v>
      </c>
      <c r="F12" s="1064">
        <v>0.1</v>
      </c>
    </row>
    <row r="13" spans="1:6" ht="14.5" thickBot="1">
      <c r="A13" s="839" t="s">
        <v>269</v>
      </c>
      <c r="B13" s="843" t="s">
        <v>214</v>
      </c>
      <c r="C13" s="1063">
        <v>6.9000000000000006E-2</v>
      </c>
      <c r="D13" s="1063">
        <v>6.5000000000000002E-2</v>
      </c>
      <c r="E13" s="1063">
        <v>6.6000000000000003E-2</v>
      </c>
      <c r="F13" s="1064">
        <v>0.1</v>
      </c>
    </row>
    <row r="14" spans="1:6" ht="14.5" thickBot="1">
      <c r="A14" s="839" t="s">
        <v>269</v>
      </c>
      <c r="B14" s="843" t="s">
        <v>226</v>
      </c>
      <c r="C14" s="1063">
        <v>0.1</v>
      </c>
      <c r="D14" s="1063">
        <v>6.5000000000000002E-2</v>
      </c>
      <c r="E14" s="1063">
        <v>7.0000000000000007E-2</v>
      </c>
      <c r="F14" s="1064">
        <v>0.1</v>
      </c>
    </row>
    <row r="15" spans="1:6" ht="14.5" thickBot="1">
      <c r="A15" s="839" t="s">
        <v>269</v>
      </c>
      <c r="B15" s="843" t="s">
        <v>237</v>
      </c>
      <c r="C15" s="1063">
        <v>9.8000000000000004E-2</v>
      </c>
      <c r="D15" s="1063">
        <v>8.8999999999999996E-2</v>
      </c>
      <c r="E15" s="1063">
        <v>8.8999999999999996E-2</v>
      </c>
      <c r="F15" s="1064">
        <v>0.1</v>
      </c>
    </row>
    <row r="16" spans="1:6" ht="14.5" thickBot="1">
      <c r="A16" s="839" t="s">
        <v>269</v>
      </c>
      <c r="B16" s="843" t="s">
        <v>248</v>
      </c>
      <c r="C16" s="1063">
        <v>7.0000000000000007E-2</v>
      </c>
      <c r="D16" s="1063">
        <v>9.2999999999999999E-2</v>
      </c>
      <c r="E16" s="1063">
        <v>9.6000000000000002E-2</v>
      </c>
      <c r="F16" s="1064">
        <v>0.1</v>
      </c>
    </row>
    <row r="17" spans="1:6" ht="14.5" thickBot="1">
      <c r="A17" s="839" t="s">
        <v>269</v>
      </c>
      <c r="B17" s="843" t="s">
        <v>259</v>
      </c>
      <c r="C17" s="1063">
        <v>9.5000000000000001E-2</v>
      </c>
      <c r="D17" s="1063">
        <v>0.1</v>
      </c>
      <c r="E17" s="1063">
        <v>0.1</v>
      </c>
      <c r="F17" s="1075"/>
    </row>
    <row r="18" spans="1:6" ht="14.5" thickBot="1">
      <c r="A18" s="839" t="s">
        <v>269</v>
      </c>
      <c r="B18" s="843" t="s">
        <v>271</v>
      </c>
      <c r="C18" s="1063">
        <v>7.3999999999999996E-2</v>
      </c>
      <c r="D18" s="1063">
        <v>9.9000000000000005E-2</v>
      </c>
      <c r="E18" s="1063">
        <v>0.1</v>
      </c>
      <c r="F18" s="1075"/>
    </row>
    <row r="19" spans="1:6" ht="14.5" thickBot="1">
      <c r="A19" s="839" t="s">
        <v>269</v>
      </c>
      <c r="B19" s="843" t="s">
        <v>281</v>
      </c>
      <c r="C19" s="1063">
        <v>9.9000000000000005E-2</v>
      </c>
      <c r="D19" s="1063">
        <v>7.5999999999999998E-2</v>
      </c>
      <c r="E19" s="1063">
        <v>8.6999999999999994E-2</v>
      </c>
      <c r="F19" s="1075"/>
    </row>
    <row r="20" spans="1:6" ht="14.5" thickBot="1">
      <c r="A20" s="839" t="s">
        <v>269</v>
      </c>
      <c r="B20" s="843" t="s">
        <v>291</v>
      </c>
      <c r="C20" s="1063">
        <v>9.8000000000000004E-2</v>
      </c>
      <c r="D20" s="1063">
        <v>8.5000000000000006E-2</v>
      </c>
      <c r="E20" s="1063">
        <v>8.2000000000000003E-2</v>
      </c>
      <c r="F20" s="1075"/>
    </row>
    <row r="21" spans="1:6" ht="14.5" thickBot="1">
      <c r="A21" s="839" t="s">
        <v>269</v>
      </c>
      <c r="B21" s="843" t="s">
        <v>301</v>
      </c>
      <c r="C21" s="1063">
        <v>6.6000000000000003E-2</v>
      </c>
      <c r="D21" s="1063">
        <v>6.4000000000000001E-2</v>
      </c>
      <c r="E21" s="1063">
        <v>6.5000000000000002E-2</v>
      </c>
      <c r="F21" s="1075"/>
    </row>
    <row r="22" spans="1:6" ht="14.5" thickBot="1">
      <c r="A22" s="839" t="s">
        <v>269</v>
      </c>
      <c r="B22" s="843" t="s">
        <v>879</v>
      </c>
      <c r="C22" s="1063">
        <v>0.08</v>
      </c>
      <c r="D22" s="1063">
        <v>9.8000000000000004E-2</v>
      </c>
      <c r="E22" s="1063">
        <v>9.8000000000000004E-2</v>
      </c>
      <c r="F22" s="1075"/>
    </row>
    <row r="23" spans="1:6" ht="14.5" thickBot="1">
      <c r="A23" s="839" t="s">
        <v>269</v>
      </c>
      <c r="B23" s="843" t="s">
        <v>322</v>
      </c>
      <c r="C23" s="1063">
        <v>9.9000000000000005E-2</v>
      </c>
      <c r="D23" s="1063">
        <v>9.8000000000000004E-2</v>
      </c>
      <c r="E23" s="1063">
        <v>9.0999999999999998E-2</v>
      </c>
      <c r="F23" s="1075"/>
    </row>
    <row r="24" spans="1:6" ht="14.5" thickBot="1">
      <c r="A24" s="839" t="s">
        <v>269</v>
      </c>
      <c r="B24" s="843" t="s">
        <v>333</v>
      </c>
      <c r="C24" s="1063">
        <v>8.8999999999999996E-2</v>
      </c>
      <c r="D24" s="1063">
        <v>9.7000000000000003E-2</v>
      </c>
      <c r="E24" s="1063">
        <v>7.0000000000000007E-2</v>
      </c>
      <c r="F24" s="1075"/>
    </row>
    <row r="25" spans="1:6" ht="14.5" thickBot="1">
      <c r="A25" s="839" t="s">
        <v>269</v>
      </c>
      <c r="B25" s="843" t="s">
        <v>343</v>
      </c>
      <c r="C25" s="1063">
        <v>8.8999999999999996E-2</v>
      </c>
      <c r="D25" s="1063">
        <v>0.1</v>
      </c>
      <c r="E25" s="1063">
        <v>8.1000000000000003E-2</v>
      </c>
      <c r="F25" s="1075"/>
    </row>
    <row r="26" spans="1:6" ht="14.5" thickBot="1">
      <c r="A26" s="839" t="s">
        <v>269</v>
      </c>
      <c r="B26" s="843" t="s">
        <v>353</v>
      </c>
      <c r="C26" s="1076"/>
      <c r="D26" s="1063">
        <v>9.6000000000000002E-2</v>
      </c>
      <c r="E26" s="1063">
        <v>9.2999999999999999E-2</v>
      </c>
      <c r="F26" s="1075"/>
    </row>
    <row r="27" spans="1:6" ht="14.5" thickBot="1">
      <c r="A27" s="839" t="s">
        <v>269</v>
      </c>
      <c r="B27" s="843" t="s">
        <v>363</v>
      </c>
      <c r="C27" s="1076"/>
      <c r="D27" s="1063">
        <v>7.5999999999999998E-2</v>
      </c>
      <c r="E27" s="1063">
        <v>9.1999999999999998E-2</v>
      </c>
      <c r="F27" s="1075"/>
    </row>
    <row r="28" spans="1:6" ht="14.5" thickBot="1">
      <c r="A28" s="849" t="s">
        <v>269</v>
      </c>
      <c r="B28" s="844" t="s">
        <v>373</v>
      </c>
      <c r="C28" s="1073"/>
      <c r="D28" s="1065">
        <v>7.5999999999999998E-2</v>
      </c>
      <c r="E28" s="1065">
        <v>9.1999999999999998E-2</v>
      </c>
      <c r="F28" s="1074"/>
    </row>
    <row r="29" spans="1:6" ht="14.5" thickBot="1">
      <c r="A29" s="839" t="s">
        <v>442</v>
      </c>
      <c r="B29" s="840" t="s">
        <v>880</v>
      </c>
      <c r="C29" s="1061">
        <v>6.4000000000000001E-2</v>
      </c>
      <c r="D29" s="1061">
        <v>6.5000000000000002E-2</v>
      </c>
      <c r="E29" s="1061">
        <v>6.9000000000000006E-2</v>
      </c>
      <c r="F29" s="1062">
        <v>0.1</v>
      </c>
    </row>
    <row r="30" spans="1:6" ht="14.5" thickBot="1">
      <c r="A30" s="839" t="s">
        <v>442</v>
      </c>
      <c r="B30" s="843" t="s">
        <v>189</v>
      </c>
      <c r="C30" s="1063">
        <v>6.4000000000000001E-2</v>
      </c>
      <c r="D30" s="1063">
        <v>9.9000000000000005E-2</v>
      </c>
      <c r="E30" s="1063">
        <v>0.1</v>
      </c>
      <c r="F30" s="1064">
        <v>0.1</v>
      </c>
    </row>
    <row r="31" spans="1:6" ht="14.5" thickBot="1">
      <c r="A31" s="839" t="s">
        <v>442</v>
      </c>
      <c r="B31" s="843" t="s">
        <v>202</v>
      </c>
      <c r="C31" s="1063">
        <v>0.1</v>
      </c>
      <c r="D31" s="1063">
        <v>9.5000000000000001E-2</v>
      </c>
      <c r="E31" s="1063">
        <v>8.8999999999999996E-2</v>
      </c>
      <c r="F31" s="1064">
        <v>0.1</v>
      </c>
    </row>
    <row r="32" spans="1:6" ht="14.5" thickBot="1">
      <c r="A32" s="839" t="s">
        <v>442</v>
      </c>
      <c r="B32" s="843" t="s">
        <v>215</v>
      </c>
      <c r="C32" s="1063">
        <v>0.05</v>
      </c>
      <c r="D32" s="1063">
        <v>0.05</v>
      </c>
      <c r="E32" s="1063">
        <v>8.7999999999999995E-2</v>
      </c>
      <c r="F32" s="1064">
        <v>0.1</v>
      </c>
    </row>
    <row r="33" spans="1:6" ht="14.5" thickBot="1">
      <c r="A33" s="839" t="s">
        <v>442</v>
      </c>
      <c r="B33" s="843" t="s">
        <v>227</v>
      </c>
      <c r="C33" s="1063">
        <v>7.4999999999999997E-2</v>
      </c>
      <c r="D33" s="1063">
        <v>9.4E-2</v>
      </c>
      <c r="E33" s="1063">
        <v>9.7000000000000003E-2</v>
      </c>
      <c r="F33" s="1064">
        <v>0.1</v>
      </c>
    </row>
    <row r="34" spans="1:6" ht="14.5" thickBot="1">
      <c r="A34" s="839" t="s">
        <v>442</v>
      </c>
      <c r="B34" s="843" t="s">
        <v>238</v>
      </c>
      <c r="C34" s="1063">
        <v>9.8000000000000004E-2</v>
      </c>
      <c r="D34" s="1063">
        <v>8.5999999999999993E-2</v>
      </c>
      <c r="E34" s="1063">
        <v>9.7000000000000003E-2</v>
      </c>
      <c r="F34" s="1064">
        <v>0.1</v>
      </c>
    </row>
    <row r="35" spans="1:6" ht="14.5" thickBot="1">
      <c r="A35" s="839" t="s">
        <v>442</v>
      </c>
      <c r="B35" s="843" t="s">
        <v>249</v>
      </c>
      <c r="C35" s="1063">
        <v>5.8999999999999997E-2</v>
      </c>
      <c r="D35" s="1063">
        <v>6.5000000000000002E-2</v>
      </c>
      <c r="E35" s="1063">
        <v>7.0000000000000007E-2</v>
      </c>
      <c r="F35" s="1064">
        <v>0.1</v>
      </c>
    </row>
    <row r="36" spans="1:6" ht="14.5" thickBot="1">
      <c r="A36" s="839" t="s">
        <v>442</v>
      </c>
      <c r="B36" s="843" t="s">
        <v>260</v>
      </c>
      <c r="C36" s="1063">
        <v>6.3E-2</v>
      </c>
      <c r="D36" s="1063">
        <v>0.1</v>
      </c>
      <c r="E36" s="1063">
        <v>0.1</v>
      </c>
      <c r="F36" s="1064">
        <v>0.1</v>
      </c>
    </row>
    <row r="37" spans="1:6" ht="14.5" thickBot="1">
      <c r="A37" s="839" t="s">
        <v>442</v>
      </c>
      <c r="B37" s="843" t="s">
        <v>272</v>
      </c>
      <c r="C37" s="1063">
        <v>7.3999999999999996E-2</v>
      </c>
      <c r="D37" s="1063">
        <v>0.1</v>
      </c>
      <c r="E37" s="1063">
        <v>0.1</v>
      </c>
      <c r="F37" s="1064">
        <v>0.1</v>
      </c>
    </row>
    <row r="38" spans="1:6" ht="14.5" thickBot="1">
      <c r="A38" s="839" t="s">
        <v>442</v>
      </c>
      <c r="B38" s="843" t="s">
        <v>282</v>
      </c>
      <c r="C38" s="1063">
        <v>0.1</v>
      </c>
      <c r="D38" s="1063">
        <v>9.6000000000000002E-2</v>
      </c>
      <c r="E38" s="1063">
        <v>9.6000000000000002E-2</v>
      </c>
      <c r="F38" s="1075"/>
    </row>
    <row r="39" spans="1:6" ht="14.5" thickBot="1">
      <c r="A39" s="839" t="s">
        <v>442</v>
      </c>
      <c r="B39" s="843" t="s">
        <v>292</v>
      </c>
      <c r="C39" s="1063">
        <v>0.1</v>
      </c>
      <c r="D39" s="1063">
        <v>9.6000000000000002E-2</v>
      </c>
      <c r="E39" s="1063">
        <v>9.6000000000000002E-2</v>
      </c>
      <c r="F39" s="1075"/>
    </row>
    <row r="40" spans="1:6" ht="14.5" thickBot="1">
      <c r="A40" s="839" t="s">
        <v>442</v>
      </c>
      <c r="B40" s="843" t="s">
        <v>302</v>
      </c>
      <c r="C40" s="1063">
        <v>9.6000000000000002E-2</v>
      </c>
      <c r="D40" s="1063">
        <v>0.1</v>
      </c>
      <c r="E40" s="1063">
        <v>9.9000000000000005E-2</v>
      </c>
      <c r="F40" s="1075"/>
    </row>
    <row r="41" spans="1:6" ht="14.5" thickBot="1">
      <c r="A41" s="839" t="s">
        <v>442</v>
      </c>
      <c r="B41" s="843" t="s">
        <v>312</v>
      </c>
      <c r="C41" s="1063">
        <v>9.6000000000000002E-2</v>
      </c>
      <c r="D41" s="1063">
        <v>9.8000000000000004E-2</v>
      </c>
      <c r="E41" s="1063">
        <v>9.8000000000000004E-2</v>
      </c>
      <c r="F41" s="1075"/>
    </row>
    <row r="42" spans="1:6" ht="14.5" thickBot="1">
      <c r="A42" s="839" t="s">
        <v>442</v>
      </c>
      <c r="B42" s="843" t="s">
        <v>323</v>
      </c>
      <c r="C42" s="1063">
        <v>0.1</v>
      </c>
      <c r="D42" s="1063">
        <v>8.7999999999999995E-2</v>
      </c>
      <c r="E42" s="1063">
        <v>0.1</v>
      </c>
      <c r="F42" s="1075"/>
    </row>
    <row r="43" spans="1:6" ht="14.5" thickBot="1">
      <c r="A43" s="839" t="s">
        <v>442</v>
      </c>
      <c r="B43" s="843" t="s">
        <v>334</v>
      </c>
      <c r="C43" s="1063">
        <v>9.8000000000000004E-2</v>
      </c>
      <c r="D43" s="1063">
        <v>9.7000000000000003E-2</v>
      </c>
      <c r="E43" s="1063">
        <v>9.6000000000000002E-2</v>
      </c>
      <c r="F43" s="1075"/>
    </row>
    <row r="44" spans="1:6" ht="14.5" thickBot="1">
      <c r="A44" s="839" t="s">
        <v>442</v>
      </c>
      <c r="B44" s="843" t="s">
        <v>344</v>
      </c>
      <c r="C44" s="1063">
        <v>8.5999999999999993E-2</v>
      </c>
      <c r="D44" s="1063">
        <v>7.9000000000000001E-2</v>
      </c>
      <c r="E44" s="1063">
        <v>7.0999999999999994E-2</v>
      </c>
      <c r="F44" s="1075"/>
    </row>
    <row r="45" spans="1:6" ht="14.5" thickBot="1">
      <c r="A45" s="839" t="s">
        <v>442</v>
      </c>
      <c r="B45" s="843" t="s">
        <v>354</v>
      </c>
      <c r="C45" s="1063">
        <v>9.8000000000000004E-2</v>
      </c>
      <c r="D45" s="1063">
        <v>9.6000000000000002E-2</v>
      </c>
      <c r="E45" s="1063">
        <v>9.6000000000000002E-2</v>
      </c>
      <c r="F45" s="1075"/>
    </row>
    <row r="46" spans="1:6" ht="14.5" thickBot="1">
      <c r="A46" s="839" t="s">
        <v>442</v>
      </c>
      <c r="B46" s="843" t="s">
        <v>364</v>
      </c>
      <c r="C46" s="1063">
        <v>8.5999999999999993E-2</v>
      </c>
      <c r="D46" s="1063">
        <v>9.8000000000000004E-2</v>
      </c>
      <c r="E46" s="1063">
        <v>8.7999999999999995E-2</v>
      </c>
      <c r="F46" s="1075"/>
    </row>
    <row r="47" spans="1:6" ht="14.5" thickBot="1">
      <c r="A47" s="839" t="s">
        <v>442</v>
      </c>
      <c r="B47" s="843" t="s">
        <v>374</v>
      </c>
      <c r="C47" s="1063">
        <v>9.6000000000000002E-2</v>
      </c>
      <c r="D47" s="1076"/>
      <c r="E47" s="1063">
        <v>6.9000000000000006E-2</v>
      </c>
      <c r="F47" s="1075"/>
    </row>
    <row r="48" spans="1:6" ht="14.5" thickBot="1">
      <c r="A48" s="849" t="s">
        <v>442</v>
      </c>
      <c r="B48" s="844" t="s">
        <v>383</v>
      </c>
      <c r="C48" s="1065">
        <v>9.8000000000000004E-2</v>
      </c>
      <c r="D48" s="1073"/>
      <c r="E48" s="1065">
        <v>9.5000000000000001E-2</v>
      </c>
      <c r="F48" s="1074"/>
    </row>
    <row r="49" spans="1:6" ht="14.5" thickBot="1">
      <c r="A49" s="839" t="s">
        <v>137</v>
      </c>
      <c r="B49" s="840" t="s">
        <v>881</v>
      </c>
      <c r="C49" s="1061">
        <v>9.7000000000000003E-2</v>
      </c>
      <c r="D49" s="1061">
        <v>9.5000000000000001E-2</v>
      </c>
      <c r="E49" s="1061">
        <v>9.7000000000000003E-2</v>
      </c>
      <c r="F49" s="1062">
        <v>0.1</v>
      </c>
    </row>
    <row r="50" spans="1:6" ht="14.5" thickBot="1">
      <c r="A50" s="839" t="s">
        <v>137</v>
      </c>
      <c r="B50" s="833" t="s">
        <v>190</v>
      </c>
      <c r="C50" s="1063">
        <v>7.4999999999999997E-2</v>
      </c>
      <c r="D50" s="1063">
        <v>9.5000000000000001E-2</v>
      </c>
      <c r="E50" s="1063">
        <v>0.1</v>
      </c>
      <c r="F50" s="1064">
        <v>0.1</v>
      </c>
    </row>
    <row r="51" spans="1:6" ht="14.5" thickBot="1">
      <c r="A51" s="839" t="s">
        <v>137</v>
      </c>
      <c r="B51" s="833" t="s">
        <v>203</v>
      </c>
      <c r="C51" s="1063">
        <v>9.8000000000000004E-2</v>
      </c>
      <c r="D51" s="1063">
        <v>8.8999999999999996E-2</v>
      </c>
      <c r="E51" s="1063">
        <v>0.1</v>
      </c>
      <c r="F51" s="1064">
        <v>0.1</v>
      </c>
    </row>
    <row r="52" spans="1:6" ht="14.5" thickBot="1">
      <c r="A52" s="839" t="s">
        <v>137</v>
      </c>
      <c r="B52" s="833" t="s">
        <v>216</v>
      </c>
      <c r="C52" s="1063">
        <v>9.8000000000000004E-2</v>
      </c>
      <c r="D52" s="1063">
        <v>9.7000000000000003E-2</v>
      </c>
      <c r="E52" s="1063">
        <v>8.1000000000000003E-2</v>
      </c>
      <c r="F52" s="1064">
        <v>0.1</v>
      </c>
    </row>
    <row r="53" spans="1:6" ht="14.5" thickBot="1">
      <c r="A53" s="839" t="s">
        <v>137</v>
      </c>
      <c r="B53" s="833" t="s">
        <v>228</v>
      </c>
      <c r="C53" s="1063">
        <v>9.7000000000000003E-2</v>
      </c>
      <c r="D53" s="1063">
        <v>7.5999999999999998E-2</v>
      </c>
      <c r="E53" s="1063">
        <v>7.0999999999999994E-2</v>
      </c>
      <c r="F53" s="1064">
        <v>0.1</v>
      </c>
    </row>
    <row r="54" spans="1:6" ht="14.5" thickBot="1">
      <c r="A54" s="839" t="s">
        <v>137</v>
      </c>
      <c r="B54" s="833" t="s">
        <v>239</v>
      </c>
      <c r="C54" s="1063">
        <v>7.5999999999999998E-2</v>
      </c>
      <c r="D54" s="1063">
        <v>0.1</v>
      </c>
      <c r="E54" s="1063">
        <v>9.9000000000000005E-2</v>
      </c>
      <c r="F54" s="1064">
        <v>0.1</v>
      </c>
    </row>
    <row r="55" spans="1:6" ht="14.5" thickBot="1">
      <c r="A55" s="839" t="s">
        <v>137</v>
      </c>
      <c r="B55" s="833" t="s">
        <v>250</v>
      </c>
      <c r="C55" s="1063">
        <v>0.1</v>
      </c>
      <c r="D55" s="1063">
        <v>0.1</v>
      </c>
      <c r="E55" s="1063">
        <v>9.6000000000000002E-2</v>
      </c>
      <c r="F55" s="1064">
        <v>0.1</v>
      </c>
    </row>
    <row r="56" spans="1:6" ht="14.5" thickBot="1">
      <c r="A56" s="839" t="s">
        <v>137</v>
      </c>
      <c r="B56" s="833" t="s">
        <v>261</v>
      </c>
      <c r="C56" s="1063">
        <v>0.1</v>
      </c>
      <c r="D56" s="1063">
        <v>9.6000000000000002E-2</v>
      </c>
      <c r="E56" s="1063">
        <v>5.1999999999999998E-2</v>
      </c>
      <c r="F56" s="1064">
        <v>0.1</v>
      </c>
    </row>
    <row r="57" spans="1:6" ht="14.5" thickBot="1">
      <c r="A57" s="839" t="s">
        <v>137</v>
      </c>
      <c r="B57" s="833" t="s">
        <v>273</v>
      </c>
      <c r="C57" s="1063">
        <v>9.7000000000000003E-2</v>
      </c>
      <c r="D57" s="1063">
        <v>9.6000000000000002E-2</v>
      </c>
      <c r="E57" s="1063">
        <v>9.6000000000000002E-2</v>
      </c>
      <c r="F57" s="1064">
        <v>0.1</v>
      </c>
    </row>
    <row r="58" spans="1:6" ht="14.5" thickBot="1">
      <c r="A58" s="839" t="s">
        <v>137</v>
      </c>
      <c r="B58" s="833" t="s">
        <v>283</v>
      </c>
      <c r="C58" s="1063">
        <v>9.6000000000000002E-2</v>
      </c>
      <c r="D58" s="1063">
        <v>9.9000000000000005E-2</v>
      </c>
      <c r="E58" s="1063">
        <v>9.6000000000000002E-2</v>
      </c>
      <c r="F58" s="1064">
        <v>0.1</v>
      </c>
    </row>
    <row r="59" spans="1:6" ht="14.5" thickBot="1">
      <c r="A59" s="839" t="s">
        <v>137</v>
      </c>
      <c r="B59" s="833" t="s">
        <v>293</v>
      </c>
      <c r="C59" s="1063">
        <v>7.1999999999999995E-2</v>
      </c>
      <c r="D59" s="1063">
        <v>9.6000000000000002E-2</v>
      </c>
      <c r="E59" s="1063">
        <v>7.0999999999999994E-2</v>
      </c>
      <c r="F59" s="1064">
        <v>0.1</v>
      </c>
    </row>
    <row r="60" spans="1:6" ht="14.5" thickBot="1">
      <c r="A60" s="839" t="s">
        <v>137</v>
      </c>
      <c r="B60" s="833" t="s">
        <v>303</v>
      </c>
      <c r="C60" s="1063">
        <v>9.6000000000000002E-2</v>
      </c>
      <c r="D60" s="1063">
        <v>8.8999999999999996E-2</v>
      </c>
      <c r="E60" s="1063">
        <v>9.6000000000000002E-2</v>
      </c>
      <c r="F60" s="1064">
        <v>0.1</v>
      </c>
    </row>
    <row r="61" spans="1:6" ht="14.5" thickBot="1">
      <c r="A61" s="839" t="s">
        <v>137</v>
      </c>
      <c r="B61" s="833" t="s">
        <v>313</v>
      </c>
      <c r="C61" s="1063">
        <v>8.8999999999999996E-2</v>
      </c>
      <c r="D61" s="1063">
        <v>9.8000000000000004E-2</v>
      </c>
      <c r="E61" s="1063">
        <v>8.7999999999999995E-2</v>
      </c>
      <c r="F61" s="1075"/>
    </row>
    <row r="62" spans="1:6" ht="14.5" thickBot="1">
      <c r="A62" s="839" t="s">
        <v>137</v>
      </c>
      <c r="B62" s="833" t="s">
        <v>324</v>
      </c>
      <c r="C62" s="1063">
        <v>9.8000000000000004E-2</v>
      </c>
      <c r="D62" s="1063">
        <v>9.2999999999999999E-2</v>
      </c>
      <c r="E62" s="1063">
        <v>9.7000000000000003E-2</v>
      </c>
      <c r="F62" s="1075"/>
    </row>
    <row r="63" spans="1:6" ht="14.5" thickBot="1">
      <c r="A63" s="839" t="s">
        <v>137</v>
      </c>
      <c r="B63" s="833" t="s">
        <v>335</v>
      </c>
      <c r="C63" s="1063">
        <v>9.6000000000000002E-2</v>
      </c>
      <c r="D63" s="1063">
        <v>9.8000000000000004E-2</v>
      </c>
      <c r="E63" s="1063">
        <v>0.09</v>
      </c>
      <c r="F63" s="1075"/>
    </row>
    <row r="64" spans="1:6" ht="14.5" thickBot="1">
      <c r="A64" s="839" t="s">
        <v>137</v>
      </c>
      <c r="B64" s="833" t="s">
        <v>345</v>
      </c>
      <c r="C64" s="1063">
        <v>9.9000000000000005E-2</v>
      </c>
      <c r="D64" s="1063">
        <v>9.7000000000000003E-2</v>
      </c>
      <c r="E64" s="1063">
        <v>9.9000000000000005E-2</v>
      </c>
      <c r="F64" s="1075"/>
    </row>
    <row r="65" spans="1:6" ht="14.5" thickBot="1">
      <c r="A65" s="839" t="s">
        <v>137</v>
      </c>
      <c r="B65" s="833" t="s">
        <v>355</v>
      </c>
      <c r="C65" s="1063">
        <v>9.8000000000000004E-2</v>
      </c>
      <c r="D65" s="1063">
        <v>9.6000000000000002E-2</v>
      </c>
      <c r="E65" s="1063">
        <v>9.6000000000000002E-2</v>
      </c>
      <c r="F65" s="1075"/>
    </row>
    <row r="66" spans="1:6" ht="14.5" thickBot="1">
      <c r="A66" s="839" t="s">
        <v>137</v>
      </c>
      <c r="B66" s="833" t="s">
        <v>365</v>
      </c>
      <c r="C66" s="1063">
        <v>9.6000000000000002E-2</v>
      </c>
      <c r="D66" s="1063">
        <v>9.1999999999999998E-2</v>
      </c>
      <c r="E66" s="1063">
        <v>9.6000000000000002E-2</v>
      </c>
      <c r="F66" s="1075"/>
    </row>
    <row r="67" spans="1:6" ht="14.5" thickBot="1">
      <c r="A67" s="839" t="s">
        <v>137</v>
      </c>
      <c r="B67" s="833" t="s">
        <v>375</v>
      </c>
      <c r="C67" s="1063">
        <v>9.4E-2</v>
      </c>
      <c r="D67" s="1063">
        <v>0.1</v>
      </c>
      <c r="E67" s="1063">
        <v>8.7999999999999995E-2</v>
      </c>
      <c r="F67" s="1075"/>
    </row>
    <row r="68" spans="1:6" ht="14.5" thickBot="1">
      <c r="A68" s="839" t="s">
        <v>137</v>
      </c>
      <c r="B68" s="833" t="s">
        <v>384</v>
      </c>
      <c r="C68" s="1063">
        <v>0.1</v>
      </c>
      <c r="D68" s="1063">
        <v>8.7999999999999995E-2</v>
      </c>
      <c r="E68" s="1063">
        <v>9.7000000000000003E-2</v>
      </c>
      <c r="F68" s="1075"/>
    </row>
    <row r="69" spans="1:6" ht="14.5" thickBot="1">
      <c r="A69" s="839" t="s">
        <v>137</v>
      </c>
      <c r="B69" s="833" t="s">
        <v>393</v>
      </c>
      <c r="C69" s="1063">
        <v>6.4000000000000001E-2</v>
      </c>
      <c r="D69" s="1063">
        <v>0.1</v>
      </c>
      <c r="E69" s="1063">
        <v>0.1</v>
      </c>
      <c r="F69" s="1075"/>
    </row>
    <row r="70" spans="1:6" ht="14.5" thickBot="1">
      <c r="A70" s="839" t="s">
        <v>137</v>
      </c>
      <c r="B70" s="833" t="s">
        <v>401</v>
      </c>
      <c r="C70" s="1063">
        <v>9.0999999999999998E-2</v>
      </c>
      <c r="D70" s="1076"/>
      <c r="E70" s="1076"/>
      <c r="F70" s="1075"/>
    </row>
    <row r="71" spans="1:6" ht="14.5" thickBot="1">
      <c r="A71" s="839" t="s">
        <v>137</v>
      </c>
      <c r="B71" s="833" t="s">
        <v>408</v>
      </c>
      <c r="C71" s="1063">
        <v>0.1</v>
      </c>
      <c r="D71" s="1076"/>
      <c r="E71" s="1076"/>
      <c r="F71" s="1075"/>
    </row>
    <row r="72" spans="1:6" ht="26.5" thickBot="1">
      <c r="A72" s="839" t="s">
        <v>137</v>
      </c>
      <c r="B72" s="833" t="s">
        <v>882</v>
      </c>
      <c r="C72" s="1076"/>
      <c r="D72" s="1076"/>
      <c r="E72" s="1076"/>
      <c r="F72" s="1064">
        <v>0.05</v>
      </c>
    </row>
    <row r="73" spans="1:6" ht="26.5" thickBot="1">
      <c r="A73" s="839" t="s">
        <v>137</v>
      </c>
      <c r="B73" s="833" t="s">
        <v>883</v>
      </c>
      <c r="C73" s="1076"/>
      <c r="D73" s="1076"/>
      <c r="E73" s="1076"/>
      <c r="F73" s="1064">
        <v>0.05</v>
      </c>
    </row>
    <row r="74" spans="1:6" ht="26.5" thickBot="1">
      <c r="A74" s="839" t="s">
        <v>137</v>
      </c>
      <c r="B74" s="833" t="s">
        <v>884</v>
      </c>
      <c r="C74" s="1076"/>
      <c r="D74" s="1076"/>
      <c r="E74" s="1076"/>
      <c r="F74" s="1064">
        <v>0.05</v>
      </c>
    </row>
    <row r="75" spans="1:6" ht="26.5" thickBot="1">
      <c r="A75" s="849" t="s">
        <v>137</v>
      </c>
      <c r="B75" s="845" t="s">
        <v>885</v>
      </c>
      <c r="C75" s="1073"/>
      <c r="D75" s="1073"/>
      <c r="E75" s="1073"/>
      <c r="F75" s="1066">
        <v>0.05</v>
      </c>
    </row>
    <row r="76" spans="1:6" ht="14.5" thickBot="1">
      <c r="A76" s="839" t="s">
        <v>523</v>
      </c>
      <c r="B76" s="840" t="s">
        <v>886</v>
      </c>
      <c r="C76" s="1061">
        <v>0.1</v>
      </c>
      <c r="D76" s="1061">
        <v>0.1</v>
      </c>
      <c r="E76" s="1061">
        <v>0.1</v>
      </c>
      <c r="F76" s="1062">
        <v>0.1</v>
      </c>
    </row>
    <row r="77" spans="1:6" ht="14.5" thickBot="1">
      <c r="A77" s="839" t="s">
        <v>523</v>
      </c>
      <c r="B77" s="833" t="s">
        <v>191</v>
      </c>
      <c r="C77" s="1063">
        <v>8.7999999999999995E-2</v>
      </c>
      <c r="D77" s="1063">
        <v>8.6999999999999994E-2</v>
      </c>
      <c r="E77" s="1063">
        <v>7.9000000000000001E-2</v>
      </c>
      <c r="F77" s="1064">
        <v>0.1</v>
      </c>
    </row>
    <row r="78" spans="1:6" ht="14.5" thickBot="1">
      <c r="A78" s="839" t="s">
        <v>523</v>
      </c>
      <c r="B78" s="833" t="s">
        <v>204</v>
      </c>
      <c r="C78" s="1063">
        <v>8.6999999999999994E-2</v>
      </c>
      <c r="D78" s="1063">
        <v>8.4000000000000005E-2</v>
      </c>
      <c r="E78" s="1063">
        <v>9.6000000000000002E-2</v>
      </c>
      <c r="F78" s="1064">
        <v>0.1</v>
      </c>
    </row>
    <row r="79" spans="1:6" ht="14.5" thickBot="1">
      <c r="A79" s="839" t="s">
        <v>523</v>
      </c>
      <c r="B79" s="833" t="s">
        <v>217</v>
      </c>
      <c r="C79" s="1063">
        <v>9.8000000000000004E-2</v>
      </c>
      <c r="D79" s="1063">
        <v>9.8000000000000004E-2</v>
      </c>
      <c r="E79" s="1063">
        <v>9.0999999999999998E-2</v>
      </c>
      <c r="F79" s="1064">
        <v>0.1</v>
      </c>
    </row>
    <row r="80" spans="1:6" ht="14.5" thickBot="1">
      <c r="A80" s="839" t="s">
        <v>523</v>
      </c>
      <c r="B80" s="833" t="s">
        <v>229</v>
      </c>
      <c r="C80" s="1063">
        <v>9.6000000000000002E-2</v>
      </c>
      <c r="D80" s="1063">
        <v>9.6000000000000002E-2</v>
      </c>
      <c r="E80" s="1063">
        <v>0.1</v>
      </c>
      <c r="F80" s="1064">
        <v>0.1</v>
      </c>
    </row>
    <row r="81" spans="1:6" ht="14.5" thickBot="1">
      <c r="A81" s="839" t="s">
        <v>523</v>
      </c>
      <c r="B81" s="833" t="s">
        <v>240</v>
      </c>
      <c r="C81" s="1063">
        <v>9.9000000000000005E-2</v>
      </c>
      <c r="D81" s="1063">
        <v>9.9000000000000005E-2</v>
      </c>
      <c r="E81" s="1063">
        <v>9.8000000000000004E-2</v>
      </c>
      <c r="F81" s="1064">
        <v>0.1</v>
      </c>
    </row>
    <row r="82" spans="1:6" ht="14.5" thickBot="1">
      <c r="A82" s="839" t="s">
        <v>523</v>
      </c>
      <c r="B82" s="833" t="s">
        <v>251</v>
      </c>
      <c r="C82" s="1063">
        <v>9.9000000000000005E-2</v>
      </c>
      <c r="D82" s="1063">
        <v>9.9000000000000005E-2</v>
      </c>
      <c r="E82" s="1063">
        <v>9.7000000000000003E-2</v>
      </c>
      <c r="F82" s="1064">
        <v>0.1</v>
      </c>
    </row>
    <row r="83" spans="1:6" ht="14.5" thickBot="1">
      <c r="A83" s="839" t="s">
        <v>523</v>
      </c>
      <c r="B83" s="833" t="s">
        <v>262</v>
      </c>
      <c r="C83" s="1063">
        <v>9.8000000000000004E-2</v>
      </c>
      <c r="D83" s="1063">
        <v>9.8000000000000004E-2</v>
      </c>
      <c r="E83" s="1063">
        <v>9.8000000000000004E-2</v>
      </c>
      <c r="F83" s="1064">
        <v>0.1</v>
      </c>
    </row>
    <row r="84" spans="1:6" ht="14.5" thickBot="1">
      <c r="A84" s="839" t="s">
        <v>523</v>
      </c>
      <c r="B84" s="833" t="s">
        <v>274</v>
      </c>
      <c r="C84" s="1063">
        <v>9.9000000000000005E-2</v>
      </c>
      <c r="D84" s="1063">
        <v>9.9000000000000005E-2</v>
      </c>
      <c r="E84" s="1063">
        <v>9.9000000000000005E-2</v>
      </c>
      <c r="F84" s="1064">
        <v>0.1</v>
      </c>
    </row>
    <row r="85" spans="1:6" ht="14.5" thickBot="1">
      <c r="A85" s="839" t="s">
        <v>523</v>
      </c>
      <c r="B85" s="833" t="s">
        <v>284</v>
      </c>
      <c r="C85" s="1063">
        <v>9.9000000000000005E-2</v>
      </c>
      <c r="D85" s="1063">
        <v>9.9000000000000005E-2</v>
      </c>
      <c r="E85" s="1063">
        <v>9.9000000000000005E-2</v>
      </c>
      <c r="F85" s="1064">
        <v>0.1</v>
      </c>
    </row>
    <row r="86" spans="1:6" ht="14.5" thickBot="1">
      <c r="A86" s="839" t="s">
        <v>523</v>
      </c>
      <c r="B86" s="833" t="s">
        <v>294</v>
      </c>
      <c r="C86" s="1063">
        <v>0.1</v>
      </c>
      <c r="D86" s="1063">
        <v>0.1</v>
      </c>
      <c r="E86" s="1063">
        <v>7.6999999999999999E-2</v>
      </c>
      <c r="F86" s="1064">
        <v>0.1</v>
      </c>
    </row>
    <row r="87" spans="1:6" ht="14.5" thickBot="1">
      <c r="A87" s="839" t="s">
        <v>523</v>
      </c>
      <c r="B87" s="833" t="s">
        <v>304</v>
      </c>
      <c r="C87" s="1063">
        <v>0.1</v>
      </c>
      <c r="D87" s="1063">
        <v>0.1</v>
      </c>
      <c r="E87" s="1063">
        <v>9.8000000000000004E-2</v>
      </c>
      <c r="F87" s="1075"/>
    </row>
    <row r="88" spans="1:6" ht="14.5" thickBot="1">
      <c r="A88" s="839" t="s">
        <v>523</v>
      </c>
      <c r="B88" s="833" t="s">
        <v>314</v>
      </c>
      <c r="C88" s="1063">
        <v>9.1999999999999998E-2</v>
      </c>
      <c r="D88" s="1063">
        <v>8.5000000000000006E-2</v>
      </c>
      <c r="E88" s="1063">
        <v>9.6000000000000002E-2</v>
      </c>
      <c r="F88" s="1075"/>
    </row>
    <row r="89" spans="1:6" ht="14.5" thickBot="1">
      <c r="A89" s="839" t="s">
        <v>523</v>
      </c>
      <c r="B89" s="833" t="s">
        <v>325</v>
      </c>
      <c r="C89" s="1063">
        <v>0.1</v>
      </c>
      <c r="D89" s="1063">
        <v>0.1</v>
      </c>
      <c r="E89" s="1063">
        <v>9.7000000000000003E-2</v>
      </c>
      <c r="F89" s="1075"/>
    </row>
    <row r="90" spans="1:6" ht="14.5" thickBot="1">
      <c r="A90" s="839" t="s">
        <v>523</v>
      </c>
      <c r="B90" s="833" t="s">
        <v>336</v>
      </c>
      <c r="C90" s="1063">
        <v>9.8000000000000004E-2</v>
      </c>
      <c r="D90" s="1063">
        <v>9.8000000000000004E-2</v>
      </c>
      <c r="E90" s="1063">
        <v>8.7999999999999995E-2</v>
      </c>
      <c r="F90" s="1075"/>
    </row>
    <row r="91" spans="1:6" ht="14.5" thickBot="1">
      <c r="A91" s="839" t="s">
        <v>523</v>
      </c>
      <c r="B91" s="833" t="s">
        <v>346</v>
      </c>
      <c r="C91" s="1063">
        <v>9.9000000000000005E-2</v>
      </c>
      <c r="D91" s="1063">
        <v>9.9000000000000005E-2</v>
      </c>
      <c r="E91" s="1063">
        <v>9.0999999999999998E-2</v>
      </c>
      <c r="F91" s="1075"/>
    </row>
    <row r="92" spans="1:6" ht="14.5" thickBot="1">
      <c r="A92" s="839" t="s">
        <v>523</v>
      </c>
      <c r="B92" s="833" t="s">
        <v>356</v>
      </c>
      <c r="C92" s="1063">
        <v>9.6000000000000002E-2</v>
      </c>
      <c r="D92" s="1063">
        <v>9.6000000000000002E-2</v>
      </c>
      <c r="E92" s="1063">
        <v>7.2999999999999995E-2</v>
      </c>
      <c r="F92" s="1075"/>
    </row>
    <row r="93" spans="1:6" ht="14.5" thickBot="1">
      <c r="A93" s="839" t="s">
        <v>523</v>
      </c>
      <c r="B93" s="833" t="s">
        <v>366</v>
      </c>
      <c r="C93" s="1063">
        <v>9.6000000000000002E-2</v>
      </c>
      <c r="D93" s="1063">
        <v>9.6000000000000002E-2</v>
      </c>
      <c r="E93" s="1063">
        <v>9.9000000000000005E-2</v>
      </c>
      <c r="F93" s="1075"/>
    </row>
    <row r="94" spans="1:6" ht="14.5" thickBot="1">
      <c r="A94" s="839" t="s">
        <v>523</v>
      </c>
      <c r="B94" s="833" t="s">
        <v>376</v>
      </c>
      <c r="C94" s="1063">
        <v>7.5999999999999998E-2</v>
      </c>
      <c r="D94" s="1063">
        <v>7.3999999999999996E-2</v>
      </c>
      <c r="E94" s="1063">
        <v>9.7000000000000003E-2</v>
      </c>
      <c r="F94" s="1075"/>
    </row>
    <row r="95" spans="1:6" ht="14.5" thickBot="1">
      <c r="A95" s="839" t="s">
        <v>523</v>
      </c>
      <c r="B95" s="833" t="s">
        <v>385</v>
      </c>
      <c r="C95" s="1063">
        <v>9.9000000000000005E-2</v>
      </c>
      <c r="D95" s="1063">
        <v>9.4E-2</v>
      </c>
      <c r="E95" s="1063">
        <v>9.6000000000000002E-2</v>
      </c>
      <c r="F95" s="1075"/>
    </row>
    <row r="96" spans="1:6" ht="14.5" thickBot="1">
      <c r="A96" s="839" t="s">
        <v>523</v>
      </c>
      <c r="B96" s="833" t="s">
        <v>394</v>
      </c>
      <c r="C96" s="1063">
        <v>9.9000000000000005E-2</v>
      </c>
      <c r="D96" s="1063">
        <v>9.9000000000000005E-2</v>
      </c>
      <c r="E96" s="1063">
        <v>9.9000000000000005E-2</v>
      </c>
      <c r="F96" s="1075"/>
    </row>
    <row r="97" spans="1:6" ht="14.5" thickBot="1">
      <c r="A97" s="839" t="s">
        <v>523</v>
      </c>
      <c r="B97" s="833" t="s">
        <v>402</v>
      </c>
      <c r="C97" s="1063">
        <v>9.8000000000000004E-2</v>
      </c>
      <c r="D97" s="1063">
        <v>9.8000000000000004E-2</v>
      </c>
      <c r="E97" s="1063">
        <v>9.7000000000000003E-2</v>
      </c>
      <c r="F97" s="1075"/>
    </row>
    <row r="98" spans="1:6" ht="14.5" thickBot="1">
      <c r="A98" s="839" t="s">
        <v>523</v>
      </c>
      <c r="B98" s="833" t="s">
        <v>409</v>
      </c>
      <c r="C98" s="1063">
        <v>0.1</v>
      </c>
      <c r="D98" s="1063">
        <v>0.1</v>
      </c>
      <c r="E98" s="1063">
        <v>9.7000000000000003E-2</v>
      </c>
      <c r="F98" s="1075"/>
    </row>
    <row r="99" spans="1:6" ht="14.5" thickBot="1">
      <c r="A99" s="839" t="s">
        <v>523</v>
      </c>
      <c r="B99" s="833" t="s">
        <v>416</v>
      </c>
      <c r="C99" s="1063">
        <v>0.1</v>
      </c>
      <c r="D99" s="1063">
        <v>0.1</v>
      </c>
      <c r="E99" s="1076"/>
      <c r="F99" s="1075"/>
    </row>
    <row r="100" spans="1:6" ht="14.5" thickBot="1">
      <c r="A100" s="839" t="s">
        <v>523</v>
      </c>
      <c r="B100" s="833" t="s">
        <v>423</v>
      </c>
      <c r="C100" s="1063">
        <v>0.09</v>
      </c>
      <c r="D100" s="1063">
        <v>8.8999999999999996E-2</v>
      </c>
      <c r="E100" s="1076"/>
      <c r="F100" s="1075"/>
    </row>
    <row r="101" spans="1:6" ht="14.5" thickBot="1">
      <c r="A101" s="839" t="s">
        <v>523</v>
      </c>
      <c r="B101" s="833" t="s">
        <v>430</v>
      </c>
      <c r="C101" s="1063">
        <v>9.8000000000000004E-2</v>
      </c>
      <c r="D101" s="1063">
        <v>9.7000000000000003E-2</v>
      </c>
      <c r="E101" s="1076"/>
      <c r="F101" s="1075"/>
    </row>
    <row r="102" spans="1:6" ht="26.5" thickBot="1">
      <c r="A102" s="839" t="s">
        <v>523</v>
      </c>
      <c r="B102" s="833" t="s">
        <v>887</v>
      </c>
      <c r="C102" s="1076"/>
      <c r="D102" s="1076"/>
      <c r="E102" s="1076"/>
      <c r="F102" s="1064">
        <v>0.05</v>
      </c>
    </row>
    <row r="103" spans="1:6" ht="26.5" thickBot="1">
      <c r="A103" s="839" t="s">
        <v>523</v>
      </c>
      <c r="B103" s="833" t="s">
        <v>888</v>
      </c>
      <c r="C103" s="1076"/>
      <c r="D103" s="1076"/>
      <c r="E103" s="1076"/>
      <c r="F103" s="1064">
        <v>0.05</v>
      </c>
    </row>
    <row r="104" spans="1:6" ht="14.5" thickBot="1">
      <c r="A104" s="839" t="s">
        <v>523</v>
      </c>
      <c r="B104" s="833" t="s">
        <v>889</v>
      </c>
      <c r="C104" s="1076"/>
      <c r="D104" s="1076"/>
      <c r="E104" s="1076"/>
      <c r="F104" s="1064">
        <v>0.05</v>
      </c>
    </row>
    <row r="105" spans="1:6" ht="26.5" thickBot="1">
      <c r="A105" s="839" t="s">
        <v>523</v>
      </c>
      <c r="B105" s="833" t="s">
        <v>890</v>
      </c>
      <c r="C105" s="1076"/>
      <c r="D105" s="1076"/>
      <c r="E105" s="1076"/>
      <c r="F105" s="1064">
        <v>0.05</v>
      </c>
    </row>
    <row r="106" spans="1:6" ht="26.5" thickBot="1">
      <c r="A106" s="839" t="s">
        <v>523</v>
      </c>
      <c r="B106" s="833" t="s">
        <v>891</v>
      </c>
      <c r="C106" s="1076"/>
      <c r="D106" s="1076"/>
      <c r="E106" s="1076"/>
      <c r="F106" s="1064">
        <v>0.05</v>
      </c>
    </row>
    <row r="107" spans="1:6" ht="26.5" thickBot="1">
      <c r="A107" s="839" t="s">
        <v>523</v>
      </c>
      <c r="B107" s="833" t="s">
        <v>892</v>
      </c>
      <c r="C107" s="1076"/>
      <c r="D107" s="1076"/>
      <c r="E107" s="1076"/>
      <c r="F107" s="1064">
        <v>0.05</v>
      </c>
    </row>
    <row r="108" spans="1:6" ht="26.5" thickBot="1">
      <c r="A108" s="839" t="s">
        <v>523</v>
      </c>
      <c r="B108" s="833" t="s">
        <v>893</v>
      </c>
      <c r="C108" s="1076"/>
      <c r="D108" s="1076"/>
      <c r="E108" s="1076"/>
      <c r="F108" s="1064">
        <v>0.05</v>
      </c>
    </row>
    <row r="109" spans="1:6" ht="26.5" thickBot="1">
      <c r="A109" s="849" t="s">
        <v>523</v>
      </c>
      <c r="B109" s="845" t="s">
        <v>894</v>
      </c>
      <c r="C109" s="1073"/>
      <c r="D109" s="1073"/>
      <c r="E109" s="1073"/>
      <c r="F109" s="1066">
        <v>0.05</v>
      </c>
    </row>
    <row r="110" spans="1:6" ht="14.5" thickBot="1">
      <c r="A110" s="839" t="s">
        <v>56</v>
      </c>
      <c r="B110" s="840" t="s">
        <v>895</v>
      </c>
      <c r="C110" s="1061">
        <v>0.129</v>
      </c>
      <c r="D110" s="1061">
        <v>0.129</v>
      </c>
      <c r="E110" s="1061">
        <v>0.126</v>
      </c>
      <c r="F110" s="1062">
        <v>0.13</v>
      </c>
    </row>
    <row r="111" spans="1:6" ht="14.5" thickBot="1">
      <c r="A111" s="839" t="s">
        <v>56</v>
      </c>
      <c r="B111" s="833" t="s">
        <v>192</v>
      </c>
      <c r="C111" s="1063">
        <v>0.11</v>
      </c>
      <c r="D111" s="1063">
        <v>0.11</v>
      </c>
      <c r="E111" s="1063">
        <v>9.9000000000000005E-2</v>
      </c>
      <c r="F111" s="1064">
        <v>0.128</v>
      </c>
    </row>
    <row r="112" spans="1:6" ht="14.5" thickBot="1">
      <c r="A112" s="839" t="s">
        <v>56</v>
      </c>
      <c r="B112" s="833" t="s">
        <v>205</v>
      </c>
      <c r="C112" s="1063">
        <v>0.125</v>
      </c>
      <c r="D112" s="1063">
        <v>0.125</v>
      </c>
      <c r="E112" s="1063">
        <v>0.12</v>
      </c>
      <c r="F112" s="1064">
        <v>0.125</v>
      </c>
    </row>
    <row r="113" spans="1:6" ht="14.5" thickBot="1">
      <c r="A113" s="839" t="s">
        <v>56</v>
      </c>
      <c r="B113" s="833" t="s">
        <v>218</v>
      </c>
      <c r="C113" s="1063">
        <v>0.13</v>
      </c>
      <c r="D113" s="1063">
        <v>0.13</v>
      </c>
      <c r="E113" s="1063">
        <v>0.13</v>
      </c>
      <c r="F113" s="1064">
        <v>0.13</v>
      </c>
    </row>
    <row r="114" spans="1:6" ht="14.5" thickBot="1">
      <c r="A114" s="839" t="s">
        <v>56</v>
      </c>
      <c r="B114" s="833" t="s">
        <v>230</v>
      </c>
      <c r="C114" s="1063">
        <v>0.123</v>
      </c>
      <c r="D114" s="1063">
        <v>0.123</v>
      </c>
      <c r="E114" s="1063">
        <v>0.12</v>
      </c>
      <c r="F114" s="1064">
        <v>0.13</v>
      </c>
    </row>
    <row r="115" spans="1:6" ht="14.5" thickBot="1">
      <c r="A115" s="839" t="s">
        <v>56</v>
      </c>
      <c r="B115" s="833" t="s">
        <v>241</v>
      </c>
      <c r="C115" s="1063">
        <v>0.125</v>
      </c>
      <c r="D115" s="1063">
        <v>0.125</v>
      </c>
      <c r="E115" s="1063">
        <v>0.11700000000000001</v>
      </c>
      <c r="F115" s="1064">
        <v>0.13</v>
      </c>
    </row>
    <row r="116" spans="1:6" ht="14.5" thickBot="1">
      <c r="A116" s="839" t="s">
        <v>56</v>
      </c>
      <c r="B116" s="833" t="s">
        <v>252</v>
      </c>
      <c r="C116" s="1063">
        <v>0.11700000000000001</v>
      </c>
      <c r="D116" s="1063">
        <v>0.11700000000000001</v>
      </c>
      <c r="E116" s="1063">
        <v>8.7999999999999995E-2</v>
      </c>
      <c r="F116" s="1064">
        <v>0.13</v>
      </c>
    </row>
    <row r="117" spans="1:6" ht="14.5" thickBot="1">
      <c r="A117" s="839" t="s">
        <v>56</v>
      </c>
      <c r="B117" s="833" t="s">
        <v>263</v>
      </c>
      <c r="C117" s="1063">
        <v>0.13</v>
      </c>
      <c r="D117" s="1063">
        <v>0.13</v>
      </c>
      <c r="E117" s="1063">
        <v>0.129</v>
      </c>
      <c r="F117" s="1064">
        <v>0.13</v>
      </c>
    </row>
    <row r="118" spans="1:6" ht="14.5" thickBot="1">
      <c r="A118" s="839" t="s">
        <v>56</v>
      </c>
      <c r="B118" s="833" t="s">
        <v>275</v>
      </c>
      <c r="C118" s="1063">
        <v>0.123</v>
      </c>
      <c r="D118" s="1063">
        <v>0.123</v>
      </c>
      <c r="E118" s="1063">
        <v>0.11600000000000001</v>
      </c>
      <c r="F118" s="1064">
        <v>0.13</v>
      </c>
    </row>
    <row r="119" spans="1:6" ht="14.5" thickBot="1">
      <c r="A119" s="839" t="s">
        <v>56</v>
      </c>
      <c r="B119" s="833" t="s">
        <v>285</v>
      </c>
      <c r="C119" s="1063">
        <v>0.127</v>
      </c>
      <c r="D119" s="1063">
        <v>0.127</v>
      </c>
      <c r="E119" s="1063">
        <v>0.124</v>
      </c>
      <c r="F119" s="1064">
        <v>0.13</v>
      </c>
    </row>
    <row r="120" spans="1:6" ht="14.5" thickBot="1">
      <c r="A120" s="839" t="s">
        <v>56</v>
      </c>
      <c r="B120" s="833" t="s">
        <v>295</v>
      </c>
      <c r="C120" s="1063">
        <v>0.125</v>
      </c>
      <c r="D120" s="1063">
        <v>0.125</v>
      </c>
      <c r="E120" s="1063">
        <v>0.122</v>
      </c>
      <c r="F120" s="1064">
        <v>0.13</v>
      </c>
    </row>
    <row r="121" spans="1:6" ht="14.5" thickBot="1">
      <c r="A121" s="839" t="s">
        <v>56</v>
      </c>
      <c r="B121" s="833" t="s">
        <v>305</v>
      </c>
      <c r="C121" s="1063">
        <v>0.13</v>
      </c>
      <c r="D121" s="1063">
        <v>0.13</v>
      </c>
      <c r="E121" s="1063">
        <v>0.13</v>
      </c>
      <c r="F121" s="1064">
        <v>0.13</v>
      </c>
    </row>
    <row r="122" spans="1:6" ht="14.5" thickBot="1">
      <c r="A122" s="839" t="s">
        <v>56</v>
      </c>
      <c r="B122" s="833" t="s">
        <v>315</v>
      </c>
      <c r="C122" s="1063">
        <v>0.13</v>
      </c>
      <c r="D122" s="1063">
        <v>0.13</v>
      </c>
      <c r="E122" s="1063">
        <v>0.125</v>
      </c>
      <c r="F122" s="1064">
        <v>0.13</v>
      </c>
    </row>
    <row r="123" spans="1:6" ht="14.5" thickBot="1">
      <c r="A123" s="839" t="s">
        <v>56</v>
      </c>
      <c r="B123" s="833" t="s">
        <v>326</v>
      </c>
      <c r="C123" s="1063">
        <v>0.129</v>
      </c>
      <c r="D123" s="1063">
        <v>0.129</v>
      </c>
      <c r="E123" s="1063">
        <v>0.123</v>
      </c>
      <c r="F123" s="1064">
        <v>0.13</v>
      </c>
    </row>
    <row r="124" spans="1:6" ht="14.5" thickBot="1">
      <c r="A124" s="839" t="s">
        <v>56</v>
      </c>
      <c r="B124" s="833" t="s">
        <v>337</v>
      </c>
      <c r="C124" s="1063">
        <v>0.10199999999999999</v>
      </c>
      <c r="D124" s="1063">
        <v>0.10100000000000001</v>
      </c>
      <c r="E124" s="1063">
        <v>0.08</v>
      </c>
      <c r="F124" s="1075"/>
    </row>
    <row r="125" spans="1:6" ht="14.5" thickBot="1">
      <c r="A125" s="839" t="s">
        <v>56</v>
      </c>
      <c r="B125" s="833" t="s">
        <v>347</v>
      </c>
      <c r="C125" s="1063">
        <v>0.13</v>
      </c>
      <c r="D125" s="1063">
        <v>0.13</v>
      </c>
      <c r="E125" s="1063">
        <v>0.129</v>
      </c>
      <c r="F125" s="1075"/>
    </row>
    <row r="126" spans="1:6" ht="14.5" thickBot="1">
      <c r="A126" s="839" t="s">
        <v>56</v>
      </c>
      <c r="B126" s="833" t="s">
        <v>357</v>
      </c>
      <c r="C126" s="1063">
        <v>0.13</v>
      </c>
      <c r="D126" s="1063">
        <v>0.13</v>
      </c>
      <c r="E126" s="1063">
        <v>0.126</v>
      </c>
      <c r="F126" s="1075"/>
    </row>
    <row r="127" spans="1:6" ht="14.5" thickBot="1">
      <c r="A127" s="839" t="s">
        <v>56</v>
      </c>
      <c r="B127" s="833" t="s">
        <v>367</v>
      </c>
      <c r="C127" s="1063">
        <v>0.125</v>
      </c>
      <c r="D127" s="1063">
        <v>0.125</v>
      </c>
      <c r="E127" s="1063">
        <v>0.121</v>
      </c>
      <c r="F127" s="1075"/>
    </row>
    <row r="128" spans="1:6" ht="14.5" thickBot="1">
      <c r="A128" s="839" t="s">
        <v>56</v>
      </c>
      <c r="B128" s="833" t="s">
        <v>377</v>
      </c>
      <c r="C128" s="1063">
        <v>0.12</v>
      </c>
      <c r="D128" s="1063">
        <v>0.12</v>
      </c>
      <c r="E128" s="1063">
        <v>0.105</v>
      </c>
      <c r="F128" s="1075"/>
    </row>
    <row r="129" spans="1:6" ht="14.5" thickBot="1">
      <c r="A129" s="839" t="s">
        <v>56</v>
      </c>
      <c r="B129" s="833" t="s">
        <v>386</v>
      </c>
      <c r="C129" s="1063">
        <v>0.13</v>
      </c>
      <c r="D129" s="1063">
        <v>0.13</v>
      </c>
      <c r="E129" s="1063">
        <v>0.126</v>
      </c>
      <c r="F129" s="1075"/>
    </row>
    <row r="130" spans="1:6" ht="14.5" thickBot="1">
      <c r="A130" s="839" t="s">
        <v>56</v>
      </c>
      <c r="B130" s="833" t="s">
        <v>395</v>
      </c>
      <c r="C130" s="1063">
        <v>0.125</v>
      </c>
      <c r="D130" s="1063">
        <v>0.125</v>
      </c>
      <c r="E130" s="1063">
        <v>0.122</v>
      </c>
      <c r="F130" s="1075"/>
    </row>
    <row r="131" spans="1:6" ht="14.5" thickBot="1">
      <c r="A131" s="839" t="s">
        <v>56</v>
      </c>
      <c r="B131" s="833" t="s">
        <v>403</v>
      </c>
      <c r="C131" s="1063">
        <v>0.127</v>
      </c>
      <c r="D131" s="1063">
        <v>0.126</v>
      </c>
      <c r="E131" s="1063">
        <v>0.123</v>
      </c>
      <c r="F131" s="1075"/>
    </row>
    <row r="132" spans="1:6" ht="14.5" thickBot="1">
      <c r="A132" s="839" t="s">
        <v>56</v>
      </c>
      <c r="B132" s="833" t="s">
        <v>410</v>
      </c>
      <c r="C132" s="1063">
        <v>9.0999999999999998E-2</v>
      </c>
      <c r="D132" s="1063">
        <v>0.121</v>
      </c>
      <c r="E132" s="1063">
        <v>9.9000000000000005E-2</v>
      </c>
      <c r="F132" s="1075"/>
    </row>
    <row r="133" spans="1:6" ht="14.5" thickBot="1">
      <c r="A133" s="839" t="s">
        <v>56</v>
      </c>
      <c r="B133" s="833" t="s">
        <v>417</v>
      </c>
      <c r="C133" s="1063">
        <v>0.13</v>
      </c>
      <c r="D133" s="1063">
        <v>0.13</v>
      </c>
      <c r="E133" s="1063">
        <v>0.129</v>
      </c>
      <c r="F133" s="1075"/>
    </row>
    <row r="134" spans="1:6" ht="14.5" thickBot="1">
      <c r="A134" s="839" t="s">
        <v>56</v>
      </c>
      <c r="B134" s="833" t="s">
        <v>896</v>
      </c>
      <c r="C134" s="1063">
        <v>6.8000000000000005E-2</v>
      </c>
      <c r="D134" s="1063">
        <v>6.5000000000000002E-2</v>
      </c>
      <c r="E134" s="1063">
        <v>6.5000000000000002E-2</v>
      </c>
      <c r="F134" s="1064">
        <v>0.13</v>
      </c>
    </row>
    <row r="135" spans="1:6" ht="14.5" thickBot="1">
      <c r="A135" s="839" t="s">
        <v>56</v>
      </c>
      <c r="B135" s="833" t="s">
        <v>431</v>
      </c>
      <c r="C135" s="1063">
        <v>0.123</v>
      </c>
      <c r="D135" s="1063">
        <v>0.123</v>
      </c>
      <c r="E135" s="1063">
        <v>0.11</v>
      </c>
      <c r="F135" s="1075"/>
    </row>
    <row r="136" spans="1:6" ht="14.5" thickBot="1">
      <c r="A136" s="839" t="s">
        <v>56</v>
      </c>
      <c r="B136" s="833" t="s">
        <v>438</v>
      </c>
      <c r="C136" s="1063">
        <v>0.13</v>
      </c>
      <c r="D136" s="1063">
        <v>0.13</v>
      </c>
      <c r="E136" s="1063">
        <v>0.125</v>
      </c>
      <c r="F136" s="1075"/>
    </row>
    <row r="137" spans="1:6" ht="14.5" thickBot="1">
      <c r="A137" s="839" t="s">
        <v>56</v>
      </c>
      <c r="B137" s="833" t="s">
        <v>445</v>
      </c>
      <c r="C137" s="1063">
        <v>0.121</v>
      </c>
      <c r="D137" s="1063">
        <v>0.122</v>
      </c>
      <c r="E137" s="1063">
        <v>0.115</v>
      </c>
      <c r="F137" s="1075"/>
    </row>
    <row r="138" spans="1:6" ht="14.5" thickBot="1">
      <c r="A138" s="839" t="s">
        <v>56</v>
      </c>
      <c r="B138" s="833" t="s">
        <v>897</v>
      </c>
      <c r="C138" s="1063">
        <v>0.105</v>
      </c>
      <c r="D138" s="1063">
        <v>0.125</v>
      </c>
      <c r="E138" s="1063">
        <v>0.112</v>
      </c>
      <c r="F138" s="1075"/>
    </row>
    <row r="139" spans="1:6" ht="14.5" thickBot="1">
      <c r="A139" s="839" t="s">
        <v>56</v>
      </c>
      <c r="B139" s="833" t="s">
        <v>898</v>
      </c>
      <c r="C139" s="1063">
        <v>0.127</v>
      </c>
      <c r="D139" s="1063">
        <v>0.127</v>
      </c>
      <c r="E139" s="1063">
        <v>0.122</v>
      </c>
      <c r="F139" s="1064">
        <v>0.13</v>
      </c>
    </row>
    <row r="140" spans="1:6" ht="14.5" thickBot="1">
      <c r="A140" s="839" t="s">
        <v>56</v>
      </c>
      <c r="B140" s="833" t="s">
        <v>899</v>
      </c>
      <c r="C140" s="1063">
        <v>0.125</v>
      </c>
      <c r="D140" s="1063">
        <v>0.125</v>
      </c>
      <c r="E140" s="1063">
        <v>0.11899999999999999</v>
      </c>
      <c r="F140" s="1064">
        <v>0.13</v>
      </c>
    </row>
    <row r="141" spans="1:6" ht="14.5" thickBot="1">
      <c r="A141" s="839" t="s">
        <v>56</v>
      </c>
      <c r="B141" s="833" t="s">
        <v>464</v>
      </c>
      <c r="C141" s="1063">
        <v>0.125</v>
      </c>
      <c r="D141" s="1063">
        <v>0.125</v>
      </c>
      <c r="E141" s="1063">
        <v>0.11700000000000001</v>
      </c>
      <c r="F141" s="1075"/>
    </row>
    <row r="142" spans="1:6" ht="14.5" thickBot="1">
      <c r="A142" s="839" t="s">
        <v>56</v>
      </c>
      <c r="B142" s="833" t="s">
        <v>469</v>
      </c>
      <c r="C142" s="1063">
        <v>0.125</v>
      </c>
      <c r="D142" s="1063">
        <v>0.125</v>
      </c>
      <c r="E142" s="1063">
        <v>0.115</v>
      </c>
      <c r="F142" s="1075"/>
    </row>
    <row r="143" spans="1:6" ht="14.5" thickBot="1">
      <c r="A143" s="839" t="s">
        <v>56</v>
      </c>
      <c r="B143" s="833" t="s">
        <v>474</v>
      </c>
      <c r="C143" s="1063">
        <v>0.121</v>
      </c>
      <c r="D143" s="1063">
        <v>0.121</v>
      </c>
      <c r="E143" s="1063">
        <v>0.108</v>
      </c>
      <c r="F143" s="1075"/>
    </row>
    <row r="144" spans="1:6" ht="14.5" thickBot="1">
      <c r="A144" s="839" t="s">
        <v>56</v>
      </c>
      <c r="B144" s="1067" t="s">
        <v>900</v>
      </c>
      <c r="C144" s="1068">
        <v>0.126</v>
      </c>
      <c r="D144" s="1068">
        <v>0.126</v>
      </c>
      <c r="E144" s="1068">
        <v>0.121</v>
      </c>
      <c r="F144" s="1075"/>
    </row>
    <row r="145" spans="1:6" ht="14.5" thickBot="1">
      <c r="A145" s="849" t="s">
        <v>56</v>
      </c>
      <c r="B145" s="1069" t="s">
        <v>901</v>
      </c>
      <c r="C145" s="1077"/>
      <c r="D145" s="1077"/>
      <c r="E145" s="1077"/>
      <c r="F145" s="1070">
        <v>0.05</v>
      </c>
    </row>
    <row r="146" spans="1:6" ht="26.5" thickBot="1">
      <c r="A146" s="1071" t="s">
        <v>56</v>
      </c>
      <c r="B146" s="843" t="s">
        <v>902</v>
      </c>
      <c r="C146" s="1076"/>
      <c r="D146" s="1076"/>
      <c r="E146" s="1076"/>
      <c r="F146" s="1072">
        <v>0.05</v>
      </c>
    </row>
    <row r="147" spans="1:6" ht="26.5" thickBot="1">
      <c r="A147" s="839" t="s">
        <v>56</v>
      </c>
      <c r="B147" s="833" t="s">
        <v>903</v>
      </c>
      <c r="C147" s="1076"/>
      <c r="D147" s="1076"/>
      <c r="E147" s="1076"/>
      <c r="F147" s="1064">
        <v>0.05</v>
      </c>
    </row>
    <row r="148" spans="1:6" ht="26.5" thickBot="1">
      <c r="A148" s="839" t="s">
        <v>56</v>
      </c>
      <c r="B148" s="833" t="s">
        <v>904</v>
      </c>
      <c r="C148" s="1076"/>
      <c r="D148" s="1076"/>
      <c r="E148" s="1076"/>
      <c r="F148" s="1064">
        <v>0.05</v>
      </c>
    </row>
    <row r="149" spans="1:6" ht="26.5" thickBot="1">
      <c r="A149" s="839" t="s">
        <v>56</v>
      </c>
      <c r="B149" s="833" t="s">
        <v>905</v>
      </c>
      <c r="C149" s="1076"/>
      <c r="D149" s="1076"/>
      <c r="E149" s="1076"/>
      <c r="F149" s="1064">
        <v>0.05</v>
      </c>
    </row>
    <row r="150" spans="1:6" ht="26.5" thickBot="1">
      <c r="A150" s="839" t="s">
        <v>56</v>
      </c>
      <c r="B150" s="833" t="s">
        <v>906</v>
      </c>
      <c r="C150" s="1076"/>
      <c r="D150" s="1076"/>
      <c r="E150" s="1076"/>
      <c r="F150" s="1064">
        <v>0.05</v>
      </c>
    </row>
    <row r="151" spans="1:6" ht="26.5" thickBot="1">
      <c r="A151" s="839" t="s">
        <v>56</v>
      </c>
      <c r="B151" s="833" t="s">
        <v>907</v>
      </c>
      <c r="C151" s="1076"/>
      <c r="D151" s="1076"/>
      <c r="E151" s="1076"/>
      <c r="F151" s="1064">
        <v>0.05</v>
      </c>
    </row>
    <row r="152" spans="1:6" ht="26.5" thickBot="1">
      <c r="A152" s="839" t="s">
        <v>56</v>
      </c>
      <c r="B152" s="833" t="s">
        <v>507</v>
      </c>
      <c r="C152" s="1076"/>
      <c r="D152" s="1076"/>
      <c r="E152" s="1076"/>
      <c r="F152" s="1064">
        <v>0.05</v>
      </c>
    </row>
    <row r="153" spans="1:6" ht="14.5" thickBot="1">
      <c r="A153" s="839" t="s">
        <v>56</v>
      </c>
      <c r="B153" s="833" t="s">
        <v>908</v>
      </c>
      <c r="C153" s="1076"/>
      <c r="D153" s="1076"/>
      <c r="E153" s="1076"/>
      <c r="F153" s="1064">
        <v>0.05</v>
      </c>
    </row>
    <row r="154" spans="1:6" ht="14.5" thickBot="1">
      <c r="A154" s="839" t="s">
        <v>56</v>
      </c>
      <c r="B154" s="833" t="s">
        <v>909</v>
      </c>
      <c r="C154" s="1076"/>
      <c r="D154" s="1076"/>
      <c r="E154" s="1076"/>
      <c r="F154" s="1064">
        <v>0.05</v>
      </c>
    </row>
    <row r="155" spans="1:6" ht="26.5" thickBot="1">
      <c r="A155" s="839" t="s">
        <v>56</v>
      </c>
      <c r="B155" s="833" t="s">
        <v>910</v>
      </c>
      <c r="C155" s="1076"/>
      <c r="D155" s="1076"/>
      <c r="E155" s="1076"/>
      <c r="F155" s="1064">
        <v>0.05</v>
      </c>
    </row>
    <row r="156" spans="1:6" ht="26.5" thickBot="1">
      <c r="A156" s="839" t="s">
        <v>56</v>
      </c>
      <c r="B156" s="833" t="s">
        <v>911</v>
      </c>
      <c r="C156" s="1076"/>
      <c r="D156" s="1076"/>
      <c r="E156" s="1076"/>
      <c r="F156" s="1064">
        <v>0.05</v>
      </c>
    </row>
    <row r="157" spans="1:6" ht="14.5" thickBot="1">
      <c r="A157" s="849" t="s">
        <v>56</v>
      </c>
      <c r="B157" s="845" t="s">
        <v>912</v>
      </c>
      <c r="C157" s="1073"/>
      <c r="D157" s="1073"/>
      <c r="E157" s="1073"/>
      <c r="F157" s="1066">
        <v>0.05</v>
      </c>
    </row>
    <row r="158" spans="1:6" ht="14.5" thickBot="1">
      <c r="A158" s="839" t="s">
        <v>526</v>
      </c>
      <c r="B158" s="840" t="s">
        <v>913</v>
      </c>
      <c r="C158" s="1061">
        <v>0.13</v>
      </c>
      <c r="D158" s="1061">
        <v>0.13</v>
      </c>
      <c r="E158" s="1061">
        <v>0.13</v>
      </c>
      <c r="F158" s="1062">
        <v>0.13</v>
      </c>
    </row>
    <row r="159" spans="1:6" ht="14.5" thickBot="1">
      <c r="A159" s="839" t="s">
        <v>526</v>
      </c>
      <c r="B159" s="833" t="s">
        <v>193</v>
      </c>
      <c r="C159" s="1063">
        <v>0.13</v>
      </c>
      <c r="D159" s="1063">
        <v>0.13</v>
      </c>
      <c r="E159" s="1063">
        <v>0.13</v>
      </c>
      <c r="F159" s="1064">
        <v>0.13</v>
      </c>
    </row>
    <row r="160" spans="1:6" ht="14.5" thickBot="1">
      <c r="A160" s="839" t="s">
        <v>526</v>
      </c>
      <c r="B160" s="833" t="s">
        <v>206</v>
      </c>
      <c r="C160" s="1063">
        <v>0.13</v>
      </c>
      <c r="D160" s="1063">
        <v>0.13</v>
      </c>
      <c r="E160" s="1063">
        <v>0.129</v>
      </c>
      <c r="F160" s="1064">
        <v>0.13</v>
      </c>
    </row>
    <row r="161" spans="1:6" ht="14.5" thickBot="1">
      <c r="A161" s="839" t="s">
        <v>526</v>
      </c>
      <c r="B161" s="833" t="s">
        <v>219</v>
      </c>
      <c r="C161" s="1063">
        <v>0.128</v>
      </c>
      <c r="D161" s="1063">
        <v>0.128</v>
      </c>
      <c r="E161" s="1063">
        <v>0.125</v>
      </c>
      <c r="F161" s="1064">
        <v>0.13</v>
      </c>
    </row>
    <row r="162" spans="1:6" ht="14.5" thickBot="1">
      <c r="A162" s="839" t="s">
        <v>526</v>
      </c>
      <c r="B162" s="833" t="s">
        <v>231</v>
      </c>
      <c r="C162" s="1063">
        <v>0.122</v>
      </c>
      <c r="D162" s="1063">
        <v>0.122</v>
      </c>
      <c r="E162" s="1063">
        <v>0.126</v>
      </c>
      <c r="F162" s="1064">
        <v>0.122</v>
      </c>
    </row>
    <row r="163" spans="1:6" ht="14.5" thickBot="1">
      <c r="A163" s="839" t="s">
        <v>526</v>
      </c>
      <c r="B163" s="833" t="s">
        <v>242</v>
      </c>
      <c r="C163" s="1063">
        <v>0.13</v>
      </c>
      <c r="D163" s="1063">
        <v>0.13</v>
      </c>
      <c r="E163" s="1063">
        <v>0.125</v>
      </c>
      <c r="F163" s="1064">
        <v>0.13</v>
      </c>
    </row>
    <row r="164" spans="1:6" ht="14.5" thickBot="1">
      <c r="A164" s="839" t="s">
        <v>526</v>
      </c>
      <c r="B164" s="833" t="s">
        <v>253</v>
      </c>
      <c r="C164" s="1063">
        <v>0.13</v>
      </c>
      <c r="D164" s="1063">
        <v>0.13</v>
      </c>
      <c r="E164" s="1063">
        <v>0.13</v>
      </c>
      <c r="F164" s="1064">
        <v>0.13</v>
      </c>
    </row>
    <row r="165" spans="1:6" ht="14.5" thickBot="1">
      <c r="A165" s="839" t="s">
        <v>526</v>
      </c>
      <c r="B165" s="833" t="s">
        <v>264</v>
      </c>
      <c r="C165" s="1063">
        <v>0.13</v>
      </c>
      <c r="D165" s="1063">
        <v>0.13</v>
      </c>
      <c r="E165" s="1063">
        <v>0.124</v>
      </c>
      <c r="F165" s="1064">
        <v>0.13</v>
      </c>
    </row>
    <row r="166" spans="1:6" ht="14.5" thickBot="1">
      <c r="A166" s="839" t="s">
        <v>526</v>
      </c>
      <c r="B166" s="833" t="s">
        <v>276</v>
      </c>
      <c r="C166" s="1063">
        <v>0.13</v>
      </c>
      <c r="D166" s="1063">
        <v>0.13</v>
      </c>
      <c r="E166" s="1063">
        <v>0.13</v>
      </c>
      <c r="F166" s="1064">
        <v>0.13</v>
      </c>
    </row>
    <row r="167" spans="1:6" ht="14.5" thickBot="1">
      <c r="A167" s="839" t="s">
        <v>526</v>
      </c>
      <c r="B167" s="833" t="s">
        <v>286</v>
      </c>
      <c r="C167" s="1063">
        <v>0.125</v>
      </c>
      <c r="D167" s="1063">
        <v>0.125</v>
      </c>
      <c r="E167" s="1063">
        <v>0.121</v>
      </c>
      <c r="F167" s="1075"/>
    </row>
    <row r="168" spans="1:6" ht="14.5" thickBot="1">
      <c r="A168" s="839" t="s">
        <v>526</v>
      </c>
      <c r="B168" s="833" t="s">
        <v>296</v>
      </c>
      <c r="C168" s="1063">
        <v>0.13</v>
      </c>
      <c r="D168" s="1063">
        <v>0.13</v>
      </c>
      <c r="E168" s="1063">
        <v>0.126</v>
      </c>
      <c r="F168" s="1075"/>
    </row>
    <row r="169" spans="1:6" ht="14.5" thickBot="1">
      <c r="A169" s="839" t="s">
        <v>526</v>
      </c>
      <c r="B169" s="833" t="s">
        <v>306</v>
      </c>
      <c r="C169" s="1063">
        <v>0.128</v>
      </c>
      <c r="D169" s="1063">
        <v>0.129</v>
      </c>
      <c r="E169" s="1063">
        <v>0.13</v>
      </c>
      <c r="F169" s="1075"/>
    </row>
    <row r="170" spans="1:6" ht="14.5" thickBot="1">
      <c r="A170" s="839" t="s">
        <v>526</v>
      </c>
      <c r="B170" s="833" t="s">
        <v>316</v>
      </c>
      <c r="C170" s="1063">
        <v>0.14099999999999999</v>
      </c>
      <c r="D170" s="1063">
        <v>0.13</v>
      </c>
      <c r="E170" s="1063">
        <v>0.125</v>
      </c>
      <c r="F170" s="1075"/>
    </row>
    <row r="171" spans="1:6" ht="14.5" thickBot="1">
      <c r="A171" s="839" t="s">
        <v>526</v>
      </c>
      <c r="B171" s="833" t="s">
        <v>914</v>
      </c>
      <c r="C171" s="1063">
        <v>0.127</v>
      </c>
      <c r="D171" s="1063">
        <v>0.126</v>
      </c>
      <c r="E171" s="1063">
        <v>0.126</v>
      </c>
      <c r="F171" s="1064">
        <v>0.11799999999999999</v>
      </c>
    </row>
    <row r="172" spans="1:6" ht="14.5" thickBot="1">
      <c r="A172" s="839" t="s">
        <v>526</v>
      </c>
      <c r="B172" s="833" t="s">
        <v>915</v>
      </c>
      <c r="C172" s="1063">
        <v>0.13</v>
      </c>
      <c r="D172" s="1063">
        <v>0.13</v>
      </c>
      <c r="E172" s="1063">
        <v>0.13</v>
      </c>
      <c r="F172" s="1075"/>
    </row>
    <row r="173" spans="1:6" ht="14.5" thickBot="1">
      <c r="A173" s="839" t="s">
        <v>526</v>
      </c>
      <c r="B173" s="833" t="s">
        <v>348</v>
      </c>
      <c r="C173" s="1063">
        <v>0.13</v>
      </c>
      <c r="D173" s="1063">
        <v>0.13</v>
      </c>
      <c r="E173" s="1063">
        <v>0.13</v>
      </c>
      <c r="F173" s="1075"/>
    </row>
    <row r="174" spans="1:6" ht="14.5" thickBot="1">
      <c r="A174" s="839" t="s">
        <v>526</v>
      </c>
      <c r="B174" s="833" t="s">
        <v>916</v>
      </c>
      <c r="C174" s="1063">
        <v>0.13</v>
      </c>
      <c r="D174" s="1063">
        <v>0.13</v>
      </c>
      <c r="E174" s="1063">
        <v>0.13</v>
      </c>
      <c r="F174" s="1064">
        <v>0.13</v>
      </c>
    </row>
    <row r="175" spans="1:6" ht="14.5" thickBot="1">
      <c r="A175" s="839" t="s">
        <v>526</v>
      </c>
      <c r="B175" s="833" t="s">
        <v>917</v>
      </c>
      <c r="C175" s="1063">
        <v>0.13</v>
      </c>
      <c r="D175" s="1063">
        <v>0.13</v>
      </c>
      <c r="E175" s="1063">
        <v>0.13</v>
      </c>
      <c r="F175" s="1064">
        <v>0.13</v>
      </c>
    </row>
    <row r="176" spans="1:6" ht="14.5" thickBot="1">
      <c r="A176" s="839" t="s">
        <v>526</v>
      </c>
      <c r="B176" s="833" t="s">
        <v>378</v>
      </c>
      <c r="C176" s="1063">
        <v>0.13</v>
      </c>
      <c r="D176" s="1063">
        <v>0.13</v>
      </c>
      <c r="E176" s="1063">
        <v>0.13</v>
      </c>
      <c r="F176" s="1064">
        <v>0.13</v>
      </c>
    </row>
    <row r="177" spans="1:6" ht="14.5" thickBot="1">
      <c r="A177" s="839" t="s">
        <v>526</v>
      </c>
      <c r="B177" s="833" t="s">
        <v>918</v>
      </c>
      <c r="C177" s="1063">
        <v>0.13</v>
      </c>
      <c r="D177" s="1063">
        <v>0.13</v>
      </c>
      <c r="E177" s="1063">
        <v>0.13</v>
      </c>
      <c r="F177" s="1064">
        <v>0.13</v>
      </c>
    </row>
    <row r="178" spans="1:6" ht="14.5" thickBot="1">
      <c r="A178" s="839" t="s">
        <v>526</v>
      </c>
      <c r="B178" s="833" t="s">
        <v>396</v>
      </c>
      <c r="C178" s="1063">
        <v>0.13</v>
      </c>
      <c r="D178" s="1063">
        <v>0.13</v>
      </c>
      <c r="E178" s="1063">
        <v>0.13</v>
      </c>
      <c r="F178" s="1064">
        <v>0.127</v>
      </c>
    </row>
    <row r="179" spans="1:6" ht="14.5" thickBot="1">
      <c r="A179" s="839" t="s">
        <v>526</v>
      </c>
      <c r="B179" s="833" t="s">
        <v>404</v>
      </c>
      <c r="C179" s="1063">
        <v>0.13</v>
      </c>
      <c r="D179" s="1063">
        <v>0.13</v>
      </c>
      <c r="E179" s="1063">
        <v>0.13</v>
      </c>
      <c r="F179" s="1075"/>
    </row>
    <row r="180" spans="1:6" ht="14.5" thickBot="1">
      <c r="A180" s="839" t="s">
        <v>526</v>
      </c>
      <c r="B180" s="833" t="s">
        <v>919</v>
      </c>
      <c r="C180" s="1063">
        <v>0.13</v>
      </c>
      <c r="D180" s="1063">
        <v>0.13</v>
      </c>
      <c r="E180" s="1063">
        <v>0.125</v>
      </c>
      <c r="F180" s="1064">
        <v>0.13</v>
      </c>
    </row>
    <row r="181" spans="1:6" ht="14.5" thickBot="1">
      <c r="A181" s="839" t="s">
        <v>526</v>
      </c>
      <c r="B181" s="833" t="s">
        <v>418</v>
      </c>
      <c r="C181" s="1063">
        <v>0.122</v>
      </c>
      <c r="D181" s="1063">
        <v>0.123</v>
      </c>
      <c r="E181" s="1063">
        <v>0.126</v>
      </c>
      <c r="F181" s="1064">
        <v>0.121</v>
      </c>
    </row>
    <row r="182" spans="1:6" ht="14.5" thickBot="1">
      <c r="A182" s="839" t="s">
        <v>526</v>
      </c>
      <c r="B182" s="833" t="s">
        <v>425</v>
      </c>
      <c r="C182" s="1063">
        <v>0.125</v>
      </c>
      <c r="D182" s="1063">
        <v>0.125</v>
      </c>
      <c r="E182" s="1063">
        <v>0.11700000000000001</v>
      </c>
      <c r="F182" s="1064">
        <v>0.13</v>
      </c>
    </row>
    <row r="183" spans="1:6" ht="14.5" thickBot="1">
      <c r="A183" s="839" t="s">
        <v>526</v>
      </c>
      <c r="B183" s="833" t="s">
        <v>432</v>
      </c>
      <c r="C183" s="1063">
        <v>0.127</v>
      </c>
      <c r="D183" s="1063">
        <v>0.127</v>
      </c>
      <c r="E183" s="1063">
        <v>0.128</v>
      </c>
      <c r="F183" s="1075"/>
    </row>
    <row r="184" spans="1:6" ht="14.5" thickBot="1">
      <c r="A184" s="839" t="s">
        <v>526</v>
      </c>
      <c r="B184" s="833" t="s">
        <v>439</v>
      </c>
      <c r="C184" s="1063">
        <v>0.125</v>
      </c>
      <c r="D184" s="1063">
        <v>0.125</v>
      </c>
      <c r="E184" s="1063">
        <v>0.127</v>
      </c>
      <c r="F184" s="1075"/>
    </row>
    <row r="185" spans="1:6" ht="14.5" thickBot="1">
      <c r="A185" s="839" t="s">
        <v>526</v>
      </c>
      <c r="B185" s="833" t="s">
        <v>920</v>
      </c>
      <c r="C185" s="1063">
        <v>0.127</v>
      </c>
      <c r="D185" s="1063">
        <v>0.127</v>
      </c>
      <c r="E185" s="1063">
        <v>0.128</v>
      </c>
      <c r="F185" s="1064">
        <v>0.13</v>
      </c>
    </row>
    <row r="186" spans="1:6" ht="26.5" thickBot="1">
      <c r="A186" s="839" t="s">
        <v>526</v>
      </c>
      <c r="B186" s="833" t="s">
        <v>921</v>
      </c>
      <c r="C186" s="1076"/>
      <c r="D186" s="1076"/>
      <c r="E186" s="1076"/>
      <c r="F186" s="1064">
        <v>0.05</v>
      </c>
    </row>
    <row r="187" spans="1:6" ht="14.5" thickBot="1">
      <c r="A187" s="839" t="s">
        <v>526</v>
      </c>
      <c r="B187" s="833" t="s">
        <v>922</v>
      </c>
      <c r="C187" s="1076"/>
      <c r="D187" s="1076"/>
      <c r="E187" s="1076"/>
      <c r="F187" s="1064">
        <v>0.05</v>
      </c>
    </row>
    <row r="188" spans="1:6" ht="26.5" thickBot="1">
      <c r="A188" s="839" t="s">
        <v>526</v>
      </c>
      <c r="B188" s="833" t="s">
        <v>923</v>
      </c>
      <c r="C188" s="1076"/>
      <c r="D188" s="1076"/>
      <c r="E188" s="1076"/>
      <c r="F188" s="1064">
        <v>0.05</v>
      </c>
    </row>
    <row r="189" spans="1:6" ht="26.5" thickBot="1">
      <c r="A189" s="839" t="s">
        <v>526</v>
      </c>
      <c r="B189" s="833" t="s">
        <v>924</v>
      </c>
      <c r="C189" s="1076"/>
      <c r="D189" s="1076"/>
      <c r="E189" s="1076"/>
      <c r="F189" s="1064">
        <v>0.05</v>
      </c>
    </row>
    <row r="190" spans="1:6" ht="26.5" thickBot="1">
      <c r="A190" s="839" t="s">
        <v>526</v>
      </c>
      <c r="B190" s="833" t="s">
        <v>925</v>
      </c>
      <c r="C190" s="1076"/>
      <c r="D190" s="1076"/>
      <c r="E190" s="1076"/>
      <c r="F190" s="1064">
        <v>0.05</v>
      </c>
    </row>
    <row r="191" spans="1:6" ht="26.5" thickBot="1">
      <c r="A191" s="839" t="s">
        <v>526</v>
      </c>
      <c r="B191" s="833" t="s">
        <v>926</v>
      </c>
      <c r="C191" s="1076"/>
      <c r="D191" s="1076"/>
      <c r="E191" s="1076"/>
      <c r="F191" s="1064">
        <v>0.05</v>
      </c>
    </row>
    <row r="192" spans="1:6" ht="26.5" thickBot="1">
      <c r="A192" s="839" t="s">
        <v>526</v>
      </c>
      <c r="B192" s="833" t="s">
        <v>927</v>
      </c>
      <c r="C192" s="1076"/>
      <c r="D192" s="1076"/>
      <c r="E192" s="1076"/>
      <c r="F192" s="1064">
        <v>0.05</v>
      </c>
    </row>
    <row r="193" spans="1:6" ht="26.5" thickBot="1">
      <c r="A193" s="839" t="s">
        <v>526</v>
      </c>
      <c r="B193" s="833" t="s">
        <v>928</v>
      </c>
      <c r="C193" s="1076"/>
      <c r="D193" s="1076"/>
      <c r="E193" s="1076"/>
      <c r="F193" s="1064">
        <v>0.05</v>
      </c>
    </row>
    <row r="194" spans="1:6" ht="26.5" thickBot="1">
      <c r="A194" s="839" t="s">
        <v>526</v>
      </c>
      <c r="B194" s="833" t="s">
        <v>929</v>
      </c>
      <c r="C194" s="1076"/>
      <c r="D194" s="1076"/>
      <c r="E194" s="1076"/>
      <c r="F194" s="1064">
        <v>0.05</v>
      </c>
    </row>
    <row r="195" spans="1:6" ht="14.5" thickBot="1">
      <c r="A195" s="839" t="s">
        <v>526</v>
      </c>
      <c r="B195" s="833" t="s">
        <v>930</v>
      </c>
      <c r="C195" s="1076"/>
      <c r="D195" s="1076"/>
      <c r="E195" s="1076"/>
      <c r="F195" s="1064">
        <v>0.05</v>
      </c>
    </row>
    <row r="196" spans="1:6" ht="26.5" thickBot="1">
      <c r="A196" s="839" t="s">
        <v>526</v>
      </c>
      <c r="B196" s="833" t="s">
        <v>931</v>
      </c>
      <c r="C196" s="1076"/>
      <c r="D196" s="1076"/>
      <c r="E196" s="1076"/>
      <c r="F196" s="1064">
        <v>0.05</v>
      </c>
    </row>
    <row r="197" spans="1:6" ht="26.5" thickBot="1">
      <c r="A197" s="839" t="s">
        <v>526</v>
      </c>
      <c r="B197" s="833" t="s">
        <v>932</v>
      </c>
      <c r="C197" s="1076"/>
      <c r="D197" s="1076"/>
      <c r="E197" s="1076"/>
      <c r="F197" s="1064">
        <v>0.05</v>
      </c>
    </row>
    <row r="198" spans="1:6" ht="26.5" thickBot="1">
      <c r="A198" s="839" t="s">
        <v>526</v>
      </c>
      <c r="B198" s="833" t="s">
        <v>933</v>
      </c>
      <c r="C198" s="1076"/>
      <c r="D198" s="1076"/>
      <c r="E198" s="1076"/>
      <c r="F198" s="1064">
        <v>0.05</v>
      </c>
    </row>
    <row r="199" spans="1:6" ht="26.5" thickBot="1">
      <c r="A199" s="839" t="s">
        <v>526</v>
      </c>
      <c r="B199" s="833" t="s">
        <v>934</v>
      </c>
      <c r="C199" s="1076"/>
      <c r="D199" s="1076"/>
      <c r="E199" s="1076"/>
      <c r="F199" s="1064">
        <v>0.05</v>
      </c>
    </row>
    <row r="200" spans="1:6" ht="26.5" thickBot="1">
      <c r="A200" s="839" t="s">
        <v>526</v>
      </c>
      <c r="B200" s="833" t="s">
        <v>935</v>
      </c>
      <c r="C200" s="1076"/>
      <c r="D200" s="1076"/>
      <c r="E200" s="1076"/>
      <c r="F200" s="1064">
        <v>0.05</v>
      </c>
    </row>
    <row r="201" spans="1:6" ht="26.5" thickBot="1">
      <c r="A201" s="839" t="s">
        <v>526</v>
      </c>
      <c r="B201" s="833" t="s">
        <v>936</v>
      </c>
      <c r="C201" s="1076"/>
      <c r="D201" s="1076"/>
      <c r="E201" s="1076"/>
      <c r="F201" s="1064">
        <v>0.05</v>
      </c>
    </row>
    <row r="202" spans="1:6" ht="26.5" thickBot="1">
      <c r="A202" s="839" t="s">
        <v>526</v>
      </c>
      <c r="B202" s="833" t="s">
        <v>937</v>
      </c>
      <c r="C202" s="1076"/>
      <c r="D202" s="1076"/>
      <c r="E202" s="1076"/>
      <c r="F202" s="1064">
        <v>0.05</v>
      </c>
    </row>
    <row r="203" spans="1:6" ht="26.5" thickBot="1">
      <c r="A203" s="839" t="s">
        <v>526</v>
      </c>
      <c r="B203" s="833" t="s">
        <v>938</v>
      </c>
      <c r="C203" s="1076"/>
      <c r="D203" s="1076"/>
      <c r="E203" s="1076"/>
      <c r="F203" s="1064">
        <v>0.05</v>
      </c>
    </row>
    <row r="204" spans="1:6" ht="14.5" thickBot="1">
      <c r="A204" s="839" t="s">
        <v>526</v>
      </c>
      <c r="B204" s="833" t="s">
        <v>939</v>
      </c>
      <c r="C204" s="1076"/>
      <c r="D204" s="1076"/>
      <c r="E204" s="1076"/>
      <c r="F204" s="1064">
        <v>0.05</v>
      </c>
    </row>
    <row r="205" spans="1:6" ht="14.5" thickBot="1">
      <c r="A205" s="849" t="s">
        <v>526</v>
      </c>
      <c r="B205" s="845" t="s">
        <v>940</v>
      </c>
      <c r="C205" s="1073"/>
      <c r="D205" s="1073"/>
      <c r="E205" s="1073"/>
      <c r="F205" s="1066">
        <v>0.05</v>
      </c>
    </row>
    <row r="206" spans="1:6" ht="14.5" thickBot="1">
      <c r="A206" s="839" t="s">
        <v>528</v>
      </c>
      <c r="B206" s="840" t="s">
        <v>941</v>
      </c>
      <c r="C206" s="1061">
        <v>0.15</v>
      </c>
      <c r="D206" s="1061">
        <v>0.15</v>
      </c>
      <c r="E206" s="1061">
        <v>0.15</v>
      </c>
      <c r="F206" s="1062">
        <v>0.15</v>
      </c>
    </row>
    <row r="207" spans="1:6" ht="14.5" thickBot="1">
      <c r="A207" s="839" t="s">
        <v>528</v>
      </c>
      <c r="B207" s="833" t="s">
        <v>194</v>
      </c>
      <c r="C207" s="1063">
        <v>0.15</v>
      </c>
      <c r="D207" s="1063">
        <v>0.15</v>
      </c>
      <c r="E207" s="1063">
        <v>0.15</v>
      </c>
      <c r="F207" s="1064">
        <v>0.14399999999999999</v>
      </c>
    </row>
    <row r="208" spans="1:6" ht="14.5" thickBot="1">
      <c r="A208" s="839" t="s">
        <v>528</v>
      </c>
      <c r="B208" s="833" t="s">
        <v>207</v>
      </c>
      <c r="C208" s="1063">
        <v>0.15</v>
      </c>
      <c r="D208" s="1063">
        <v>0.15</v>
      </c>
      <c r="E208" s="1063">
        <v>0.15</v>
      </c>
      <c r="F208" s="1064">
        <v>0.15</v>
      </c>
    </row>
    <row r="209" spans="1:6" ht="14.5" thickBot="1">
      <c r="A209" s="839" t="s">
        <v>528</v>
      </c>
      <c r="B209" s="833" t="s">
        <v>220</v>
      </c>
      <c r="C209" s="1063">
        <v>0.13700000000000001</v>
      </c>
      <c r="D209" s="1063">
        <v>0.13700000000000001</v>
      </c>
      <c r="E209" s="1063">
        <v>0.14000000000000001</v>
      </c>
      <c r="F209" s="1064">
        <v>0.11700000000000001</v>
      </c>
    </row>
    <row r="210" spans="1:6" ht="14.5" thickBot="1">
      <c r="A210" s="839" t="s">
        <v>528</v>
      </c>
      <c r="B210" s="833" t="s">
        <v>942</v>
      </c>
      <c r="C210" s="1063">
        <v>0.15</v>
      </c>
      <c r="D210" s="1063">
        <v>0.15</v>
      </c>
      <c r="E210" s="1063">
        <v>0.15</v>
      </c>
      <c r="F210" s="1064">
        <v>0.13800000000000001</v>
      </c>
    </row>
    <row r="211" spans="1:6" ht="14.5" thickBot="1">
      <c r="A211" s="839" t="s">
        <v>528</v>
      </c>
      <c r="B211" s="833" t="s">
        <v>943</v>
      </c>
      <c r="C211" s="1063">
        <v>0.13700000000000001</v>
      </c>
      <c r="D211" s="1063">
        <v>0.13500000000000001</v>
      </c>
      <c r="E211" s="1063">
        <v>0.13600000000000001</v>
      </c>
      <c r="F211" s="1064">
        <v>0.1</v>
      </c>
    </row>
    <row r="212" spans="1:6" ht="14.5" thickBot="1">
      <c r="A212" s="839" t="s">
        <v>528</v>
      </c>
      <c r="B212" s="833" t="s">
        <v>944</v>
      </c>
      <c r="C212" s="1063">
        <v>0.15</v>
      </c>
      <c r="D212" s="1063">
        <v>0.15</v>
      </c>
      <c r="E212" s="1063">
        <v>0.14799999999999999</v>
      </c>
      <c r="F212" s="1064">
        <v>0.13600000000000001</v>
      </c>
    </row>
    <row r="213" spans="1:6" ht="14.5" thickBot="1">
      <c r="A213" s="839" t="s">
        <v>528</v>
      </c>
      <c r="B213" s="833" t="s">
        <v>265</v>
      </c>
      <c r="C213" s="1063">
        <v>0.15</v>
      </c>
      <c r="D213" s="1063">
        <v>0.15</v>
      </c>
      <c r="E213" s="1063">
        <v>0.15</v>
      </c>
      <c r="F213" s="1064">
        <v>0.13800000000000001</v>
      </c>
    </row>
    <row r="214" spans="1:6" ht="14.5" thickBot="1">
      <c r="A214" s="839" t="s">
        <v>528</v>
      </c>
      <c r="B214" s="833" t="s">
        <v>277</v>
      </c>
      <c r="C214" s="1063">
        <v>9.0999999999999998E-2</v>
      </c>
      <c r="D214" s="1063">
        <v>0.09</v>
      </c>
      <c r="E214" s="1063">
        <v>9.1999999999999998E-2</v>
      </c>
      <c r="F214" s="1075"/>
    </row>
    <row r="215" spans="1:6" ht="14.5" thickBot="1">
      <c r="A215" s="839" t="s">
        <v>528</v>
      </c>
      <c r="B215" s="833" t="s">
        <v>945</v>
      </c>
      <c r="C215" s="1063">
        <v>0.15</v>
      </c>
      <c r="D215" s="1063">
        <v>0.15</v>
      </c>
      <c r="E215" s="1063">
        <v>0.15</v>
      </c>
      <c r="F215" s="1064">
        <v>0.15</v>
      </c>
    </row>
    <row r="216" spans="1:6" ht="14.5" thickBot="1">
      <c r="A216" s="839" t="s">
        <v>528</v>
      </c>
      <c r="B216" s="833" t="s">
        <v>297</v>
      </c>
      <c r="C216" s="1063">
        <v>0.14699999999999999</v>
      </c>
      <c r="D216" s="1063">
        <v>0.14699999999999999</v>
      </c>
      <c r="E216" s="1063">
        <v>0.15</v>
      </c>
      <c r="F216" s="1064">
        <v>0.14000000000000001</v>
      </c>
    </row>
    <row r="217" spans="1:6" ht="14.5" thickBot="1">
      <c r="A217" s="839" t="s">
        <v>528</v>
      </c>
      <c r="B217" s="833" t="s">
        <v>307</v>
      </c>
      <c r="C217" s="1063">
        <v>0.15</v>
      </c>
      <c r="D217" s="1063">
        <v>0.15</v>
      </c>
      <c r="E217" s="1063">
        <v>0.15</v>
      </c>
      <c r="F217" s="1064">
        <v>0.15</v>
      </c>
    </row>
    <row r="218" spans="1:6" ht="14.5" thickBot="1">
      <c r="A218" s="839" t="s">
        <v>528</v>
      </c>
      <c r="B218" s="833" t="s">
        <v>946</v>
      </c>
      <c r="C218" s="1063">
        <v>0.15</v>
      </c>
      <c r="D218" s="1063">
        <v>0.15</v>
      </c>
      <c r="E218" s="1063">
        <v>0.15</v>
      </c>
      <c r="F218" s="1064">
        <v>0.15</v>
      </c>
    </row>
    <row r="219" spans="1:6" ht="14.5" thickBot="1">
      <c r="A219" s="839" t="s">
        <v>528</v>
      </c>
      <c r="B219" s="833" t="s">
        <v>328</v>
      </c>
      <c r="C219" s="1063">
        <v>0.15</v>
      </c>
      <c r="D219" s="1063">
        <v>0.15</v>
      </c>
      <c r="E219" s="1063">
        <v>0.15</v>
      </c>
      <c r="F219" s="1064">
        <v>0.14799999999999999</v>
      </c>
    </row>
    <row r="220" spans="1:6" ht="14.5" thickBot="1">
      <c r="A220" s="839" t="s">
        <v>528</v>
      </c>
      <c r="B220" s="833" t="s">
        <v>947</v>
      </c>
      <c r="C220" s="1063">
        <v>0.15</v>
      </c>
      <c r="D220" s="1063">
        <v>0.15</v>
      </c>
      <c r="E220" s="1063">
        <v>0.15</v>
      </c>
      <c r="F220" s="1064">
        <v>0.15</v>
      </c>
    </row>
    <row r="221" spans="1:6" ht="14.5" thickBot="1">
      <c r="A221" s="839" t="s">
        <v>528</v>
      </c>
      <c r="B221" s="833" t="s">
        <v>349</v>
      </c>
      <c r="C221" s="1063"/>
      <c r="D221" s="1076"/>
      <c r="E221" s="1076"/>
      <c r="F221" s="1064">
        <v>0.14799999999999999</v>
      </c>
    </row>
    <row r="222" spans="1:6" ht="14.5" thickBot="1">
      <c r="A222" s="839" t="s">
        <v>528</v>
      </c>
      <c r="B222" s="833" t="s">
        <v>359</v>
      </c>
      <c r="C222" s="1063"/>
      <c r="D222" s="1076"/>
      <c r="E222" s="1076"/>
      <c r="F222" s="1064">
        <v>0.1</v>
      </c>
    </row>
    <row r="223" spans="1:6" ht="14.5" thickBot="1">
      <c r="A223" s="839" t="s">
        <v>528</v>
      </c>
      <c r="B223" s="833" t="s">
        <v>369</v>
      </c>
      <c r="C223" s="1063"/>
      <c r="D223" s="1076"/>
      <c r="E223" s="1076"/>
      <c r="F223" s="1064">
        <v>0.15</v>
      </c>
    </row>
    <row r="224" spans="1:6" ht="14.5" thickBot="1">
      <c r="A224" s="839" t="s">
        <v>528</v>
      </c>
      <c r="B224" s="833" t="s">
        <v>379</v>
      </c>
      <c r="C224" s="1063"/>
      <c r="D224" s="1076"/>
      <c r="E224" s="1076"/>
      <c r="F224" s="1064">
        <v>0.15</v>
      </c>
    </row>
    <row r="225" spans="1:6" ht="14.5" thickBot="1">
      <c r="A225" s="839" t="s">
        <v>528</v>
      </c>
      <c r="B225" s="833" t="s">
        <v>948</v>
      </c>
      <c r="C225" s="1063">
        <v>0.15</v>
      </c>
      <c r="D225" s="1063">
        <v>0.15</v>
      </c>
      <c r="E225" s="1063">
        <v>0.15</v>
      </c>
      <c r="F225" s="1064">
        <v>0.15</v>
      </c>
    </row>
    <row r="226" spans="1:6" ht="14.5" thickBot="1">
      <c r="A226" s="839" t="s">
        <v>528</v>
      </c>
      <c r="B226" s="833" t="s">
        <v>397</v>
      </c>
      <c r="C226" s="1063">
        <v>0.15</v>
      </c>
      <c r="D226" s="1063">
        <v>0.15</v>
      </c>
      <c r="E226" s="1063">
        <v>0.15</v>
      </c>
      <c r="F226" s="1064">
        <v>0.14799999999999999</v>
      </c>
    </row>
    <row r="227" spans="1:6" ht="14.5" thickBot="1">
      <c r="A227" s="839" t="s">
        <v>528</v>
      </c>
      <c r="B227" s="833" t="s">
        <v>949</v>
      </c>
      <c r="C227" s="1063">
        <v>0.15</v>
      </c>
      <c r="D227" s="1063">
        <v>0.15</v>
      </c>
      <c r="E227" s="1063">
        <v>0.15</v>
      </c>
      <c r="F227" s="1064">
        <v>0.15</v>
      </c>
    </row>
    <row r="228" spans="1:6" ht="14.5" thickBot="1">
      <c r="A228" s="839" t="s">
        <v>528</v>
      </c>
      <c r="B228" s="833" t="s">
        <v>412</v>
      </c>
      <c r="C228" s="1063">
        <v>0.15</v>
      </c>
      <c r="D228" s="1063">
        <v>0.15</v>
      </c>
      <c r="E228" s="1063">
        <v>0.15</v>
      </c>
      <c r="F228" s="1064">
        <v>0.15</v>
      </c>
    </row>
    <row r="229" spans="1:6" ht="14.5" thickBot="1">
      <c r="A229" s="839" t="s">
        <v>528</v>
      </c>
      <c r="B229" s="833" t="s">
        <v>419</v>
      </c>
      <c r="C229" s="1063">
        <v>0.15</v>
      </c>
      <c r="D229" s="1063">
        <v>0.15</v>
      </c>
      <c r="E229" s="1063">
        <v>0.15</v>
      </c>
      <c r="F229" s="1075"/>
    </row>
    <row r="230" spans="1:6" ht="14.5" thickBot="1">
      <c r="A230" s="839" t="s">
        <v>528</v>
      </c>
      <c r="B230" s="833" t="s">
        <v>426</v>
      </c>
      <c r="C230" s="1063">
        <v>0.14499999999999999</v>
      </c>
      <c r="D230" s="1063">
        <v>0.14499999999999999</v>
      </c>
      <c r="E230" s="1063">
        <v>0.14399999999999999</v>
      </c>
      <c r="F230" s="1075"/>
    </row>
    <row r="231" spans="1:6" ht="14.5" thickBot="1">
      <c r="A231" s="839" t="s">
        <v>528</v>
      </c>
      <c r="B231" s="833" t="s">
        <v>950</v>
      </c>
      <c r="C231" s="1063">
        <v>0.128</v>
      </c>
      <c r="D231" s="1063">
        <v>0.125</v>
      </c>
      <c r="E231" s="1063">
        <v>0.13200000000000001</v>
      </c>
      <c r="F231" s="1075"/>
    </row>
    <row r="232" spans="1:6" ht="14.5" thickBot="1">
      <c r="A232" s="839" t="s">
        <v>528</v>
      </c>
      <c r="B232" s="833" t="s">
        <v>951</v>
      </c>
      <c r="C232" s="1063">
        <v>0.14499999999999999</v>
      </c>
      <c r="D232" s="1063">
        <v>0.14399999999999999</v>
      </c>
      <c r="E232" s="1063">
        <v>0.14599999999999999</v>
      </c>
      <c r="F232" s="1064">
        <v>0.13800000000000001</v>
      </c>
    </row>
    <row r="233" spans="1:6" ht="14.5" thickBot="1">
      <c r="A233" s="839" t="s">
        <v>528</v>
      </c>
      <c r="B233" s="833" t="s">
        <v>952</v>
      </c>
      <c r="C233" s="1063">
        <v>0.14499999999999999</v>
      </c>
      <c r="D233" s="1063">
        <v>0.14299999999999999</v>
      </c>
      <c r="E233" s="1063">
        <v>0.14199999999999999</v>
      </c>
      <c r="F233" s="1075"/>
    </row>
    <row r="234" spans="1:6" ht="14.5" thickBot="1">
      <c r="A234" s="839" t="s">
        <v>528</v>
      </c>
      <c r="B234" s="833" t="s">
        <v>953</v>
      </c>
      <c r="C234" s="1063">
        <v>0.14000000000000001</v>
      </c>
      <c r="D234" s="1063">
        <v>0.14000000000000001</v>
      </c>
      <c r="E234" s="1063">
        <v>0.14399999999999999</v>
      </c>
      <c r="F234" s="1075"/>
    </row>
    <row r="235" spans="1:6" ht="14.5" thickBot="1">
      <c r="A235" s="839" t="s">
        <v>528</v>
      </c>
      <c r="B235" s="833" t="s">
        <v>954</v>
      </c>
      <c r="C235" s="1063">
        <v>0.14099999999999999</v>
      </c>
      <c r="D235" s="1063">
        <v>0.14199999999999999</v>
      </c>
      <c r="E235" s="1063">
        <v>0.14499999999999999</v>
      </c>
      <c r="F235" s="1064">
        <v>0.15</v>
      </c>
    </row>
    <row r="236" spans="1:6" ht="14.5" thickBot="1">
      <c r="A236" s="839" t="s">
        <v>528</v>
      </c>
      <c r="B236" s="833" t="s">
        <v>461</v>
      </c>
      <c r="C236" s="1076"/>
      <c r="D236" s="1076"/>
      <c r="E236" s="1076"/>
      <c r="F236" s="1064">
        <v>0.14299999999999999</v>
      </c>
    </row>
    <row r="237" spans="1:6" ht="26.5" thickBot="1">
      <c r="A237" s="839" t="s">
        <v>528</v>
      </c>
      <c r="B237" s="833" t="s">
        <v>955</v>
      </c>
      <c r="C237" s="1076"/>
      <c r="D237" s="1076"/>
      <c r="E237" s="1076"/>
      <c r="F237" s="1064">
        <v>0.05</v>
      </c>
    </row>
    <row r="238" spans="1:6" ht="26.5" thickBot="1">
      <c r="A238" s="839" t="s">
        <v>528</v>
      </c>
      <c r="B238" s="833" t="s">
        <v>956</v>
      </c>
      <c r="C238" s="1076"/>
      <c r="D238" s="1076"/>
      <c r="E238" s="1076"/>
      <c r="F238" s="1064">
        <v>0.05</v>
      </c>
    </row>
    <row r="239" spans="1:6" ht="26.5" thickBot="1">
      <c r="A239" s="839" t="s">
        <v>528</v>
      </c>
      <c r="B239" s="833" t="s">
        <v>957</v>
      </c>
      <c r="C239" s="1076"/>
      <c r="D239" s="1076"/>
      <c r="E239" s="1076"/>
      <c r="F239" s="1064">
        <v>0.05</v>
      </c>
    </row>
    <row r="240" spans="1:6" ht="26.5" thickBot="1">
      <c r="A240" s="839" t="s">
        <v>528</v>
      </c>
      <c r="B240" s="833" t="s">
        <v>958</v>
      </c>
      <c r="C240" s="1076"/>
      <c r="D240" s="1076"/>
      <c r="E240" s="1076"/>
      <c r="F240" s="1064">
        <v>0.05</v>
      </c>
    </row>
    <row r="241" spans="1:6" ht="26.5" thickBot="1">
      <c r="A241" s="839" t="s">
        <v>528</v>
      </c>
      <c r="B241" s="833" t="s">
        <v>959</v>
      </c>
      <c r="C241" s="1076"/>
      <c r="D241" s="1076"/>
      <c r="E241" s="1076"/>
      <c r="F241" s="1064">
        <v>0.05</v>
      </c>
    </row>
    <row r="242" spans="1:6" ht="26.5" thickBot="1">
      <c r="A242" s="839" t="s">
        <v>528</v>
      </c>
      <c r="B242" s="833" t="s">
        <v>960</v>
      </c>
      <c r="C242" s="1076"/>
      <c r="D242" s="1076"/>
      <c r="E242" s="1076"/>
      <c r="F242" s="1064">
        <v>0.05</v>
      </c>
    </row>
    <row r="243" spans="1:6" ht="26.5" thickBot="1">
      <c r="A243" s="839" t="s">
        <v>528</v>
      </c>
      <c r="B243" s="833" t="s">
        <v>961</v>
      </c>
      <c r="C243" s="1076"/>
      <c r="D243" s="1076"/>
      <c r="E243" s="1076"/>
      <c r="F243" s="1064">
        <v>0.05</v>
      </c>
    </row>
    <row r="244" spans="1:6" ht="26.5" thickBot="1">
      <c r="A244" s="849" t="s">
        <v>528</v>
      </c>
      <c r="B244" s="845" t="s">
        <v>962</v>
      </c>
      <c r="C244" s="1073"/>
      <c r="D244" s="1073"/>
      <c r="E244" s="1073"/>
      <c r="F244" s="1066">
        <v>0.05</v>
      </c>
    </row>
    <row r="245" spans="1:6" ht="14.5" thickBot="1">
      <c r="A245" s="839" t="s">
        <v>530</v>
      </c>
      <c r="B245" s="840" t="s">
        <v>963</v>
      </c>
      <c r="C245" s="1061">
        <v>0.15</v>
      </c>
      <c r="D245" s="1061">
        <v>0.15</v>
      </c>
      <c r="E245" s="1061">
        <v>0.15</v>
      </c>
      <c r="F245" s="1062">
        <v>0.14299999999999999</v>
      </c>
    </row>
    <row r="246" spans="1:6" ht="14.5" thickBot="1">
      <c r="A246" s="839" t="s">
        <v>530</v>
      </c>
      <c r="B246" s="833" t="s">
        <v>195</v>
      </c>
      <c r="C246" s="1063">
        <v>0.15</v>
      </c>
      <c r="D246" s="1063">
        <v>0.15</v>
      </c>
      <c r="E246" s="1063">
        <v>0.15</v>
      </c>
      <c r="F246" s="1064">
        <v>0.114</v>
      </c>
    </row>
    <row r="247" spans="1:6" ht="14.5" thickBot="1">
      <c r="A247" s="839" t="s">
        <v>530</v>
      </c>
      <c r="B247" s="833" t="s">
        <v>964</v>
      </c>
      <c r="C247" s="1063">
        <v>0.15</v>
      </c>
      <c r="D247" s="1063">
        <v>0.15</v>
      </c>
      <c r="E247" s="1063">
        <v>0.15</v>
      </c>
      <c r="F247" s="1064">
        <v>0.15</v>
      </c>
    </row>
    <row r="248" spans="1:6" ht="14.5" thickBot="1">
      <c r="A248" s="839" t="s">
        <v>530</v>
      </c>
      <c r="B248" s="833" t="s">
        <v>965</v>
      </c>
      <c r="C248" s="1063">
        <v>0.15</v>
      </c>
      <c r="D248" s="1063">
        <v>0.15</v>
      </c>
      <c r="E248" s="1063">
        <v>0.15</v>
      </c>
      <c r="F248" s="1064">
        <v>0.14000000000000001</v>
      </c>
    </row>
    <row r="249" spans="1:6" ht="14.5" thickBot="1">
      <c r="A249" s="839" t="s">
        <v>530</v>
      </c>
      <c r="B249" s="833" t="s">
        <v>966</v>
      </c>
      <c r="C249" s="1063">
        <v>0.15</v>
      </c>
      <c r="D249" s="1063">
        <v>0.14899999999999999</v>
      </c>
      <c r="E249" s="1063">
        <v>0.15</v>
      </c>
      <c r="F249" s="1064">
        <v>0.1</v>
      </c>
    </row>
    <row r="250" spans="1:6" ht="14.5" thickBot="1">
      <c r="A250" s="839" t="s">
        <v>530</v>
      </c>
      <c r="B250" s="833" t="s">
        <v>967</v>
      </c>
      <c r="C250" s="1063">
        <v>0.15</v>
      </c>
      <c r="D250" s="1063">
        <v>0.15</v>
      </c>
      <c r="E250" s="1063">
        <v>0.15</v>
      </c>
      <c r="F250" s="1064">
        <v>0.14399999999999999</v>
      </c>
    </row>
    <row r="251" spans="1:6" ht="14.5" thickBot="1">
      <c r="A251" s="839" t="s">
        <v>530</v>
      </c>
      <c r="B251" s="833" t="s">
        <v>255</v>
      </c>
      <c r="C251" s="1063">
        <v>0.15</v>
      </c>
      <c r="D251" s="1063">
        <v>0.15</v>
      </c>
      <c r="E251" s="1063">
        <v>0.15</v>
      </c>
      <c r="F251" s="1064">
        <v>0.14299999999999999</v>
      </c>
    </row>
    <row r="252" spans="1:6" ht="14.5" thickBot="1">
      <c r="A252" s="839" t="s">
        <v>530</v>
      </c>
      <c r="B252" s="833" t="s">
        <v>266</v>
      </c>
      <c r="C252" s="1063">
        <v>0.15</v>
      </c>
      <c r="D252" s="1063">
        <v>0.15</v>
      </c>
      <c r="E252" s="1063">
        <v>0.15</v>
      </c>
      <c r="F252" s="1064">
        <v>0.1</v>
      </c>
    </row>
    <row r="253" spans="1:6" ht="14.5" thickBot="1">
      <c r="A253" s="839" t="s">
        <v>530</v>
      </c>
      <c r="B253" s="833" t="s">
        <v>278</v>
      </c>
      <c r="C253" s="1063">
        <v>0.15</v>
      </c>
      <c r="D253" s="1063">
        <v>0.15</v>
      </c>
      <c r="E253" s="1063">
        <v>0.15</v>
      </c>
      <c r="F253" s="1064">
        <v>0.1</v>
      </c>
    </row>
    <row r="254" spans="1:6" ht="14.5" thickBot="1">
      <c r="A254" s="839" t="s">
        <v>530</v>
      </c>
      <c r="B254" s="833" t="s">
        <v>288</v>
      </c>
      <c r="C254" s="1076"/>
      <c r="D254" s="1076"/>
      <c r="E254" s="1076"/>
      <c r="F254" s="1064">
        <v>0.15</v>
      </c>
    </row>
    <row r="255" spans="1:6" ht="14.5" thickBot="1">
      <c r="A255" s="839" t="s">
        <v>530</v>
      </c>
      <c r="B255" s="833" t="s">
        <v>298</v>
      </c>
      <c r="C255" s="1076"/>
      <c r="D255" s="1076"/>
      <c r="E255" s="1076"/>
      <c r="F255" s="1064">
        <v>0.14299999999999999</v>
      </c>
    </row>
    <row r="256" spans="1:6" ht="14.5" thickBot="1">
      <c r="A256" s="839" t="s">
        <v>530</v>
      </c>
      <c r="B256" s="833" t="s">
        <v>968</v>
      </c>
      <c r="C256" s="1063">
        <v>0.14599999999999999</v>
      </c>
      <c r="D256" s="1063">
        <v>0.14699999999999999</v>
      </c>
      <c r="E256" s="1063">
        <v>0.15</v>
      </c>
      <c r="F256" s="1064">
        <v>0.13200000000000001</v>
      </c>
    </row>
    <row r="257" spans="1:6" ht="14.5" thickBot="1">
      <c r="A257" s="839" t="s">
        <v>530</v>
      </c>
      <c r="B257" s="833" t="s">
        <v>318</v>
      </c>
      <c r="C257" s="1063">
        <v>0.15</v>
      </c>
      <c r="D257" s="1063">
        <v>0.15</v>
      </c>
      <c r="E257" s="1063">
        <v>0.15</v>
      </c>
      <c r="F257" s="1064">
        <v>0.13900000000000001</v>
      </c>
    </row>
    <row r="258" spans="1:6" ht="14.5" thickBot="1">
      <c r="A258" s="839" t="s">
        <v>530</v>
      </c>
      <c r="B258" s="833" t="s">
        <v>329</v>
      </c>
      <c r="C258" s="1063">
        <v>0.15</v>
      </c>
      <c r="D258" s="1063">
        <v>0.15</v>
      </c>
      <c r="E258" s="1063">
        <v>0.15</v>
      </c>
      <c r="F258" s="1064">
        <v>0.13</v>
      </c>
    </row>
    <row r="259" spans="1:6" ht="14.5" thickBot="1">
      <c r="A259" s="839" t="s">
        <v>530</v>
      </c>
      <c r="B259" s="833" t="s">
        <v>969</v>
      </c>
      <c r="C259" s="1063">
        <v>0.14799999999999999</v>
      </c>
      <c r="D259" s="1063">
        <v>0.14899999999999999</v>
      </c>
      <c r="E259" s="1063">
        <v>0.15</v>
      </c>
      <c r="F259" s="1064">
        <v>0.13700000000000001</v>
      </c>
    </row>
    <row r="260" spans="1:6" ht="14.5" thickBot="1">
      <c r="A260" s="839" t="s">
        <v>530</v>
      </c>
      <c r="B260" s="833" t="s">
        <v>350</v>
      </c>
      <c r="C260" s="1063">
        <v>0.15</v>
      </c>
      <c r="D260" s="1063">
        <v>0.15</v>
      </c>
      <c r="E260" s="1063">
        <v>0.15</v>
      </c>
      <c r="F260" s="1064">
        <v>0.14199999999999999</v>
      </c>
    </row>
    <row r="261" spans="1:6" ht="14.5" thickBot="1">
      <c r="A261" s="839" t="s">
        <v>530</v>
      </c>
      <c r="B261" s="833" t="s">
        <v>360</v>
      </c>
      <c r="C261" s="1063">
        <v>0.15</v>
      </c>
      <c r="D261" s="1063">
        <v>0.15</v>
      </c>
      <c r="E261" s="1063">
        <v>0.14899999999999999</v>
      </c>
      <c r="F261" s="1064">
        <v>0.14799999999999999</v>
      </c>
    </row>
    <row r="262" spans="1:6" ht="14.5" thickBot="1">
      <c r="A262" s="839" t="s">
        <v>530</v>
      </c>
      <c r="B262" s="833" t="s">
        <v>370</v>
      </c>
      <c r="C262" s="1063">
        <v>0.15</v>
      </c>
      <c r="D262" s="1063">
        <v>0.15</v>
      </c>
      <c r="E262" s="1063">
        <v>0.15</v>
      </c>
      <c r="F262" s="1075"/>
    </row>
    <row r="263" spans="1:6" ht="14.5" thickBot="1">
      <c r="A263" s="839" t="s">
        <v>530</v>
      </c>
      <c r="B263" s="833" t="s">
        <v>970</v>
      </c>
      <c r="C263" s="1063">
        <v>0.14899999999999999</v>
      </c>
      <c r="D263" s="1063">
        <v>0.14899999999999999</v>
      </c>
      <c r="E263" s="1063">
        <v>0.15</v>
      </c>
      <c r="F263" s="1064">
        <v>0.13</v>
      </c>
    </row>
    <row r="264" spans="1:6" ht="14.5" thickBot="1">
      <c r="A264" s="839" t="s">
        <v>530</v>
      </c>
      <c r="B264" s="833" t="s">
        <v>389</v>
      </c>
      <c r="C264" s="1063">
        <v>0.14799999999999999</v>
      </c>
      <c r="D264" s="1063">
        <v>0.14699999999999999</v>
      </c>
      <c r="E264" s="1063">
        <v>0.15</v>
      </c>
      <c r="F264" s="1064">
        <v>7.8E-2</v>
      </c>
    </row>
    <row r="265" spans="1:6" ht="14.5" thickBot="1">
      <c r="A265" s="839" t="s">
        <v>530</v>
      </c>
      <c r="B265" s="833" t="s">
        <v>398</v>
      </c>
      <c r="C265" s="1063">
        <v>0.15</v>
      </c>
      <c r="D265" s="1063">
        <v>0.15</v>
      </c>
      <c r="E265" s="1063">
        <v>0.15</v>
      </c>
      <c r="F265" s="1064">
        <v>7.3999999999999996E-2</v>
      </c>
    </row>
    <row r="266" spans="1:6" ht="14.5" thickBot="1">
      <c r="A266" s="839" t="s">
        <v>530</v>
      </c>
      <c r="B266" s="833" t="s">
        <v>406</v>
      </c>
      <c r="C266" s="1063">
        <v>0.14699999999999999</v>
      </c>
      <c r="D266" s="1063">
        <v>0.14699999999999999</v>
      </c>
      <c r="E266" s="1063">
        <v>0.15</v>
      </c>
      <c r="F266" s="1064">
        <v>0.14299999999999999</v>
      </c>
    </row>
    <row r="267" spans="1:6" ht="14.5" thickBot="1">
      <c r="A267" s="839" t="s">
        <v>530</v>
      </c>
      <c r="B267" s="833" t="s">
        <v>413</v>
      </c>
      <c r="C267" s="1063">
        <v>0.14199999999999999</v>
      </c>
      <c r="D267" s="1063">
        <v>0.14299999999999999</v>
      </c>
      <c r="E267" s="1063">
        <v>0.15</v>
      </c>
      <c r="F267" s="1075"/>
    </row>
    <row r="268" spans="1:6" ht="14.5" thickBot="1">
      <c r="A268" s="839" t="s">
        <v>530</v>
      </c>
      <c r="B268" s="833" t="s">
        <v>971</v>
      </c>
      <c r="C268" s="1063">
        <v>0.15</v>
      </c>
      <c r="D268" s="1063">
        <v>0.15</v>
      </c>
      <c r="E268" s="1063">
        <v>0.15</v>
      </c>
      <c r="F268" s="1064">
        <v>0.13</v>
      </c>
    </row>
    <row r="269" spans="1:6" ht="14.5" thickBot="1">
      <c r="A269" s="839" t="s">
        <v>530</v>
      </c>
      <c r="B269" s="833" t="s">
        <v>427</v>
      </c>
      <c r="C269" s="1063">
        <v>0.15</v>
      </c>
      <c r="D269" s="1063">
        <v>0.15</v>
      </c>
      <c r="E269" s="1063">
        <v>0.15</v>
      </c>
      <c r="F269" s="1064">
        <v>0.14299999999999999</v>
      </c>
    </row>
    <row r="270" spans="1:6" ht="14.5" thickBot="1">
      <c r="A270" s="839" t="s">
        <v>530</v>
      </c>
      <c r="B270" s="833" t="s">
        <v>434</v>
      </c>
      <c r="C270" s="1063">
        <v>0.14499999999999999</v>
      </c>
      <c r="D270" s="1063">
        <v>0.14499999999999999</v>
      </c>
      <c r="E270" s="1063">
        <v>0.15</v>
      </c>
      <c r="F270" s="1064">
        <v>0.14699999999999999</v>
      </c>
    </row>
    <row r="271" spans="1:6" ht="14.5" thickBot="1">
      <c r="A271" s="839" t="s">
        <v>530</v>
      </c>
      <c r="B271" s="833" t="s">
        <v>441</v>
      </c>
      <c r="C271" s="1063">
        <v>0.15</v>
      </c>
      <c r="D271" s="1063">
        <v>0.15</v>
      </c>
      <c r="E271" s="1063">
        <v>0.15</v>
      </c>
      <c r="F271" s="1064">
        <v>0.13800000000000001</v>
      </c>
    </row>
    <row r="272" spans="1:6" ht="14.5" thickBot="1">
      <c r="A272" s="839" t="s">
        <v>530</v>
      </c>
      <c r="B272" s="833" t="s">
        <v>448</v>
      </c>
      <c r="C272" s="1076"/>
      <c r="D272" s="1076"/>
      <c r="E272" s="1076"/>
      <c r="F272" s="1064">
        <v>0.14000000000000001</v>
      </c>
    </row>
    <row r="273" spans="1:6" ht="14.5" thickBot="1">
      <c r="A273" s="839" t="s">
        <v>530</v>
      </c>
      <c r="B273" s="833" t="s">
        <v>972</v>
      </c>
      <c r="C273" s="1063">
        <v>0.14199999999999999</v>
      </c>
      <c r="D273" s="1063">
        <v>0.14299999999999999</v>
      </c>
      <c r="E273" s="1063">
        <v>0.15</v>
      </c>
      <c r="F273" s="1064">
        <v>0.1</v>
      </c>
    </row>
    <row r="274" spans="1:6" ht="14.5" thickBot="1">
      <c r="A274" s="839" t="s">
        <v>530</v>
      </c>
      <c r="B274" s="833" t="s">
        <v>973</v>
      </c>
      <c r="C274" s="1063">
        <v>0.14799999999999999</v>
      </c>
      <c r="D274" s="1063">
        <v>0.14799999999999999</v>
      </c>
      <c r="E274" s="1063">
        <v>0.15</v>
      </c>
      <c r="F274" s="1064">
        <v>6.7000000000000004E-2</v>
      </c>
    </row>
    <row r="275" spans="1:6" ht="14.5" thickBot="1">
      <c r="A275" s="839" t="s">
        <v>530</v>
      </c>
      <c r="B275" s="833" t="s">
        <v>974</v>
      </c>
      <c r="C275" s="1063">
        <v>0.15</v>
      </c>
      <c r="D275" s="1063">
        <v>0.15</v>
      </c>
      <c r="E275" s="1063">
        <v>0.15</v>
      </c>
      <c r="F275" s="1064">
        <v>0.15</v>
      </c>
    </row>
    <row r="276" spans="1:6" ht="14.5" thickBot="1">
      <c r="A276" s="839" t="s">
        <v>530</v>
      </c>
      <c r="B276" s="833" t="s">
        <v>975</v>
      </c>
      <c r="C276" s="1063">
        <v>0.14499999999999999</v>
      </c>
      <c r="D276" s="1063">
        <v>0.14299999999999999</v>
      </c>
      <c r="E276" s="1063">
        <v>0.15</v>
      </c>
      <c r="F276" s="1064">
        <v>5.8999999999999997E-2</v>
      </c>
    </row>
    <row r="277" spans="1:6" ht="14.5" thickBot="1">
      <c r="A277" s="839" t="s">
        <v>530</v>
      </c>
      <c r="B277" s="833" t="s">
        <v>976</v>
      </c>
      <c r="C277" s="1063">
        <v>0.15</v>
      </c>
      <c r="D277" s="1063">
        <v>0.15</v>
      </c>
      <c r="E277" s="1063">
        <v>0.15</v>
      </c>
      <c r="F277" s="1064">
        <v>0.121</v>
      </c>
    </row>
    <row r="278" spans="1:6" ht="14.5" thickBot="1">
      <c r="A278" s="839" t="s">
        <v>530</v>
      </c>
      <c r="B278" s="833" t="s">
        <v>977</v>
      </c>
      <c r="C278" s="1063">
        <v>0.15</v>
      </c>
      <c r="D278" s="1063">
        <v>0.15</v>
      </c>
      <c r="E278" s="1063">
        <v>0.15</v>
      </c>
      <c r="F278" s="1064">
        <v>0.13800000000000001</v>
      </c>
    </row>
    <row r="279" spans="1:6" ht="26.5" thickBot="1">
      <c r="A279" s="839" t="s">
        <v>530</v>
      </c>
      <c r="B279" s="833" t="s">
        <v>978</v>
      </c>
      <c r="C279" s="1076"/>
      <c r="D279" s="1076"/>
      <c r="E279" s="1076"/>
      <c r="F279" s="1064">
        <v>0.05</v>
      </c>
    </row>
    <row r="280" spans="1:6" ht="26.5" thickBot="1">
      <c r="A280" s="839" t="s">
        <v>530</v>
      </c>
      <c r="B280" s="833" t="s">
        <v>979</v>
      </c>
      <c r="C280" s="1076"/>
      <c r="D280" s="1076"/>
      <c r="E280" s="1076"/>
      <c r="F280" s="1064">
        <v>0.05</v>
      </c>
    </row>
    <row r="281" spans="1:6" ht="26.5" thickBot="1">
      <c r="A281" s="839" t="s">
        <v>530</v>
      </c>
      <c r="B281" s="833" t="s">
        <v>980</v>
      </c>
      <c r="C281" s="1076"/>
      <c r="D281" s="1076"/>
      <c r="E281" s="1076"/>
      <c r="F281" s="1064">
        <v>0.05</v>
      </c>
    </row>
    <row r="282" spans="1:6" ht="26.5" thickBot="1">
      <c r="A282" s="839" t="s">
        <v>530</v>
      </c>
      <c r="B282" s="833" t="s">
        <v>981</v>
      </c>
      <c r="C282" s="1076"/>
      <c r="D282" s="1076"/>
      <c r="E282" s="1076"/>
      <c r="F282" s="1064">
        <v>0.05</v>
      </c>
    </row>
    <row r="283" spans="1:6" ht="26.5" thickBot="1">
      <c r="A283" s="839" t="s">
        <v>530</v>
      </c>
      <c r="B283" s="833" t="s">
        <v>982</v>
      </c>
      <c r="C283" s="1076"/>
      <c r="D283" s="1076"/>
      <c r="E283" s="1076"/>
      <c r="F283" s="1064">
        <v>0.05</v>
      </c>
    </row>
    <row r="284" spans="1:6" ht="26.5" thickBot="1">
      <c r="A284" s="839" t="s">
        <v>530</v>
      </c>
      <c r="B284" s="833" t="s">
        <v>983</v>
      </c>
      <c r="C284" s="1076"/>
      <c r="D284" s="1076"/>
      <c r="E284" s="1076"/>
      <c r="F284" s="1064">
        <v>0.05</v>
      </c>
    </row>
    <row r="285" spans="1:6" ht="26.5" thickBot="1">
      <c r="A285" s="839" t="s">
        <v>530</v>
      </c>
      <c r="B285" s="833" t="s">
        <v>984</v>
      </c>
      <c r="C285" s="1076"/>
      <c r="D285" s="1076"/>
      <c r="E285" s="1076"/>
      <c r="F285" s="1064">
        <v>0.05</v>
      </c>
    </row>
    <row r="286" spans="1:6" ht="26.5" thickBot="1">
      <c r="A286" s="839" t="s">
        <v>530</v>
      </c>
      <c r="B286" s="833" t="s">
        <v>985</v>
      </c>
      <c r="C286" s="1076"/>
      <c r="D286" s="1076"/>
      <c r="E286" s="1076"/>
      <c r="F286" s="1064">
        <v>0.05</v>
      </c>
    </row>
    <row r="287" spans="1:6" ht="26.5" thickBot="1">
      <c r="A287" s="839" t="s">
        <v>530</v>
      </c>
      <c r="B287" s="833" t="s">
        <v>986</v>
      </c>
      <c r="C287" s="1076"/>
      <c r="D287" s="1076"/>
      <c r="E287" s="1076"/>
      <c r="F287" s="1064">
        <v>0.05</v>
      </c>
    </row>
    <row r="288" spans="1:6" ht="26.5" thickBot="1">
      <c r="A288" s="839" t="s">
        <v>530</v>
      </c>
      <c r="B288" s="833" t="s">
        <v>987</v>
      </c>
      <c r="C288" s="1076"/>
      <c r="D288" s="1076"/>
      <c r="E288" s="1076"/>
      <c r="F288" s="1064">
        <v>0.05</v>
      </c>
    </row>
    <row r="289" spans="1:6" ht="26.5" thickBot="1">
      <c r="A289" s="849" t="s">
        <v>530</v>
      </c>
      <c r="B289" s="845" t="s">
        <v>988</v>
      </c>
      <c r="C289" s="1073"/>
      <c r="D289" s="1073"/>
      <c r="E289" s="1073"/>
      <c r="F289" s="1066">
        <v>0.05</v>
      </c>
    </row>
    <row r="290" spans="1:6" ht="14.5" thickBot="1">
      <c r="A290" s="839" t="s">
        <v>534</v>
      </c>
      <c r="B290" s="840" t="s">
        <v>989</v>
      </c>
      <c r="C290" s="1061">
        <v>0.15</v>
      </c>
      <c r="D290" s="1061">
        <v>0.15</v>
      </c>
      <c r="E290" s="1061">
        <v>0.15</v>
      </c>
      <c r="F290" s="1078"/>
    </row>
    <row r="291" spans="1:6" ht="14.5" thickBot="1">
      <c r="A291" s="839" t="s">
        <v>534</v>
      </c>
      <c r="B291" s="833" t="s">
        <v>196</v>
      </c>
      <c r="C291" s="1063">
        <v>0.15</v>
      </c>
      <c r="D291" s="1063">
        <v>0.15</v>
      </c>
      <c r="E291" s="1063">
        <v>0.15</v>
      </c>
      <c r="F291" s="1075"/>
    </row>
    <row r="292" spans="1:6" ht="14.5" thickBot="1">
      <c r="A292" s="839" t="s">
        <v>534</v>
      </c>
      <c r="B292" s="833" t="s">
        <v>990</v>
      </c>
      <c r="C292" s="1063">
        <v>0.15</v>
      </c>
      <c r="D292" s="1063">
        <v>0.15</v>
      </c>
      <c r="E292" s="1063">
        <v>0.15</v>
      </c>
      <c r="F292" s="1064">
        <v>0.14699999999999999</v>
      </c>
    </row>
    <row r="293" spans="1:6" ht="14.5" thickBot="1">
      <c r="A293" s="839" t="s">
        <v>534</v>
      </c>
      <c r="B293" s="833" t="s">
        <v>991</v>
      </c>
      <c r="C293" s="1076"/>
      <c r="D293" s="1076"/>
      <c r="E293" s="1076"/>
      <c r="F293" s="1064">
        <v>0.1</v>
      </c>
    </row>
    <row r="294" spans="1:6" ht="14.5" thickBot="1">
      <c r="A294" s="839" t="s">
        <v>534</v>
      </c>
      <c r="B294" s="833" t="s">
        <v>992</v>
      </c>
      <c r="C294" s="1063">
        <v>0.15</v>
      </c>
      <c r="D294" s="1063">
        <v>0.15</v>
      </c>
      <c r="E294" s="1063">
        <v>0.15</v>
      </c>
      <c r="F294" s="1064">
        <v>0.15</v>
      </c>
    </row>
    <row r="295" spans="1:6" ht="14.5" thickBot="1">
      <c r="A295" s="839" t="s">
        <v>534</v>
      </c>
      <c r="B295" s="833" t="s">
        <v>234</v>
      </c>
      <c r="C295" s="1063">
        <v>0.15</v>
      </c>
      <c r="D295" s="1063">
        <v>0.15</v>
      </c>
      <c r="E295" s="1063">
        <v>0.15</v>
      </c>
      <c r="F295" s="1064">
        <v>0.15</v>
      </c>
    </row>
    <row r="296" spans="1:6" ht="14.5" thickBot="1">
      <c r="A296" s="839" t="s">
        <v>534</v>
      </c>
      <c r="B296" s="833" t="s">
        <v>993</v>
      </c>
      <c r="C296" s="1063">
        <v>0.15</v>
      </c>
      <c r="D296" s="1063">
        <v>0.15</v>
      </c>
      <c r="E296" s="1063">
        <v>0.15</v>
      </c>
      <c r="F296" s="1064">
        <v>0.15</v>
      </c>
    </row>
    <row r="297" spans="1:6" ht="14.5" thickBot="1">
      <c r="A297" s="839" t="s">
        <v>534</v>
      </c>
      <c r="B297" s="833" t="s">
        <v>994</v>
      </c>
      <c r="C297" s="1063">
        <v>0.14799999999999999</v>
      </c>
      <c r="D297" s="1063">
        <v>0.14899999999999999</v>
      </c>
      <c r="E297" s="1063">
        <v>0.15</v>
      </c>
      <c r="F297" s="1064">
        <v>0.13700000000000001</v>
      </c>
    </row>
    <row r="298" spans="1:6" ht="14.5" thickBot="1">
      <c r="A298" s="839" t="s">
        <v>534</v>
      </c>
      <c r="B298" s="833" t="s">
        <v>267</v>
      </c>
      <c r="C298" s="1063">
        <v>0.13400000000000001</v>
      </c>
      <c r="D298" s="1063">
        <v>0.13400000000000001</v>
      </c>
      <c r="E298" s="1063">
        <v>0.14499999999999999</v>
      </c>
      <c r="F298" s="1064">
        <v>0.14799999999999999</v>
      </c>
    </row>
    <row r="299" spans="1:6" ht="14.5" thickBot="1">
      <c r="A299" s="839" t="s">
        <v>534</v>
      </c>
      <c r="B299" s="833" t="s">
        <v>279</v>
      </c>
      <c r="C299" s="1063">
        <v>0.15</v>
      </c>
      <c r="D299" s="1063">
        <v>0.15</v>
      </c>
      <c r="E299" s="1063">
        <v>0.15</v>
      </c>
      <c r="F299" s="1075"/>
    </row>
    <row r="300" spans="1:6" ht="14.5" thickBot="1">
      <c r="A300" s="839" t="s">
        <v>534</v>
      </c>
      <c r="B300" s="833" t="s">
        <v>995</v>
      </c>
      <c r="C300" s="1063">
        <v>0.15</v>
      </c>
      <c r="D300" s="1063">
        <v>0.15</v>
      </c>
      <c r="E300" s="1063">
        <v>0.15</v>
      </c>
      <c r="F300" s="1064">
        <v>0.15</v>
      </c>
    </row>
    <row r="301" spans="1:6" ht="14.5" thickBot="1">
      <c r="A301" s="839" t="s">
        <v>534</v>
      </c>
      <c r="B301" s="833" t="s">
        <v>299</v>
      </c>
      <c r="C301" s="1063">
        <v>0.15</v>
      </c>
      <c r="D301" s="1063">
        <v>0.15</v>
      </c>
      <c r="E301" s="1063">
        <v>0.15</v>
      </c>
      <c r="F301" s="1075"/>
    </row>
    <row r="302" spans="1:6" ht="14.5" thickBot="1">
      <c r="A302" s="839" t="s">
        <v>534</v>
      </c>
      <c r="B302" s="833" t="s">
        <v>996</v>
      </c>
      <c r="C302" s="1063">
        <v>0.15</v>
      </c>
      <c r="D302" s="1063">
        <v>0.15</v>
      </c>
      <c r="E302" s="1063">
        <v>0.15</v>
      </c>
      <c r="F302" s="1064">
        <v>0.15</v>
      </c>
    </row>
    <row r="303" spans="1:6" ht="14.5" thickBot="1">
      <c r="A303" s="839" t="s">
        <v>534</v>
      </c>
      <c r="B303" s="833" t="s">
        <v>319</v>
      </c>
      <c r="C303" s="1063">
        <v>0.15</v>
      </c>
      <c r="D303" s="1063">
        <v>0.15</v>
      </c>
      <c r="E303" s="1063">
        <v>0.15</v>
      </c>
      <c r="F303" s="1064">
        <v>0.15</v>
      </c>
    </row>
    <row r="304" spans="1:6" ht="14.5" thickBot="1">
      <c r="A304" s="839" t="s">
        <v>534</v>
      </c>
      <c r="B304" s="833" t="s">
        <v>330</v>
      </c>
      <c r="C304" s="1063">
        <v>0.15</v>
      </c>
      <c r="D304" s="1063">
        <v>0.15</v>
      </c>
      <c r="E304" s="1063">
        <v>0.15</v>
      </c>
      <c r="F304" s="1075"/>
    </row>
    <row r="305" spans="1:6" ht="14.5" thickBot="1">
      <c r="A305" s="839" t="s">
        <v>534</v>
      </c>
      <c r="B305" s="833" t="s">
        <v>997</v>
      </c>
      <c r="C305" s="1063">
        <v>0.15</v>
      </c>
      <c r="D305" s="1063">
        <v>0.15</v>
      </c>
      <c r="E305" s="1063">
        <v>0.15</v>
      </c>
      <c r="F305" s="1064">
        <v>0.14000000000000001</v>
      </c>
    </row>
    <row r="306" spans="1:6" ht="14.5" thickBot="1">
      <c r="A306" s="839" t="s">
        <v>534</v>
      </c>
      <c r="B306" s="833" t="s">
        <v>351</v>
      </c>
      <c r="C306" s="1063">
        <v>0.15</v>
      </c>
      <c r="D306" s="1063">
        <v>0.15</v>
      </c>
      <c r="E306" s="1063">
        <v>0.15</v>
      </c>
      <c r="F306" s="1075"/>
    </row>
    <row r="307" spans="1:6" ht="14.5" thickBot="1">
      <c r="A307" s="839" t="s">
        <v>534</v>
      </c>
      <c r="B307" s="833" t="s">
        <v>998</v>
      </c>
      <c r="C307" s="1063">
        <v>0.15</v>
      </c>
      <c r="D307" s="1063">
        <v>0.15</v>
      </c>
      <c r="E307" s="1063">
        <v>0.15</v>
      </c>
      <c r="F307" s="1064">
        <v>0.14299999999999999</v>
      </c>
    </row>
    <row r="308" spans="1:6" ht="14.5" thickBot="1">
      <c r="A308" s="839" t="s">
        <v>534</v>
      </c>
      <c r="B308" s="833" t="s">
        <v>371</v>
      </c>
      <c r="C308" s="1063">
        <v>0.15</v>
      </c>
      <c r="D308" s="1063">
        <v>0.15</v>
      </c>
      <c r="E308" s="1063">
        <v>0.15</v>
      </c>
      <c r="F308" s="1064">
        <v>0.15</v>
      </c>
    </row>
    <row r="309" spans="1:6" ht="14.5" thickBot="1">
      <c r="A309" s="839" t="s">
        <v>534</v>
      </c>
      <c r="B309" s="833" t="s">
        <v>381</v>
      </c>
      <c r="C309" s="1063">
        <v>0.15</v>
      </c>
      <c r="D309" s="1063">
        <v>0.15</v>
      </c>
      <c r="E309" s="1063">
        <v>0.15</v>
      </c>
      <c r="F309" s="1075"/>
    </row>
    <row r="310" spans="1:6" ht="14.5" thickBot="1">
      <c r="A310" s="839" t="s">
        <v>534</v>
      </c>
      <c r="B310" s="833" t="s">
        <v>999</v>
      </c>
      <c r="C310" s="1063">
        <v>0.15</v>
      </c>
      <c r="D310" s="1063">
        <v>0.15</v>
      </c>
      <c r="E310" s="1063">
        <v>0.15</v>
      </c>
      <c r="F310" s="1064">
        <v>0.13700000000000001</v>
      </c>
    </row>
    <row r="311" spans="1:6" ht="14.5" thickBot="1">
      <c r="A311" s="839" t="s">
        <v>534</v>
      </c>
      <c r="B311" s="833" t="s">
        <v>1000</v>
      </c>
      <c r="C311" s="1063">
        <v>0.15</v>
      </c>
      <c r="D311" s="1063">
        <v>0.15</v>
      </c>
      <c r="E311" s="1063">
        <v>0.15</v>
      </c>
      <c r="F311" s="1064">
        <v>0.15</v>
      </c>
    </row>
    <row r="312" spans="1:6" ht="14.5" thickBot="1">
      <c r="A312" s="839" t="s">
        <v>534</v>
      </c>
      <c r="B312" s="833" t="s">
        <v>407</v>
      </c>
      <c r="C312" s="1063">
        <v>0.15</v>
      </c>
      <c r="D312" s="1063">
        <v>0.15</v>
      </c>
      <c r="E312" s="1063">
        <v>0.15</v>
      </c>
      <c r="F312" s="1064">
        <v>0.1</v>
      </c>
    </row>
    <row r="313" spans="1:6" ht="14.5" thickBot="1">
      <c r="A313" s="839" t="s">
        <v>534</v>
      </c>
      <c r="B313" s="833" t="s">
        <v>1001</v>
      </c>
      <c r="C313" s="1063">
        <v>0.15</v>
      </c>
      <c r="D313" s="1063">
        <v>0.15</v>
      </c>
      <c r="E313" s="1063">
        <v>0.15</v>
      </c>
      <c r="F313" s="1064">
        <v>0.15</v>
      </c>
    </row>
    <row r="314" spans="1:6" ht="26.5" thickBot="1">
      <c r="A314" s="839" t="s">
        <v>534</v>
      </c>
      <c r="B314" s="833" t="s">
        <v>1002</v>
      </c>
      <c r="C314" s="1076"/>
      <c r="D314" s="1076"/>
      <c r="E314" s="1076"/>
      <c r="F314" s="1064">
        <v>0.05</v>
      </c>
    </row>
    <row r="315" spans="1:6" ht="26.5" thickBot="1">
      <c r="A315" s="839" t="s">
        <v>534</v>
      </c>
      <c r="B315" s="833" t="s">
        <v>1003</v>
      </c>
      <c r="C315" s="1076"/>
      <c r="D315" s="1076"/>
      <c r="E315" s="1076"/>
      <c r="F315" s="1064">
        <v>0.05</v>
      </c>
    </row>
    <row r="316" spans="1:6" ht="26.5" thickBot="1">
      <c r="A316" s="849" t="s">
        <v>534</v>
      </c>
      <c r="B316" s="845" t="s">
        <v>1004</v>
      </c>
      <c r="C316" s="1073"/>
      <c r="D316" s="1073"/>
      <c r="E316" s="1073"/>
      <c r="F316" s="1066">
        <v>0.05</v>
      </c>
    </row>
    <row r="317" spans="1:6" ht="14.5" thickBot="1">
      <c r="A317" s="839" t="s">
        <v>1005</v>
      </c>
      <c r="B317" s="840" t="s">
        <v>1006</v>
      </c>
      <c r="C317" s="1061">
        <v>0.15</v>
      </c>
      <c r="D317" s="1061">
        <v>0.15</v>
      </c>
      <c r="E317" s="1061">
        <v>0.15</v>
      </c>
      <c r="F317" s="1062">
        <v>0.15</v>
      </c>
    </row>
    <row r="318" spans="1:6" ht="14.5" thickBot="1">
      <c r="A318" s="839" t="s">
        <v>1005</v>
      </c>
      <c r="B318" s="833" t="s">
        <v>1007</v>
      </c>
      <c r="C318" s="1063">
        <v>0.107</v>
      </c>
      <c r="D318" s="1063">
        <v>0.11</v>
      </c>
      <c r="E318" s="1063">
        <v>0.112</v>
      </c>
      <c r="F318" s="1075"/>
    </row>
    <row r="319" spans="1:6" ht="14.5" thickBot="1">
      <c r="A319" s="839" t="s">
        <v>1005</v>
      </c>
      <c r="B319" s="833" t="s">
        <v>1008</v>
      </c>
      <c r="C319" s="1063">
        <v>0.15</v>
      </c>
      <c r="D319" s="1063">
        <v>0.15</v>
      </c>
      <c r="E319" s="1063">
        <v>0.15</v>
      </c>
      <c r="F319" s="1064">
        <v>0.15</v>
      </c>
    </row>
    <row r="320" spans="1:6" ht="14.5" thickBot="1">
      <c r="A320" s="839" t="s">
        <v>1005</v>
      </c>
      <c r="B320" s="833" t="s">
        <v>223</v>
      </c>
      <c r="C320" s="1063">
        <v>0.15</v>
      </c>
      <c r="D320" s="1063">
        <v>0.15</v>
      </c>
      <c r="E320" s="1063">
        <v>0.15</v>
      </c>
      <c r="F320" s="1075"/>
    </row>
    <row r="321" spans="1:6" ht="14.5" thickBot="1">
      <c r="A321" s="839" t="s">
        <v>1005</v>
      </c>
      <c r="B321" s="833" t="s">
        <v>1009</v>
      </c>
      <c r="C321" s="1063">
        <v>0.15</v>
      </c>
      <c r="D321" s="1063">
        <v>0.15</v>
      </c>
      <c r="E321" s="1063">
        <v>0.15</v>
      </c>
      <c r="F321" s="1075"/>
    </row>
    <row r="322" spans="1:6" ht="14.5" thickBot="1">
      <c r="A322" s="839" t="s">
        <v>1005</v>
      </c>
      <c r="B322" s="833" t="s">
        <v>1010</v>
      </c>
      <c r="C322" s="1063">
        <v>0.15</v>
      </c>
      <c r="D322" s="1063">
        <v>0.15</v>
      </c>
      <c r="E322" s="1063">
        <v>0.15</v>
      </c>
      <c r="F322" s="1064">
        <v>0.15</v>
      </c>
    </row>
    <row r="323" spans="1:6" ht="14.5" thickBot="1">
      <c r="A323" s="839" t="s">
        <v>1005</v>
      </c>
      <c r="B323" s="833" t="s">
        <v>1011</v>
      </c>
      <c r="C323" s="1063">
        <v>0.15</v>
      </c>
      <c r="D323" s="1063">
        <v>0.15</v>
      </c>
      <c r="E323" s="1063">
        <v>0.15</v>
      </c>
      <c r="F323" s="1075"/>
    </row>
    <row r="324" spans="1:6" ht="14.5" thickBot="1">
      <c r="A324" s="839" t="s">
        <v>1005</v>
      </c>
      <c r="B324" s="833" t="s">
        <v>1012</v>
      </c>
      <c r="C324" s="1063">
        <v>0.15</v>
      </c>
      <c r="D324" s="1063">
        <v>0.15</v>
      </c>
      <c r="E324" s="1063">
        <v>0.15</v>
      </c>
      <c r="F324" s="1075"/>
    </row>
    <row r="325" spans="1:6" ht="14.5" thickBot="1">
      <c r="A325" s="839" t="s">
        <v>1005</v>
      </c>
      <c r="B325" s="833" t="s">
        <v>1013</v>
      </c>
      <c r="C325" s="1063">
        <v>0.15</v>
      </c>
      <c r="D325" s="1063">
        <v>0.15</v>
      </c>
      <c r="E325" s="1063">
        <v>0.15</v>
      </c>
      <c r="F325" s="1064">
        <v>0.14699999999999999</v>
      </c>
    </row>
    <row r="326" spans="1:6" ht="14.5" thickBot="1">
      <c r="A326" s="839" t="s">
        <v>1005</v>
      </c>
      <c r="B326" s="833" t="s">
        <v>290</v>
      </c>
      <c r="C326" s="1063">
        <v>0.15</v>
      </c>
      <c r="D326" s="1063">
        <v>0.15</v>
      </c>
      <c r="E326" s="1063">
        <v>0.15</v>
      </c>
      <c r="F326" s="1075"/>
    </row>
    <row r="327" spans="1:6" ht="14.5" thickBot="1">
      <c r="A327" s="839" t="s">
        <v>1005</v>
      </c>
      <c r="B327" s="833" t="s">
        <v>1014</v>
      </c>
      <c r="C327" s="1063">
        <v>0.15</v>
      </c>
      <c r="D327" s="1063">
        <v>0.15</v>
      </c>
      <c r="E327" s="1063">
        <v>0.15</v>
      </c>
      <c r="F327" s="1064">
        <v>0.15</v>
      </c>
    </row>
    <row r="328" spans="1:6" ht="14.5" thickBot="1">
      <c r="A328" s="839" t="s">
        <v>1005</v>
      </c>
      <c r="B328" s="833" t="s">
        <v>310</v>
      </c>
      <c r="C328" s="1063">
        <v>0.15</v>
      </c>
      <c r="D328" s="1063">
        <v>0.15</v>
      </c>
      <c r="E328" s="1063">
        <v>0.15</v>
      </c>
      <c r="F328" s="1064">
        <v>0.14099999999999999</v>
      </c>
    </row>
    <row r="329" spans="1:6" ht="14.5" thickBot="1">
      <c r="A329" s="839" t="s">
        <v>1005</v>
      </c>
      <c r="B329" s="833" t="s">
        <v>320</v>
      </c>
      <c r="C329" s="1063">
        <v>0.15</v>
      </c>
      <c r="D329" s="1063">
        <v>0.15</v>
      </c>
      <c r="E329" s="1063">
        <v>0.15</v>
      </c>
      <c r="F329" s="1064">
        <v>0.15</v>
      </c>
    </row>
    <row r="330" spans="1:6" ht="14.5" thickBot="1">
      <c r="A330" s="839" t="s">
        <v>1005</v>
      </c>
      <c r="B330" s="833" t="s">
        <v>331</v>
      </c>
      <c r="C330" s="1063">
        <v>0.15</v>
      </c>
      <c r="D330" s="1063">
        <v>0.15</v>
      </c>
      <c r="E330" s="1063">
        <v>0.15</v>
      </c>
      <c r="F330" s="1075"/>
    </row>
    <row r="331" spans="1:6" ht="14.5" thickBot="1">
      <c r="A331" s="839" t="s">
        <v>1005</v>
      </c>
      <c r="B331" s="833" t="s">
        <v>1015</v>
      </c>
      <c r="C331" s="1063">
        <v>0.15</v>
      </c>
      <c r="D331" s="1063">
        <v>0.15</v>
      </c>
      <c r="E331" s="1063">
        <v>0.15</v>
      </c>
      <c r="F331" s="1064">
        <v>0.15</v>
      </c>
    </row>
    <row r="332" spans="1:6" ht="14.5" thickBot="1">
      <c r="A332" s="839" t="s">
        <v>1005</v>
      </c>
      <c r="B332" s="833" t="s">
        <v>352</v>
      </c>
      <c r="C332" s="1063">
        <v>0.15</v>
      </c>
      <c r="D332" s="1063">
        <v>0.15</v>
      </c>
      <c r="E332" s="1063">
        <v>0.15</v>
      </c>
      <c r="F332" s="1064">
        <v>0.15</v>
      </c>
    </row>
    <row r="333" spans="1:6" ht="14.5" thickBot="1">
      <c r="A333" s="839" t="s">
        <v>1005</v>
      </c>
      <c r="B333" s="833" t="s">
        <v>1016</v>
      </c>
      <c r="C333" s="1063">
        <v>0.15</v>
      </c>
      <c r="D333" s="1063">
        <v>0.15</v>
      </c>
      <c r="E333" s="1063">
        <v>0.15</v>
      </c>
      <c r="F333" s="1064">
        <v>0.14099999999999999</v>
      </c>
    </row>
    <row r="334" spans="1:6" ht="14.5" thickBot="1">
      <c r="A334" s="839" t="s">
        <v>1005</v>
      </c>
      <c r="B334" s="833" t="s">
        <v>372</v>
      </c>
      <c r="C334" s="1063">
        <v>0.15</v>
      </c>
      <c r="D334" s="1063">
        <v>0.15</v>
      </c>
      <c r="E334" s="1063">
        <v>0.15</v>
      </c>
      <c r="F334" s="1064">
        <v>0.15</v>
      </c>
    </row>
    <row r="335" spans="1:6" ht="14.5" thickBot="1">
      <c r="A335" s="839" t="s">
        <v>1005</v>
      </c>
      <c r="B335" s="833" t="s">
        <v>382</v>
      </c>
      <c r="C335" s="1063">
        <v>0.15</v>
      </c>
      <c r="D335" s="1063">
        <v>0.15</v>
      </c>
      <c r="E335" s="1063">
        <v>0.15</v>
      </c>
      <c r="F335" s="1075"/>
    </row>
    <row r="336" spans="1:6" ht="14.5" thickBot="1">
      <c r="A336" s="839" t="s">
        <v>1005</v>
      </c>
      <c r="B336" s="833" t="s">
        <v>1017</v>
      </c>
      <c r="C336" s="1063">
        <v>0.15</v>
      </c>
      <c r="D336" s="1063">
        <v>0.15</v>
      </c>
      <c r="E336" s="1063">
        <v>0.15</v>
      </c>
      <c r="F336" s="1064">
        <v>0.11799999999999999</v>
      </c>
    </row>
    <row r="337" spans="1:6" ht="14.5" thickBot="1">
      <c r="A337" s="849" t="s">
        <v>1005</v>
      </c>
      <c r="B337" s="845" t="s">
        <v>400</v>
      </c>
      <c r="C337" s="1073"/>
      <c r="D337" s="1073"/>
      <c r="E337" s="1073"/>
      <c r="F337" s="1066">
        <v>0.14299999999999999</v>
      </c>
    </row>
    <row r="338" spans="1:6" ht="14.5" thickBot="1">
      <c r="A338" s="839" t="s">
        <v>1018</v>
      </c>
      <c r="B338" s="840" t="s">
        <v>1019</v>
      </c>
      <c r="C338" s="1061">
        <v>0.15</v>
      </c>
      <c r="D338" s="1061">
        <v>0.15</v>
      </c>
      <c r="E338" s="1061">
        <v>0.15</v>
      </c>
      <c r="F338" s="1078"/>
    </row>
    <row r="339" spans="1:6" ht="14.5" thickBot="1">
      <c r="A339" s="839" t="s">
        <v>1018</v>
      </c>
      <c r="B339" s="833" t="s">
        <v>1020</v>
      </c>
      <c r="C339" s="1063">
        <v>0.15</v>
      </c>
      <c r="D339" s="1063">
        <v>0.15</v>
      </c>
      <c r="E339" s="1063">
        <v>0.15</v>
      </c>
      <c r="F339" s="1075"/>
    </row>
    <row r="340" spans="1:6" ht="14.5" thickBot="1">
      <c r="A340" s="839" t="s">
        <v>1018</v>
      </c>
      <c r="B340" s="833" t="s">
        <v>1021</v>
      </c>
      <c r="C340" s="1063">
        <v>0.15</v>
      </c>
      <c r="D340" s="1063">
        <v>0.15</v>
      </c>
      <c r="E340" s="1063">
        <v>0.15</v>
      </c>
      <c r="F340" s="1075"/>
    </row>
    <row r="341" spans="1:6" ht="14.5" thickBot="1">
      <c r="A341" s="839" t="s">
        <v>1018</v>
      </c>
      <c r="B341" s="833" t="s">
        <v>1022</v>
      </c>
      <c r="C341" s="1063">
        <v>0.15</v>
      </c>
      <c r="D341" s="1063">
        <v>0.15</v>
      </c>
      <c r="E341" s="1063">
        <v>0.15</v>
      </c>
      <c r="F341" s="1064">
        <v>0.15</v>
      </c>
    </row>
    <row r="342" spans="1:6" ht="14.5" thickBot="1">
      <c r="A342" s="839" t="s">
        <v>1018</v>
      </c>
      <c r="B342" s="833" t="s">
        <v>1023</v>
      </c>
      <c r="C342" s="1063">
        <v>0.15</v>
      </c>
      <c r="D342" s="1063">
        <v>0.15</v>
      </c>
      <c r="E342" s="1063">
        <v>0.15</v>
      </c>
      <c r="F342" s="1064">
        <v>0.15</v>
      </c>
    </row>
    <row r="343" spans="1:6" ht="14.5" thickBot="1">
      <c r="A343" s="839" t="s">
        <v>1018</v>
      </c>
      <c r="B343" s="833" t="s">
        <v>1024</v>
      </c>
      <c r="C343" s="1063">
        <v>0.15</v>
      </c>
      <c r="D343" s="1063">
        <v>0.15</v>
      </c>
      <c r="E343" s="1063">
        <v>0.15</v>
      </c>
      <c r="F343" s="1064">
        <v>0.15</v>
      </c>
    </row>
    <row r="344" spans="1:6" ht="14.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
  <cols>
    <col min="1" max="1" width="4.90625" style="1636" customWidth="1"/>
    <col min="2" max="2" width="13.26953125" style="1642" customWidth="1"/>
    <col min="3" max="3" width="15.6328125" style="1642" customWidth="1"/>
    <col min="4" max="4" width="9.36328125" style="1642" bestFit="1" customWidth="1"/>
    <col min="5" max="5" width="13.453125" style="1642" customWidth="1"/>
    <col min="6" max="6" width="9" style="1642"/>
    <col min="7" max="7" width="9.36328125" style="1642" bestFit="1" customWidth="1"/>
    <col min="8" max="8" width="12.26953125" style="1642" customWidth="1"/>
    <col min="9" max="9" width="9" style="1642"/>
    <col min="10" max="10" width="9.36328125" style="1642" bestFit="1" customWidth="1"/>
    <col min="11" max="11" width="4" style="1636" customWidth="1"/>
    <col min="12" max="12" width="5.08984375" style="1642" customWidth="1"/>
    <col min="13" max="13" width="13.7265625" style="1642" customWidth="1"/>
    <col min="14" max="256" width="9" style="1642"/>
    <col min="257" max="257" width="4.90625" style="1633" customWidth="1"/>
    <col min="258" max="258" width="13.26953125" style="1633" customWidth="1"/>
    <col min="259" max="259" width="15.6328125" style="1633" customWidth="1"/>
    <col min="260" max="260" width="9.36328125" style="1633" bestFit="1" customWidth="1"/>
    <col min="261" max="261" width="13.453125" style="1633" customWidth="1"/>
    <col min="262" max="262" width="9" style="1633"/>
    <col min="263" max="263" width="9.36328125" style="1633" bestFit="1" customWidth="1"/>
    <col min="264" max="265" width="9" style="1633"/>
    <col min="266" max="266" width="9.36328125" style="1633" bestFit="1" customWidth="1"/>
    <col min="267" max="267" width="4" style="1633" customWidth="1"/>
    <col min="268" max="268" width="5.08984375" style="1633" customWidth="1"/>
    <col min="269" max="269" width="13.7265625" style="1633" customWidth="1"/>
    <col min="270" max="512" width="9" style="1633"/>
    <col min="513" max="513" width="4.90625" style="1633" customWidth="1"/>
    <col min="514" max="514" width="13.26953125" style="1633" customWidth="1"/>
    <col min="515" max="515" width="15.6328125" style="1633" customWidth="1"/>
    <col min="516" max="516" width="9.36328125" style="1633" bestFit="1" customWidth="1"/>
    <col min="517" max="517" width="13.453125" style="1633" customWidth="1"/>
    <col min="518" max="518" width="9" style="1633"/>
    <col min="519" max="519" width="9.36328125" style="1633" bestFit="1" customWidth="1"/>
    <col min="520" max="521" width="9" style="1633"/>
    <col min="522" max="522" width="9.36328125" style="1633" bestFit="1" customWidth="1"/>
    <col min="523" max="523" width="4" style="1633" customWidth="1"/>
    <col min="524" max="524" width="5.08984375" style="1633" customWidth="1"/>
    <col min="525" max="525" width="13.7265625" style="1633" customWidth="1"/>
    <col min="526" max="768" width="9" style="1633"/>
    <col min="769" max="769" width="4.90625" style="1633" customWidth="1"/>
    <col min="770" max="770" width="13.26953125" style="1633" customWidth="1"/>
    <col min="771" max="771" width="15.6328125" style="1633" customWidth="1"/>
    <col min="772" max="772" width="9.36328125" style="1633" bestFit="1" customWidth="1"/>
    <col min="773" max="773" width="13.453125" style="1633" customWidth="1"/>
    <col min="774" max="774" width="9" style="1633"/>
    <col min="775" max="775" width="9.36328125" style="1633" bestFit="1" customWidth="1"/>
    <col min="776" max="777" width="9" style="1633"/>
    <col min="778" max="778" width="9.36328125" style="1633" bestFit="1" customWidth="1"/>
    <col min="779" max="779" width="4" style="1633" customWidth="1"/>
    <col min="780" max="780" width="5.08984375" style="1633" customWidth="1"/>
    <col min="781" max="781" width="13.7265625" style="1633" customWidth="1"/>
    <col min="782" max="1024" width="9" style="1633"/>
    <col min="1025" max="1025" width="4.90625" style="1633" customWidth="1"/>
    <col min="1026" max="1026" width="13.26953125" style="1633" customWidth="1"/>
    <col min="1027" max="1027" width="15.6328125" style="1633" customWidth="1"/>
    <col min="1028" max="1028" width="9.36328125" style="1633" bestFit="1" customWidth="1"/>
    <col min="1029" max="1029" width="13.453125" style="1633" customWidth="1"/>
    <col min="1030" max="1030" width="9" style="1633"/>
    <col min="1031" max="1031" width="9.36328125" style="1633" bestFit="1" customWidth="1"/>
    <col min="1032" max="1033" width="9" style="1633"/>
    <col min="1034" max="1034" width="9.36328125" style="1633" bestFit="1" customWidth="1"/>
    <col min="1035" max="1035" width="4" style="1633" customWidth="1"/>
    <col min="1036" max="1036" width="5.08984375" style="1633" customWidth="1"/>
    <col min="1037" max="1037" width="13.7265625" style="1633" customWidth="1"/>
    <col min="1038" max="1280" width="9" style="1633"/>
    <col min="1281" max="1281" width="4.90625" style="1633" customWidth="1"/>
    <col min="1282" max="1282" width="13.26953125" style="1633" customWidth="1"/>
    <col min="1283" max="1283" width="15.6328125" style="1633" customWidth="1"/>
    <col min="1284" max="1284" width="9.36328125" style="1633" bestFit="1" customWidth="1"/>
    <col min="1285" max="1285" width="13.453125" style="1633" customWidth="1"/>
    <col min="1286" max="1286" width="9" style="1633"/>
    <col min="1287" max="1287" width="9.36328125" style="1633" bestFit="1" customWidth="1"/>
    <col min="1288" max="1289" width="9" style="1633"/>
    <col min="1290" max="1290" width="9.36328125" style="1633" bestFit="1" customWidth="1"/>
    <col min="1291" max="1291" width="4" style="1633" customWidth="1"/>
    <col min="1292" max="1292" width="5.08984375" style="1633" customWidth="1"/>
    <col min="1293" max="1293" width="13.7265625" style="1633" customWidth="1"/>
    <col min="1294" max="1536" width="9" style="1633"/>
    <col min="1537" max="1537" width="4.90625" style="1633" customWidth="1"/>
    <col min="1538" max="1538" width="13.26953125" style="1633" customWidth="1"/>
    <col min="1539" max="1539" width="15.6328125" style="1633" customWidth="1"/>
    <col min="1540" max="1540" width="9.36328125" style="1633" bestFit="1" customWidth="1"/>
    <col min="1541" max="1541" width="13.453125" style="1633" customWidth="1"/>
    <col min="1542" max="1542" width="9" style="1633"/>
    <col min="1543" max="1543" width="9.36328125" style="1633" bestFit="1" customWidth="1"/>
    <col min="1544" max="1545" width="9" style="1633"/>
    <col min="1546" max="1546" width="9.36328125" style="1633" bestFit="1" customWidth="1"/>
    <col min="1547" max="1547" width="4" style="1633" customWidth="1"/>
    <col min="1548" max="1548" width="5.08984375" style="1633" customWidth="1"/>
    <col min="1549" max="1549" width="13.7265625" style="1633" customWidth="1"/>
    <col min="1550" max="1792" width="9" style="1633"/>
    <col min="1793" max="1793" width="4.90625" style="1633" customWidth="1"/>
    <col min="1794" max="1794" width="13.26953125" style="1633" customWidth="1"/>
    <col min="1795" max="1795" width="15.6328125" style="1633" customWidth="1"/>
    <col min="1796" max="1796" width="9.36328125" style="1633" bestFit="1" customWidth="1"/>
    <col min="1797" max="1797" width="13.453125" style="1633" customWidth="1"/>
    <col min="1798" max="1798" width="9" style="1633"/>
    <col min="1799" max="1799" width="9.36328125" style="1633" bestFit="1" customWidth="1"/>
    <col min="1800" max="1801" width="9" style="1633"/>
    <col min="1802" max="1802" width="9.36328125" style="1633" bestFit="1" customWidth="1"/>
    <col min="1803" max="1803" width="4" style="1633" customWidth="1"/>
    <col min="1804" max="1804" width="5.08984375" style="1633" customWidth="1"/>
    <col min="1805" max="1805" width="13.7265625" style="1633" customWidth="1"/>
    <col min="1806" max="2048" width="9" style="1633"/>
    <col min="2049" max="2049" width="4.90625" style="1633" customWidth="1"/>
    <col min="2050" max="2050" width="13.26953125" style="1633" customWidth="1"/>
    <col min="2051" max="2051" width="15.6328125" style="1633" customWidth="1"/>
    <col min="2052" max="2052" width="9.36328125" style="1633" bestFit="1" customWidth="1"/>
    <col min="2053" max="2053" width="13.453125" style="1633" customWidth="1"/>
    <col min="2054" max="2054" width="9" style="1633"/>
    <col min="2055" max="2055" width="9.36328125" style="1633" bestFit="1" customWidth="1"/>
    <col min="2056" max="2057" width="9" style="1633"/>
    <col min="2058" max="2058" width="9.36328125" style="1633" bestFit="1" customWidth="1"/>
    <col min="2059" max="2059" width="4" style="1633" customWidth="1"/>
    <col min="2060" max="2060" width="5.08984375" style="1633" customWidth="1"/>
    <col min="2061" max="2061" width="13.7265625" style="1633" customWidth="1"/>
    <col min="2062" max="2304" width="9" style="1633"/>
    <col min="2305" max="2305" width="4.90625" style="1633" customWidth="1"/>
    <col min="2306" max="2306" width="13.26953125" style="1633" customWidth="1"/>
    <col min="2307" max="2307" width="15.6328125" style="1633" customWidth="1"/>
    <col min="2308" max="2308" width="9.36328125" style="1633" bestFit="1" customWidth="1"/>
    <col min="2309" max="2309" width="13.453125" style="1633" customWidth="1"/>
    <col min="2310" max="2310" width="9" style="1633"/>
    <col min="2311" max="2311" width="9.36328125" style="1633" bestFit="1" customWidth="1"/>
    <col min="2312" max="2313" width="9" style="1633"/>
    <col min="2314" max="2314" width="9.36328125" style="1633" bestFit="1" customWidth="1"/>
    <col min="2315" max="2315" width="4" style="1633" customWidth="1"/>
    <col min="2316" max="2316" width="5.08984375" style="1633" customWidth="1"/>
    <col min="2317" max="2317" width="13.7265625" style="1633" customWidth="1"/>
    <col min="2318" max="2560" width="9" style="1633"/>
    <col min="2561" max="2561" width="4.90625" style="1633" customWidth="1"/>
    <col min="2562" max="2562" width="13.26953125" style="1633" customWidth="1"/>
    <col min="2563" max="2563" width="15.6328125" style="1633" customWidth="1"/>
    <col min="2564" max="2564" width="9.36328125" style="1633" bestFit="1" customWidth="1"/>
    <col min="2565" max="2565" width="13.453125" style="1633" customWidth="1"/>
    <col min="2566" max="2566" width="9" style="1633"/>
    <col min="2567" max="2567" width="9.36328125" style="1633" bestFit="1" customWidth="1"/>
    <col min="2568" max="2569" width="9" style="1633"/>
    <col min="2570" max="2570" width="9.36328125" style="1633" bestFit="1" customWidth="1"/>
    <col min="2571" max="2571" width="4" style="1633" customWidth="1"/>
    <col min="2572" max="2572" width="5.08984375" style="1633" customWidth="1"/>
    <col min="2573" max="2573" width="13.7265625" style="1633" customWidth="1"/>
    <col min="2574" max="2816" width="9" style="1633"/>
    <col min="2817" max="2817" width="4.90625" style="1633" customWidth="1"/>
    <col min="2818" max="2818" width="13.26953125" style="1633" customWidth="1"/>
    <col min="2819" max="2819" width="15.6328125" style="1633" customWidth="1"/>
    <col min="2820" max="2820" width="9.36328125" style="1633" bestFit="1" customWidth="1"/>
    <col min="2821" max="2821" width="13.453125" style="1633" customWidth="1"/>
    <col min="2822" max="2822" width="9" style="1633"/>
    <col min="2823" max="2823" width="9.36328125" style="1633" bestFit="1" customWidth="1"/>
    <col min="2824" max="2825" width="9" style="1633"/>
    <col min="2826" max="2826" width="9.36328125" style="1633" bestFit="1" customWidth="1"/>
    <col min="2827" max="2827" width="4" style="1633" customWidth="1"/>
    <col min="2828" max="2828" width="5.08984375" style="1633" customWidth="1"/>
    <col min="2829" max="2829" width="13.7265625" style="1633" customWidth="1"/>
    <col min="2830" max="3072" width="9" style="1633"/>
    <col min="3073" max="3073" width="4.90625" style="1633" customWidth="1"/>
    <col min="3074" max="3074" width="13.26953125" style="1633" customWidth="1"/>
    <col min="3075" max="3075" width="15.6328125" style="1633" customWidth="1"/>
    <col min="3076" max="3076" width="9.36328125" style="1633" bestFit="1" customWidth="1"/>
    <col min="3077" max="3077" width="13.453125" style="1633" customWidth="1"/>
    <col min="3078" max="3078" width="9" style="1633"/>
    <col min="3079" max="3079" width="9.36328125" style="1633" bestFit="1" customWidth="1"/>
    <col min="3080" max="3081" width="9" style="1633"/>
    <col min="3082" max="3082" width="9.36328125" style="1633" bestFit="1" customWidth="1"/>
    <col min="3083" max="3083" width="4" style="1633" customWidth="1"/>
    <col min="3084" max="3084" width="5.08984375" style="1633" customWidth="1"/>
    <col min="3085" max="3085" width="13.7265625" style="1633" customWidth="1"/>
    <col min="3086" max="3328" width="9" style="1633"/>
    <col min="3329" max="3329" width="4.90625" style="1633" customWidth="1"/>
    <col min="3330" max="3330" width="13.26953125" style="1633" customWidth="1"/>
    <col min="3331" max="3331" width="15.6328125" style="1633" customWidth="1"/>
    <col min="3332" max="3332" width="9.36328125" style="1633" bestFit="1" customWidth="1"/>
    <col min="3333" max="3333" width="13.453125" style="1633" customWidth="1"/>
    <col min="3334" max="3334" width="9" style="1633"/>
    <col min="3335" max="3335" width="9.36328125" style="1633" bestFit="1" customWidth="1"/>
    <col min="3336" max="3337" width="9" style="1633"/>
    <col min="3338" max="3338" width="9.36328125" style="1633" bestFit="1" customWidth="1"/>
    <col min="3339" max="3339" width="4" style="1633" customWidth="1"/>
    <col min="3340" max="3340" width="5.08984375" style="1633" customWidth="1"/>
    <col min="3341" max="3341" width="13.7265625" style="1633" customWidth="1"/>
    <col min="3342" max="3584" width="9" style="1633"/>
    <col min="3585" max="3585" width="4.90625" style="1633" customWidth="1"/>
    <col min="3586" max="3586" width="13.26953125" style="1633" customWidth="1"/>
    <col min="3587" max="3587" width="15.6328125" style="1633" customWidth="1"/>
    <col min="3588" max="3588" width="9.36328125" style="1633" bestFit="1" customWidth="1"/>
    <col min="3589" max="3589" width="13.453125" style="1633" customWidth="1"/>
    <col min="3590" max="3590" width="9" style="1633"/>
    <col min="3591" max="3591" width="9.36328125" style="1633" bestFit="1" customWidth="1"/>
    <col min="3592" max="3593" width="9" style="1633"/>
    <col min="3594" max="3594" width="9.36328125" style="1633" bestFit="1" customWidth="1"/>
    <col min="3595" max="3595" width="4" style="1633" customWidth="1"/>
    <col min="3596" max="3596" width="5.08984375" style="1633" customWidth="1"/>
    <col min="3597" max="3597" width="13.7265625" style="1633" customWidth="1"/>
    <col min="3598" max="3840" width="9" style="1633"/>
    <col min="3841" max="3841" width="4.90625" style="1633" customWidth="1"/>
    <col min="3842" max="3842" width="13.26953125" style="1633" customWidth="1"/>
    <col min="3843" max="3843" width="15.6328125" style="1633" customWidth="1"/>
    <col min="3844" max="3844" width="9.36328125" style="1633" bestFit="1" customWidth="1"/>
    <col min="3845" max="3845" width="13.453125" style="1633" customWidth="1"/>
    <col min="3846" max="3846" width="9" style="1633"/>
    <col min="3847" max="3847" width="9.36328125" style="1633" bestFit="1" customWidth="1"/>
    <col min="3848" max="3849" width="9" style="1633"/>
    <col min="3850" max="3850" width="9.36328125" style="1633" bestFit="1" customWidth="1"/>
    <col min="3851" max="3851" width="4" style="1633" customWidth="1"/>
    <col min="3852" max="3852" width="5.08984375" style="1633" customWidth="1"/>
    <col min="3853" max="3853" width="13.7265625" style="1633" customWidth="1"/>
    <col min="3854" max="4096" width="9" style="1633"/>
    <col min="4097" max="4097" width="4.90625" style="1633" customWidth="1"/>
    <col min="4098" max="4098" width="13.26953125" style="1633" customWidth="1"/>
    <col min="4099" max="4099" width="15.6328125" style="1633" customWidth="1"/>
    <col min="4100" max="4100" width="9.36328125" style="1633" bestFit="1" customWidth="1"/>
    <col min="4101" max="4101" width="13.453125" style="1633" customWidth="1"/>
    <col min="4102" max="4102" width="9" style="1633"/>
    <col min="4103" max="4103" width="9.36328125" style="1633" bestFit="1" customWidth="1"/>
    <col min="4104" max="4105" width="9" style="1633"/>
    <col min="4106" max="4106" width="9.36328125" style="1633" bestFit="1" customWidth="1"/>
    <col min="4107" max="4107" width="4" style="1633" customWidth="1"/>
    <col min="4108" max="4108" width="5.08984375" style="1633" customWidth="1"/>
    <col min="4109" max="4109" width="13.7265625" style="1633" customWidth="1"/>
    <col min="4110" max="4352" width="9" style="1633"/>
    <col min="4353" max="4353" width="4.90625" style="1633" customWidth="1"/>
    <col min="4354" max="4354" width="13.26953125" style="1633" customWidth="1"/>
    <col min="4355" max="4355" width="15.6328125" style="1633" customWidth="1"/>
    <col min="4356" max="4356" width="9.36328125" style="1633" bestFit="1" customWidth="1"/>
    <col min="4357" max="4357" width="13.453125" style="1633" customWidth="1"/>
    <col min="4358" max="4358" width="9" style="1633"/>
    <col min="4359" max="4359" width="9.36328125" style="1633" bestFit="1" customWidth="1"/>
    <col min="4360" max="4361" width="9" style="1633"/>
    <col min="4362" max="4362" width="9.36328125" style="1633" bestFit="1" customWidth="1"/>
    <col min="4363" max="4363" width="4" style="1633" customWidth="1"/>
    <col min="4364" max="4364" width="5.08984375" style="1633" customWidth="1"/>
    <col min="4365" max="4365" width="13.7265625" style="1633" customWidth="1"/>
    <col min="4366" max="4608" width="9" style="1633"/>
    <col min="4609" max="4609" width="4.90625" style="1633" customWidth="1"/>
    <col min="4610" max="4610" width="13.26953125" style="1633" customWidth="1"/>
    <col min="4611" max="4611" width="15.6328125" style="1633" customWidth="1"/>
    <col min="4612" max="4612" width="9.36328125" style="1633" bestFit="1" customWidth="1"/>
    <col min="4613" max="4613" width="13.453125" style="1633" customWidth="1"/>
    <col min="4614" max="4614" width="9" style="1633"/>
    <col min="4615" max="4615" width="9.36328125" style="1633" bestFit="1" customWidth="1"/>
    <col min="4616" max="4617" width="9" style="1633"/>
    <col min="4618" max="4618" width="9.36328125" style="1633" bestFit="1" customWidth="1"/>
    <col min="4619" max="4619" width="4" style="1633" customWidth="1"/>
    <col min="4620" max="4620" width="5.08984375" style="1633" customWidth="1"/>
    <col min="4621" max="4621" width="13.7265625" style="1633" customWidth="1"/>
    <col min="4622" max="4864" width="9" style="1633"/>
    <col min="4865" max="4865" width="4.90625" style="1633" customWidth="1"/>
    <col min="4866" max="4866" width="13.26953125" style="1633" customWidth="1"/>
    <col min="4867" max="4867" width="15.6328125" style="1633" customWidth="1"/>
    <col min="4868" max="4868" width="9.36328125" style="1633" bestFit="1" customWidth="1"/>
    <col min="4869" max="4869" width="13.453125" style="1633" customWidth="1"/>
    <col min="4870" max="4870" width="9" style="1633"/>
    <col min="4871" max="4871" width="9.36328125" style="1633" bestFit="1" customWidth="1"/>
    <col min="4872" max="4873" width="9" style="1633"/>
    <col min="4874" max="4874" width="9.36328125" style="1633" bestFit="1" customWidth="1"/>
    <col min="4875" max="4875" width="4" style="1633" customWidth="1"/>
    <col min="4876" max="4876" width="5.08984375" style="1633" customWidth="1"/>
    <col min="4877" max="4877" width="13.7265625" style="1633" customWidth="1"/>
    <col min="4878" max="5120" width="9" style="1633"/>
    <col min="5121" max="5121" width="4.90625" style="1633" customWidth="1"/>
    <col min="5122" max="5122" width="13.26953125" style="1633" customWidth="1"/>
    <col min="5123" max="5123" width="15.6328125" style="1633" customWidth="1"/>
    <col min="5124" max="5124" width="9.36328125" style="1633" bestFit="1" customWidth="1"/>
    <col min="5125" max="5125" width="13.453125" style="1633" customWidth="1"/>
    <col min="5126" max="5126" width="9" style="1633"/>
    <col min="5127" max="5127" width="9.36328125" style="1633" bestFit="1" customWidth="1"/>
    <col min="5128" max="5129" width="9" style="1633"/>
    <col min="5130" max="5130" width="9.36328125" style="1633" bestFit="1" customWidth="1"/>
    <col min="5131" max="5131" width="4" style="1633" customWidth="1"/>
    <col min="5132" max="5132" width="5.08984375" style="1633" customWidth="1"/>
    <col min="5133" max="5133" width="13.7265625" style="1633" customWidth="1"/>
    <col min="5134" max="5376" width="9" style="1633"/>
    <col min="5377" max="5377" width="4.90625" style="1633" customWidth="1"/>
    <col min="5378" max="5378" width="13.26953125" style="1633" customWidth="1"/>
    <col min="5379" max="5379" width="15.6328125" style="1633" customWidth="1"/>
    <col min="5380" max="5380" width="9.36328125" style="1633" bestFit="1" customWidth="1"/>
    <col min="5381" max="5381" width="13.453125" style="1633" customWidth="1"/>
    <col min="5382" max="5382" width="9" style="1633"/>
    <col min="5383" max="5383" width="9.36328125" style="1633" bestFit="1" customWidth="1"/>
    <col min="5384" max="5385" width="9" style="1633"/>
    <col min="5386" max="5386" width="9.36328125" style="1633" bestFit="1" customWidth="1"/>
    <col min="5387" max="5387" width="4" style="1633" customWidth="1"/>
    <col min="5388" max="5388" width="5.08984375" style="1633" customWidth="1"/>
    <col min="5389" max="5389" width="13.7265625" style="1633" customWidth="1"/>
    <col min="5390" max="5632" width="9" style="1633"/>
    <col min="5633" max="5633" width="4.90625" style="1633" customWidth="1"/>
    <col min="5634" max="5634" width="13.26953125" style="1633" customWidth="1"/>
    <col min="5635" max="5635" width="15.6328125" style="1633" customWidth="1"/>
    <col min="5636" max="5636" width="9.36328125" style="1633" bestFit="1" customWidth="1"/>
    <col min="5637" max="5637" width="13.453125" style="1633" customWidth="1"/>
    <col min="5638" max="5638" width="9" style="1633"/>
    <col min="5639" max="5639" width="9.36328125" style="1633" bestFit="1" customWidth="1"/>
    <col min="5640" max="5641" width="9" style="1633"/>
    <col min="5642" max="5642" width="9.36328125" style="1633" bestFit="1" customWidth="1"/>
    <col min="5643" max="5643" width="4" style="1633" customWidth="1"/>
    <col min="5644" max="5644" width="5.08984375" style="1633" customWidth="1"/>
    <col min="5645" max="5645" width="13.7265625" style="1633" customWidth="1"/>
    <col min="5646" max="5888" width="9" style="1633"/>
    <col min="5889" max="5889" width="4.90625" style="1633" customWidth="1"/>
    <col min="5890" max="5890" width="13.26953125" style="1633" customWidth="1"/>
    <col min="5891" max="5891" width="15.6328125" style="1633" customWidth="1"/>
    <col min="5892" max="5892" width="9.36328125" style="1633" bestFit="1" customWidth="1"/>
    <col min="5893" max="5893" width="13.453125" style="1633" customWidth="1"/>
    <col min="5894" max="5894" width="9" style="1633"/>
    <col min="5895" max="5895" width="9.36328125" style="1633" bestFit="1" customWidth="1"/>
    <col min="5896" max="5897" width="9" style="1633"/>
    <col min="5898" max="5898" width="9.36328125" style="1633" bestFit="1" customWidth="1"/>
    <col min="5899" max="5899" width="4" style="1633" customWidth="1"/>
    <col min="5900" max="5900" width="5.08984375" style="1633" customWidth="1"/>
    <col min="5901" max="5901" width="13.7265625" style="1633" customWidth="1"/>
    <col min="5902" max="6144" width="9" style="1633"/>
    <col min="6145" max="6145" width="4.90625" style="1633" customWidth="1"/>
    <col min="6146" max="6146" width="13.26953125" style="1633" customWidth="1"/>
    <col min="6147" max="6147" width="15.6328125" style="1633" customWidth="1"/>
    <col min="6148" max="6148" width="9.36328125" style="1633" bestFit="1" customWidth="1"/>
    <col min="6149" max="6149" width="13.453125" style="1633" customWidth="1"/>
    <col min="6150" max="6150" width="9" style="1633"/>
    <col min="6151" max="6151" width="9.36328125" style="1633" bestFit="1" customWidth="1"/>
    <col min="6152" max="6153" width="9" style="1633"/>
    <col min="6154" max="6154" width="9.36328125" style="1633" bestFit="1" customWidth="1"/>
    <col min="6155" max="6155" width="4" style="1633" customWidth="1"/>
    <col min="6156" max="6156" width="5.08984375" style="1633" customWidth="1"/>
    <col min="6157" max="6157" width="13.7265625" style="1633" customWidth="1"/>
    <col min="6158" max="6400" width="9" style="1633"/>
    <col min="6401" max="6401" width="4.90625" style="1633" customWidth="1"/>
    <col min="6402" max="6402" width="13.26953125" style="1633" customWidth="1"/>
    <col min="6403" max="6403" width="15.6328125" style="1633" customWidth="1"/>
    <col min="6404" max="6404" width="9.36328125" style="1633" bestFit="1" customWidth="1"/>
    <col min="6405" max="6405" width="13.453125" style="1633" customWidth="1"/>
    <col min="6406" max="6406" width="9" style="1633"/>
    <col min="6407" max="6407" width="9.36328125" style="1633" bestFit="1" customWidth="1"/>
    <col min="6408" max="6409" width="9" style="1633"/>
    <col min="6410" max="6410" width="9.36328125" style="1633" bestFit="1" customWidth="1"/>
    <col min="6411" max="6411" width="4" style="1633" customWidth="1"/>
    <col min="6412" max="6412" width="5.08984375" style="1633" customWidth="1"/>
    <col min="6413" max="6413" width="13.7265625" style="1633" customWidth="1"/>
    <col min="6414" max="6656" width="9" style="1633"/>
    <col min="6657" max="6657" width="4.90625" style="1633" customWidth="1"/>
    <col min="6658" max="6658" width="13.26953125" style="1633" customWidth="1"/>
    <col min="6659" max="6659" width="15.6328125" style="1633" customWidth="1"/>
    <col min="6660" max="6660" width="9.36328125" style="1633" bestFit="1" customWidth="1"/>
    <col min="6661" max="6661" width="13.453125" style="1633" customWidth="1"/>
    <col min="6662" max="6662" width="9" style="1633"/>
    <col min="6663" max="6663" width="9.36328125" style="1633" bestFit="1" customWidth="1"/>
    <col min="6664" max="6665" width="9" style="1633"/>
    <col min="6666" max="6666" width="9.36328125" style="1633" bestFit="1" customWidth="1"/>
    <col min="6667" max="6667" width="4" style="1633" customWidth="1"/>
    <col min="6668" max="6668" width="5.08984375" style="1633" customWidth="1"/>
    <col min="6669" max="6669" width="13.7265625" style="1633" customWidth="1"/>
    <col min="6670" max="6912" width="9" style="1633"/>
    <col min="6913" max="6913" width="4.90625" style="1633" customWidth="1"/>
    <col min="6914" max="6914" width="13.26953125" style="1633" customWidth="1"/>
    <col min="6915" max="6915" width="15.6328125" style="1633" customWidth="1"/>
    <col min="6916" max="6916" width="9.36328125" style="1633" bestFit="1" customWidth="1"/>
    <col min="6917" max="6917" width="13.453125" style="1633" customWidth="1"/>
    <col min="6918" max="6918" width="9" style="1633"/>
    <col min="6919" max="6919" width="9.36328125" style="1633" bestFit="1" customWidth="1"/>
    <col min="6920" max="6921" width="9" style="1633"/>
    <col min="6922" max="6922" width="9.36328125" style="1633" bestFit="1" customWidth="1"/>
    <col min="6923" max="6923" width="4" style="1633" customWidth="1"/>
    <col min="6924" max="6924" width="5.08984375" style="1633" customWidth="1"/>
    <col min="6925" max="6925" width="13.7265625" style="1633" customWidth="1"/>
    <col min="6926" max="7168" width="9" style="1633"/>
    <col min="7169" max="7169" width="4.90625" style="1633" customWidth="1"/>
    <col min="7170" max="7170" width="13.26953125" style="1633" customWidth="1"/>
    <col min="7171" max="7171" width="15.6328125" style="1633" customWidth="1"/>
    <col min="7172" max="7172" width="9.36328125" style="1633" bestFit="1" customWidth="1"/>
    <col min="7173" max="7173" width="13.453125" style="1633" customWidth="1"/>
    <col min="7174" max="7174" width="9" style="1633"/>
    <col min="7175" max="7175" width="9.36328125" style="1633" bestFit="1" customWidth="1"/>
    <col min="7176" max="7177" width="9" style="1633"/>
    <col min="7178" max="7178" width="9.36328125" style="1633" bestFit="1" customWidth="1"/>
    <col min="7179" max="7179" width="4" style="1633" customWidth="1"/>
    <col min="7180" max="7180" width="5.08984375" style="1633" customWidth="1"/>
    <col min="7181" max="7181" width="13.7265625" style="1633" customWidth="1"/>
    <col min="7182" max="7424" width="9" style="1633"/>
    <col min="7425" max="7425" width="4.90625" style="1633" customWidth="1"/>
    <col min="7426" max="7426" width="13.26953125" style="1633" customWidth="1"/>
    <col min="7427" max="7427" width="15.6328125" style="1633" customWidth="1"/>
    <col min="7428" max="7428" width="9.36328125" style="1633" bestFit="1" customWidth="1"/>
    <col min="7429" max="7429" width="13.453125" style="1633" customWidth="1"/>
    <col min="7430" max="7430" width="9" style="1633"/>
    <col min="7431" max="7431" width="9.36328125" style="1633" bestFit="1" customWidth="1"/>
    <col min="7432" max="7433" width="9" style="1633"/>
    <col min="7434" max="7434" width="9.36328125" style="1633" bestFit="1" customWidth="1"/>
    <col min="7435" max="7435" width="4" style="1633" customWidth="1"/>
    <col min="7436" max="7436" width="5.08984375" style="1633" customWidth="1"/>
    <col min="7437" max="7437" width="13.7265625" style="1633" customWidth="1"/>
    <col min="7438" max="7680" width="9" style="1633"/>
    <col min="7681" max="7681" width="4.90625" style="1633" customWidth="1"/>
    <col min="7682" max="7682" width="13.26953125" style="1633" customWidth="1"/>
    <col min="7683" max="7683" width="15.6328125" style="1633" customWidth="1"/>
    <col min="7684" max="7684" width="9.36328125" style="1633" bestFit="1" customWidth="1"/>
    <col min="7685" max="7685" width="13.453125" style="1633" customWidth="1"/>
    <col min="7686" max="7686" width="9" style="1633"/>
    <col min="7687" max="7687" width="9.36328125" style="1633" bestFit="1" customWidth="1"/>
    <col min="7688" max="7689" width="9" style="1633"/>
    <col min="7690" max="7690" width="9.36328125" style="1633" bestFit="1" customWidth="1"/>
    <col min="7691" max="7691" width="4" style="1633" customWidth="1"/>
    <col min="7692" max="7692" width="5.08984375" style="1633" customWidth="1"/>
    <col min="7693" max="7693" width="13.7265625" style="1633" customWidth="1"/>
    <col min="7694" max="7936" width="9" style="1633"/>
    <col min="7937" max="7937" width="4.90625" style="1633" customWidth="1"/>
    <col min="7938" max="7938" width="13.26953125" style="1633" customWidth="1"/>
    <col min="7939" max="7939" width="15.6328125" style="1633" customWidth="1"/>
    <col min="7940" max="7940" width="9.36328125" style="1633" bestFit="1" customWidth="1"/>
    <col min="7941" max="7941" width="13.453125" style="1633" customWidth="1"/>
    <col min="7942" max="7942" width="9" style="1633"/>
    <col min="7943" max="7943" width="9.36328125" style="1633" bestFit="1" customWidth="1"/>
    <col min="7944" max="7945" width="9" style="1633"/>
    <col min="7946" max="7946" width="9.36328125" style="1633" bestFit="1" customWidth="1"/>
    <col min="7947" max="7947" width="4" style="1633" customWidth="1"/>
    <col min="7948" max="7948" width="5.08984375" style="1633" customWidth="1"/>
    <col min="7949" max="7949" width="13.7265625" style="1633" customWidth="1"/>
    <col min="7950" max="8192" width="9" style="1633"/>
    <col min="8193" max="8193" width="4.90625" style="1633" customWidth="1"/>
    <col min="8194" max="8194" width="13.26953125" style="1633" customWidth="1"/>
    <col min="8195" max="8195" width="15.6328125" style="1633" customWidth="1"/>
    <col min="8196" max="8196" width="9.36328125" style="1633" bestFit="1" customWidth="1"/>
    <col min="8197" max="8197" width="13.453125" style="1633" customWidth="1"/>
    <col min="8198" max="8198" width="9" style="1633"/>
    <col min="8199" max="8199" width="9.36328125" style="1633" bestFit="1" customWidth="1"/>
    <col min="8200" max="8201" width="9" style="1633"/>
    <col min="8202" max="8202" width="9.36328125" style="1633" bestFit="1" customWidth="1"/>
    <col min="8203" max="8203" width="4" style="1633" customWidth="1"/>
    <col min="8204" max="8204" width="5.08984375" style="1633" customWidth="1"/>
    <col min="8205" max="8205" width="13.7265625" style="1633" customWidth="1"/>
    <col min="8206" max="8448" width="9" style="1633"/>
    <col min="8449" max="8449" width="4.90625" style="1633" customWidth="1"/>
    <col min="8450" max="8450" width="13.26953125" style="1633" customWidth="1"/>
    <col min="8451" max="8451" width="15.6328125" style="1633" customWidth="1"/>
    <col min="8452" max="8452" width="9.36328125" style="1633" bestFit="1" customWidth="1"/>
    <col min="8453" max="8453" width="13.453125" style="1633" customWidth="1"/>
    <col min="8454" max="8454" width="9" style="1633"/>
    <col min="8455" max="8455" width="9.36328125" style="1633" bestFit="1" customWidth="1"/>
    <col min="8456" max="8457" width="9" style="1633"/>
    <col min="8458" max="8458" width="9.36328125" style="1633" bestFit="1" customWidth="1"/>
    <col min="8459" max="8459" width="4" style="1633" customWidth="1"/>
    <col min="8460" max="8460" width="5.08984375" style="1633" customWidth="1"/>
    <col min="8461" max="8461" width="13.7265625" style="1633" customWidth="1"/>
    <col min="8462" max="8704" width="9" style="1633"/>
    <col min="8705" max="8705" width="4.90625" style="1633" customWidth="1"/>
    <col min="8706" max="8706" width="13.26953125" style="1633" customWidth="1"/>
    <col min="8707" max="8707" width="15.6328125" style="1633" customWidth="1"/>
    <col min="8708" max="8708" width="9.36328125" style="1633" bestFit="1" customWidth="1"/>
    <col min="8709" max="8709" width="13.453125" style="1633" customWidth="1"/>
    <col min="8710" max="8710" width="9" style="1633"/>
    <col min="8711" max="8711" width="9.36328125" style="1633" bestFit="1" customWidth="1"/>
    <col min="8712" max="8713" width="9" style="1633"/>
    <col min="8714" max="8714" width="9.36328125" style="1633" bestFit="1" customWidth="1"/>
    <col min="8715" max="8715" width="4" style="1633" customWidth="1"/>
    <col min="8716" max="8716" width="5.08984375" style="1633" customWidth="1"/>
    <col min="8717" max="8717" width="13.7265625" style="1633" customWidth="1"/>
    <col min="8718" max="8960" width="9" style="1633"/>
    <col min="8961" max="8961" width="4.90625" style="1633" customWidth="1"/>
    <col min="8962" max="8962" width="13.26953125" style="1633" customWidth="1"/>
    <col min="8963" max="8963" width="15.6328125" style="1633" customWidth="1"/>
    <col min="8964" max="8964" width="9.36328125" style="1633" bestFit="1" customWidth="1"/>
    <col min="8965" max="8965" width="13.453125" style="1633" customWidth="1"/>
    <col min="8966" max="8966" width="9" style="1633"/>
    <col min="8967" max="8967" width="9.36328125" style="1633" bestFit="1" customWidth="1"/>
    <col min="8968" max="8969" width="9" style="1633"/>
    <col min="8970" max="8970" width="9.36328125" style="1633" bestFit="1" customWidth="1"/>
    <col min="8971" max="8971" width="4" style="1633" customWidth="1"/>
    <col min="8972" max="8972" width="5.08984375" style="1633" customWidth="1"/>
    <col min="8973" max="8973" width="13.7265625" style="1633" customWidth="1"/>
    <col min="8974" max="9216" width="9" style="1633"/>
    <col min="9217" max="9217" width="4.90625" style="1633" customWidth="1"/>
    <col min="9218" max="9218" width="13.26953125" style="1633" customWidth="1"/>
    <col min="9219" max="9219" width="15.6328125" style="1633" customWidth="1"/>
    <col min="9220" max="9220" width="9.36328125" style="1633" bestFit="1" customWidth="1"/>
    <col min="9221" max="9221" width="13.453125" style="1633" customWidth="1"/>
    <col min="9222" max="9222" width="9" style="1633"/>
    <col min="9223" max="9223" width="9.36328125" style="1633" bestFit="1" customWidth="1"/>
    <col min="9224" max="9225" width="9" style="1633"/>
    <col min="9226" max="9226" width="9.36328125" style="1633" bestFit="1" customWidth="1"/>
    <col min="9227" max="9227" width="4" style="1633" customWidth="1"/>
    <col min="9228" max="9228" width="5.08984375" style="1633" customWidth="1"/>
    <col min="9229" max="9229" width="13.7265625" style="1633" customWidth="1"/>
    <col min="9230" max="9472" width="9" style="1633"/>
    <col min="9473" max="9473" width="4.90625" style="1633" customWidth="1"/>
    <col min="9474" max="9474" width="13.26953125" style="1633" customWidth="1"/>
    <col min="9475" max="9475" width="15.6328125" style="1633" customWidth="1"/>
    <col min="9476" max="9476" width="9.36328125" style="1633" bestFit="1" customWidth="1"/>
    <col min="9477" max="9477" width="13.453125" style="1633" customWidth="1"/>
    <col min="9478" max="9478" width="9" style="1633"/>
    <col min="9479" max="9479" width="9.36328125" style="1633" bestFit="1" customWidth="1"/>
    <col min="9480" max="9481" width="9" style="1633"/>
    <col min="9482" max="9482" width="9.36328125" style="1633" bestFit="1" customWidth="1"/>
    <col min="9483" max="9483" width="4" style="1633" customWidth="1"/>
    <col min="9484" max="9484" width="5.08984375" style="1633" customWidth="1"/>
    <col min="9485" max="9485" width="13.7265625" style="1633" customWidth="1"/>
    <col min="9486" max="9728" width="9" style="1633"/>
    <col min="9729" max="9729" width="4.90625" style="1633" customWidth="1"/>
    <col min="9730" max="9730" width="13.26953125" style="1633" customWidth="1"/>
    <col min="9731" max="9731" width="15.6328125" style="1633" customWidth="1"/>
    <col min="9732" max="9732" width="9.36328125" style="1633" bestFit="1" customWidth="1"/>
    <col min="9733" max="9733" width="13.453125" style="1633" customWidth="1"/>
    <col min="9734" max="9734" width="9" style="1633"/>
    <col min="9735" max="9735" width="9.36328125" style="1633" bestFit="1" customWidth="1"/>
    <col min="9736" max="9737" width="9" style="1633"/>
    <col min="9738" max="9738" width="9.36328125" style="1633" bestFit="1" customWidth="1"/>
    <col min="9739" max="9739" width="4" style="1633" customWidth="1"/>
    <col min="9740" max="9740" width="5.08984375" style="1633" customWidth="1"/>
    <col min="9741" max="9741" width="13.7265625" style="1633" customWidth="1"/>
    <col min="9742" max="9984" width="9" style="1633"/>
    <col min="9985" max="9985" width="4.90625" style="1633" customWidth="1"/>
    <col min="9986" max="9986" width="13.26953125" style="1633" customWidth="1"/>
    <col min="9987" max="9987" width="15.6328125" style="1633" customWidth="1"/>
    <col min="9988" max="9988" width="9.36328125" style="1633" bestFit="1" customWidth="1"/>
    <col min="9989" max="9989" width="13.453125" style="1633" customWidth="1"/>
    <col min="9990" max="9990" width="9" style="1633"/>
    <col min="9991" max="9991" width="9.36328125" style="1633" bestFit="1" customWidth="1"/>
    <col min="9992" max="9993" width="9" style="1633"/>
    <col min="9994" max="9994" width="9.36328125" style="1633" bestFit="1" customWidth="1"/>
    <col min="9995" max="9995" width="4" style="1633" customWidth="1"/>
    <col min="9996" max="9996" width="5.08984375" style="1633" customWidth="1"/>
    <col min="9997" max="9997" width="13.7265625" style="1633" customWidth="1"/>
    <col min="9998" max="10240" width="9" style="1633"/>
    <col min="10241" max="10241" width="4.90625" style="1633" customWidth="1"/>
    <col min="10242" max="10242" width="13.26953125" style="1633" customWidth="1"/>
    <col min="10243" max="10243" width="15.6328125" style="1633" customWidth="1"/>
    <col min="10244" max="10244" width="9.36328125" style="1633" bestFit="1" customWidth="1"/>
    <col min="10245" max="10245" width="13.453125" style="1633" customWidth="1"/>
    <col min="10246" max="10246" width="9" style="1633"/>
    <col min="10247" max="10247" width="9.36328125" style="1633" bestFit="1" customWidth="1"/>
    <col min="10248" max="10249" width="9" style="1633"/>
    <col min="10250" max="10250" width="9.36328125" style="1633" bestFit="1" customWidth="1"/>
    <col min="10251" max="10251" width="4" style="1633" customWidth="1"/>
    <col min="10252" max="10252" width="5.08984375" style="1633" customWidth="1"/>
    <col min="10253" max="10253" width="13.7265625" style="1633" customWidth="1"/>
    <col min="10254" max="10496" width="9" style="1633"/>
    <col min="10497" max="10497" width="4.90625" style="1633" customWidth="1"/>
    <col min="10498" max="10498" width="13.26953125" style="1633" customWidth="1"/>
    <col min="10499" max="10499" width="15.6328125" style="1633" customWidth="1"/>
    <col min="10500" max="10500" width="9.36328125" style="1633" bestFit="1" customWidth="1"/>
    <col min="10501" max="10501" width="13.453125" style="1633" customWidth="1"/>
    <col min="10502" max="10502" width="9" style="1633"/>
    <col min="10503" max="10503" width="9.36328125" style="1633" bestFit="1" customWidth="1"/>
    <col min="10504" max="10505" width="9" style="1633"/>
    <col min="10506" max="10506" width="9.36328125" style="1633" bestFit="1" customWidth="1"/>
    <col min="10507" max="10507" width="4" style="1633" customWidth="1"/>
    <col min="10508" max="10508" width="5.08984375" style="1633" customWidth="1"/>
    <col min="10509" max="10509" width="13.7265625" style="1633" customWidth="1"/>
    <col min="10510" max="10752" width="9" style="1633"/>
    <col min="10753" max="10753" width="4.90625" style="1633" customWidth="1"/>
    <col min="10754" max="10754" width="13.26953125" style="1633" customWidth="1"/>
    <col min="10755" max="10755" width="15.6328125" style="1633" customWidth="1"/>
    <col min="10756" max="10756" width="9.36328125" style="1633" bestFit="1" customWidth="1"/>
    <col min="10757" max="10757" width="13.453125" style="1633" customWidth="1"/>
    <col min="10758" max="10758" width="9" style="1633"/>
    <col min="10759" max="10759" width="9.36328125" style="1633" bestFit="1" customWidth="1"/>
    <col min="10760" max="10761" width="9" style="1633"/>
    <col min="10762" max="10762" width="9.36328125" style="1633" bestFit="1" customWidth="1"/>
    <col min="10763" max="10763" width="4" style="1633" customWidth="1"/>
    <col min="10764" max="10764" width="5.08984375" style="1633" customWidth="1"/>
    <col min="10765" max="10765" width="13.7265625" style="1633" customWidth="1"/>
    <col min="10766" max="11008" width="9" style="1633"/>
    <col min="11009" max="11009" width="4.90625" style="1633" customWidth="1"/>
    <col min="11010" max="11010" width="13.26953125" style="1633" customWidth="1"/>
    <col min="11011" max="11011" width="15.6328125" style="1633" customWidth="1"/>
    <col min="11012" max="11012" width="9.36328125" style="1633" bestFit="1" customWidth="1"/>
    <col min="11013" max="11013" width="13.453125" style="1633" customWidth="1"/>
    <col min="11014" max="11014" width="9" style="1633"/>
    <col min="11015" max="11015" width="9.36328125" style="1633" bestFit="1" customWidth="1"/>
    <col min="11016" max="11017" width="9" style="1633"/>
    <col min="11018" max="11018" width="9.36328125" style="1633" bestFit="1" customWidth="1"/>
    <col min="11019" max="11019" width="4" style="1633" customWidth="1"/>
    <col min="11020" max="11020" width="5.08984375" style="1633" customWidth="1"/>
    <col min="11021" max="11021" width="13.7265625" style="1633" customWidth="1"/>
    <col min="11022" max="11264" width="9" style="1633"/>
    <col min="11265" max="11265" width="4.90625" style="1633" customWidth="1"/>
    <col min="11266" max="11266" width="13.26953125" style="1633" customWidth="1"/>
    <col min="11267" max="11267" width="15.6328125" style="1633" customWidth="1"/>
    <col min="11268" max="11268" width="9.36328125" style="1633" bestFit="1" customWidth="1"/>
    <col min="11269" max="11269" width="13.453125" style="1633" customWidth="1"/>
    <col min="11270" max="11270" width="9" style="1633"/>
    <col min="11271" max="11271" width="9.36328125" style="1633" bestFit="1" customWidth="1"/>
    <col min="11272" max="11273" width="9" style="1633"/>
    <col min="11274" max="11274" width="9.36328125" style="1633" bestFit="1" customWidth="1"/>
    <col min="11275" max="11275" width="4" style="1633" customWidth="1"/>
    <col min="11276" max="11276" width="5.08984375" style="1633" customWidth="1"/>
    <col min="11277" max="11277" width="13.7265625" style="1633" customWidth="1"/>
    <col min="11278" max="11520" width="9" style="1633"/>
    <col min="11521" max="11521" width="4.90625" style="1633" customWidth="1"/>
    <col min="11522" max="11522" width="13.26953125" style="1633" customWidth="1"/>
    <col min="11523" max="11523" width="15.6328125" style="1633" customWidth="1"/>
    <col min="11524" max="11524" width="9.36328125" style="1633" bestFit="1" customWidth="1"/>
    <col min="11525" max="11525" width="13.453125" style="1633" customWidth="1"/>
    <col min="11526" max="11526" width="9" style="1633"/>
    <col min="11527" max="11527" width="9.36328125" style="1633" bestFit="1" customWidth="1"/>
    <col min="11528" max="11529" width="9" style="1633"/>
    <col min="11530" max="11530" width="9.36328125" style="1633" bestFit="1" customWidth="1"/>
    <col min="11531" max="11531" width="4" style="1633" customWidth="1"/>
    <col min="11532" max="11532" width="5.08984375" style="1633" customWidth="1"/>
    <col min="11533" max="11533" width="13.7265625" style="1633" customWidth="1"/>
    <col min="11534" max="11776" width="9" style="1633"/>
    <col min="11777" max="11777" width="4.90625" style="1633" customWidth="1"/>
    <col min="11778" max="11778" width="13.26953125" style="1633" customWidth="1"/>
    <col min="11779" max="11779" width="15.6328125" style="1633" customWidth="1"/>
    <col min="11780" max="11780" width="9.36328125" style="1633" bestFit="1" customWidth="1"/>
    <col min="11781" max="11781" width="13.453125" style="1633" customWidth="1"/>
    <col min="11782" max="11782" width="9" style="1633"/>
    <col min="11783" max="11783" width="9.36328125" style="1633" bestFit="1" customWidth="1"/>
    <col min="11784" max="11785" width="9" style="1633"/>
    <col min="11786" max="11786" width="9.36328125" style="1633" bestFit="1" customWidth="1"/>
    <col min="11787" max="11787" width="4" style="1633" customWidth="1"/>
    <col min="11788" max="11788" width="5.08984375" style="1633" customWidth="1"/>
    <col min="11789" max="11789" width="13.7265625" style="1633" customWidth="1"/>
    <col min="11790" max="12032" width="9" style="1633"/>
    <col min="12033" max="12033" width="4.90625" style="1633" customWidth="1"/>
    <col min="12034" max="12034" width="13.26953125" style="1633" customWidth="1"/>
    <col min="12035" max="12035" width="15.6328125" style="1633" customWidth="1"/>
    <col min="12036" max="12036" width="9.36328125" style="1633" bestFit="1" customWidth="1"/>
    <col min="12037" max="12037" width="13.453125" style="1633" customWidth="1"/>
    <col min="12038" max="12038" width="9" style="1633"/>
    <col min="12039" max="12039" width="9.36328125" style="1633" bestFit="1" customWidth="1"/>
    <col min="12040" max="12041" width="9" style="1633"/>
    <col min="12042" max="12042" width="9.36328125" style="1633" bestFit="1" customWidth="1"/>
    <col min="12043" max="12043" width="4" style="1633" customWidth="1"/>
    <col min="12044" max="12044" width="5.08984375" style="1633" customWidth="1"/>
    <col min="12045" max="12045" width="13.7265625" style="1633" customWidth="1"/>
    <col min="12046" max="12288" width="9" style="1633"/>
    <col min="12289" max="12289" width="4.90625" style="1633" customWidth="1"/>
    <col min="12290" max="12290" width="13.26953125" style="1633" customWidth="1"/>
    <col min="12291" max="12291" width="15.6328125" style="1633" customWidth="1"/>
    <col min="12292" max="12292" width="9.36328125" style="1633" bestFit="1" customWidth="1"/>
    <col min="12293" max="12293" width="13.453125" style="1633" customWidth="1"/>
    <col min="12294" max="12294" width="9" style="1633"/>
    <col min="12295" max="12295" width="9.36328125" style="1633" bestFit="1" customWidth="1"/>
    <col min="12296" max="12297" width="9" style="1633"/>
    <col min="12298" max="12298" width="9.36328125" style="1633" bestFit="1" customWidth="1"/>
    <col min="12299" max="12299" width="4" style="1633" customWidth="1"/>
    <col min="12300" max="12300" width="5.08984375" style="1633" customWidth="1"/>
    <col min="12301" max="12301" width="13.7265625" style="1633" customWidth="1"/>
    <col min="12302" max="12544" width="9" style="1633"/>
    <col min="12545" max="12545" width="4.90625" style="1633" customWidth="1"/>
    <col min="12546" max="12546" width="13.26953125" style="1633" customWidth="1"/>
    <col min="12547" max="12547" width="15.6328125" style="1633" customWidth="1"/>
    <col min="12548" max="12548" width="9.36328125" style="1633" bestFit="1" customWidth="1"/>
    <col min="12549" max="12549" width="13.453125" style="1633" customWidth="1"/>
    <col min="12550" max="12550" width="9" style="1633"/>
    <col min="12551" max="12551" width="9.36328125" style="1633" bestFit="1" customWidth="1"/>
    <col min="12552" max="12553" width="9" style="1633"/>
    <col min="12554" max="12554" width="9.36328125" style="1633" bestFit="1" customWidth="1"/>
    <col min="12555" max="12555" width="4" style="1633" customWidth="1"/>
    <col min="12556" max="12556" width="5.08984375" style="1633" customWidth="1"/>
    <col min="12557" max="12557" width="13.7265625" style="1633" customWidth="1"/>
    <col min="12558" max="12800" width="9" style="1633"/>
    <col min="12801" max="12801" width="4.90625" style="1633" customWidth="1"/>
    <col min="12802" max="12802" width="13.26953125" style="1633" customWidth="1"/>
    <col min="12803" max="12803" width="15.6328125" style="1633" customWidth="1"/>
    <col min="12804" max="12804" width="9.36328125" style="1633" bestFit="1" customWidth="1"/>
    <col min="12805" max="12805" width="13.453125" style="1633" customWidth="1"/>
    <col min="12806" max="12806" width="9" style="1633"/>
    <col min="12807" max="12807" width="9.36328125" style="1633" bestFit="1" customWidth="1"/>
    <col min="12808" max="12809" width="9" style="1633"/>
    <col min="12810" max="12810" width="9.36328125" style="1633" bestFit="1" customWidth="1"/>
    <col min="12811" max="12811" width="4" style="1633" customWidth="1"/>
    <col min="12812" max="12812" width="5.08984375" style="1633" customWidth="1"/>
    <col min="12813" max="12813" width="13.7265625" style="1633" customWidth="1"/>
    <col min="12814" max="13056" width="9" style="1633"/>
    <col min="13057" max="13057" width="4.90625" style="1633" customWidth="1"/>
    <col min="13058" max="13058" width="13.26953125" style="1633" customWidth="1"/>
    <col min="13059" max="13059" width="15.6328125" style="1633" customWidth="1"/>
    <col min="13060" max="13060" width="9.36328125" style="1633" bestFit="1" customWidth="1"/>
    <col min="13061" max="13061" width="13.453125" style="1633" customWidth="1"/>
    <col min="13062" max="13062" width="9" style="1633"/>
    <col min="13063" max="13063" width="9.36328125" style="1633" bestFit="1" customWidth="1"/>
    <col min="13064" max="13065" width="9" style="1633"/>
    <col min="13066" max="13066" width="9.36328125" style="1633" bestFit="1" customWidth="1"/>
    <col min="13067" max="13067" width="4" style="1633" customWidth="1"/>
    <col min="13068" max="13068" width="5.08984375" style="1633" customWidth="1"/>
    <col min="13069" max="13069" width="13.7265625" style="1633" customWidth="1"/>
    <col min="13070" max="13312" width="9" style="1633"/>
    <col min="13313" max="13313" width="4.90625" style="1633" customWidth="1"/>
    <col min="13314" max="13314" width="13.26953125" style="1633" customWidth="1"/>
    <col min="13315" max="13315" width="15.6328125" style="1633" customWidth="1"/>
    <col min="13316" max="13316" width="9.36328125" style="1633" bestFit="1" customWidth="1"/>
    <col min="13317" max="13317" width="13.453125" style="1633" customWidth="1"/>
    <col min="13318" max="13318" width="9" style="1633"/>
    <col min="13319" max="13319" width="9.36328125" style="1633" bestFit="1" customWidth="1"/>
    <col min="13320" max="13321" width="9" style="1633"/>
    <col min="13322" max="13322" width="9.36328125" style="1633" bestFit="1" customWidth="1"/>
    <col min="13323" max="13323" width="4" style="1633" customWidth="1"/>
    <col min="13324" max="13324" width="5.08984375" style="1633" customWidth="1"/>
    <col min="13325" max="13325" width="13.7265625" style="1633" customWidth="1"/>
    <col min="13326" max="13568" width="9" style="1633"/>
    <col min="13569" max="13569" width="4.90625" style="1633" customWidth="1"/>
    <col min="13570" max="13570" width="13.26953125" style="1633" customWidth="1"/>
    <col min="13571" max="13571" width="15.6328125" style="1633" customWidth="1"/>
    <col min="13572" max="13572" width="9.36328125" style="1633" bestFit="1" customWidth="1"/>
    <col min="13573" max="13573" width="13.453125" style="1633" customWidth="1"/>
    <col min="13574" max="13574" width="9" style="1633"/>
    <col min="13575" max="13575" width="9.36328125" style="1633" bestFit="1" customWidth="1"/>
    <col min="13576" max="13577" width="9" style="1633"/>
    <col min="13578" max="13578" width="9.36328125" style="1633" bestFit="1" customWidth="1"/>
    <col min="13579" max="13579" width="4" style="1633" customWidth="1"/>
    <col min="13580" max="13580" width="5.08984375" style="1633" customWidth="1"/>
    <col min="13581" max="13581" width="13.7265625" style="1633" customWidth="1"/>
    <col min="13582" max="13824" width="9" style="1633"/>
    <col min="13825" max="13825" width="4.90625" style="1633" customWidth="1"/>
    <col min="13826" max="13826" width="13.26953125" style="1633" customWidth="1"/>
    <col min="13827" max="13827" width="15.6328125" style="1633" customWidth="1"/>
    <col min="13828" max="13828" width="9.36328125" style="1633" bestFit="1" customWidth="1"/>
    <col min="13829" max="13829" width="13.453125" style="1633" customWidth="1"/>
    <col min="13830" max="13830" width="9" style="1633"/>
    <col min="13831" max="13831" width="9.36328125" style="1633" bestFit="1" customWidth="1"/>
    <col min="13832" max="13833" width="9" style="1633"/>
    <col min="13834" max="13834" width="9.36328125" style="1633" bestFit="1" customWidth="1"/>
    <col min="13835" max="13835" width="4" style="1633" customWidth="1"/>
    <col min="13836" max="13836" width="5.08984375" style="1633" customWidth="1"/>
    <col min="13837" max="13837" width="13.7265625" style="1633" customWidth="1"/>
    <col min="13838" max="14080" width="9" style="1633"/>
    <col min="14081" max="14081" width="4.90625" style="1633" customWidth="1"/>
    <col min="14082" max="14082" width="13.26953125" style="1633" customWidth="1"/>
    <col min="14083" max="14083" width="15.6328125" style="1633" customWidth="1"/>
    <col min="14084" max="14084" width="9.36328125" style="1633" bestFit="1" customWidth="1"/>
    <col min="14085" max="14085" width="13.453125" style="1633" customWidth="1"/>
    <col min="14086" max="14086" width="9" style="1633"/>
    <col min="14087" max="14087" width="9.36328125" style="1633" bestFit="1" customWidth="1"/>
    <col min="14088" max="14089" width="9" style="1633"/>
    <col min="14090" max="14090" width="9.36328125" style="1633" bestFit="1" customWidth="1"/>
    <col min="14091" max="14091" width="4" style="1633" customWidth="1"/>
    <col min="14092" max="14092" width="5.08984375" style="1633" customWidth="1"/>
    <col min="14093" max="14093" width="13.7265625" style="1633" customWidth="1"/>
    <col min="14094" max="14336" width="9" style="1633"/>
    <col min="14337" max="14337" width="4.90625" style="1633" customWidth="1"/>
    <col min="14338" max="14338" width="13.26953125" style="1633" customWidth="1"/>
    <col min="14339" max="14339" width="15.6328125" style="1633" customWidth="1"/>
    <col min="14340" max="14340" width="9.36328125" style="1633" bestFit="1" customWidth="1"/>
    <col min="14341" max="14341" width="13.453125" style="1633" customWidth="1"/>
    <col min="14342" max="14342" width="9" style="1633"/>
    <col min="14343" max="14343" width="9.36328125" style="1633" bestFit="1" customWidth="1"/>
    <col min="14344" max="14345" width="9" style="1633"/>
    <col min="14346" max="14346" width="9.36328125" style="1633" bestFit="1" customWidth="1"/>
    <col min="14347" max="14347" width="4" style="1633" customWidth="1"/>
    <col min="14348" max="14348" width="5.08984375" style="1633" customWidth="1"/>
    <col min="14349" max="14349" width="13.7265625" style="1633" customWidth="1"/>
    <col min="14350" max="14592" width="9" style="1633"/>
    <col min="14593" max="14593" width="4.90625" style="1633" customWidth="1"/>
    <col min="14594" max="14594" width="13.26953125" style="1633" customWidth="1"/>
    <col min="14595" max="14595" width="15.6328125" style="1633" customWidth="1"/>
    <col min="14596" max="14596" width="9.36328125" style="1633" bestFit="1" customWidth="1"/>
    <col min="14597" max="14597" width="13.453125" style="1633" customWidth="1"/>
    <col min="14598" max="14598" width="9" style="1633"/>
    <col min="14599" max="14599" width="9.36328125" style="1633" bestFit="1" customWidth="1"/>
    <col min="14600" max="14601" width="9" style="1633"/>
    <col min="14602" max="14602" width="9.36328125" style="1633" bestFit="1" customWidth="1"/>
    <col min="14603" max="14603" width="4" style="1633" customWidth="1"/>
    <col min="14604" max="14604" width="5.08984375" style="1633" customWidth="1"/>
    <col min="14605" max="14605" width="13.7265625" style="1633" customWidth="1"/>
    <col min="14606" max="14848" width="9" style="1633"/>
    <col min="14849" max="14849" width="4.90625" style="1633" customWidth="1"/>
    <col min="14850" max="14850" width="13.26953125" style="1633" customWidth="1"/>
    <col min="14851" max="14851" width="15.6328125" style="1633" customWidth="1"/>
    <col min="14852" max="14852" width="9.36328125" style="1633" bestFit="1" customWidth="1"/>
    <col min="14853" max="14853" width="13.453125" style="1633" customWidth="1"/>
    <col min="14854" max="14854" width="9" style="1633"/>
    <col min="14855" max="14855" width="9.36328125" style="1633" bestFit="1" customWidth="1"/>
    <col min="14856" max="14857" width="9" style="1633"/>
    <col min="14858" max="14858" width="9.36328125" style="1633" bestFit="1" customWidth="1"/>
    <col min="14859" max="14859" width="4" style="1633" customWidth="1"/>
    <col min="14860" max="14860" width="5.08984375" style="1633" customWidth="1"/>
    <col min="14861" max="14861" width="13.7265625" style="1633" customWidth="1"/>
    <col min="14862" max="15104" width="9" style="1633"/>
    <col min="15105" max="15105" width="4.90625" style="1633" customWidth="1"/>
    <col min="15106" max="15106" width="13.26953125" style="1633" customWidth="1"/>
    <col min="15107" max="15107" width="15.6328125" style="1633" customWidth="1"/>
    <col min="15108" max="15108" width="9.36328125" style="1633" bestFit="1" customWidth="1"/>
    <col min="15109" max="15109" width="13.453125" style="1633" customWidth="1"/>
    <col min="15110" max="15110" width="9" style="1633"/>
    <col min="15111" max="15111" width="9.36328125" style="1633" bestFit="1" customWidth="1"/>
    <col min="15112" max="15113" width="9" style="1633"/>
    <col min="15114" max="15114" width="9.36328125" style="1633" bestFit="1" customWidth="1"/>
    <col min="15115" max="15115" width="4" style="1633" customWidth="1"/>
    <col min="15116" max="15116" width="5.08984375" style="1633" customWidth="1"/>
    <col min="15117" max="15117" width="13.7265625" style="1633" customWidth="1"/>
    <col min="15118" max="15360" width="9" style="1633"/>
    <col min="15361" max="15361" width="4.90625" style="1633" customWidth="1"/>
    <col min="15362" max="15362" width="13.26953125" style="1633" customWidth="1"/>
    <col min="15363" max="15363" width="15.6328125" style="1633" customWidth="1"/>
    <col min="15364" max="15364" width="9.36328125" style="1633" bestFit="1" customWidth="1"/>
    <col min="15365" max="15365" width="13.453125" style="1633" customWidth="1"/>
    <col min="15366" max="15366" width="9" style="1633"/>
    <col min="15367" max="15367" width="9.36328125" style="1633" bestFit="1" customWidth="1"/>
    <col min="15368" max="15369" width="9" style="1633"/>
    <col min="15370" max="15370" width="9.36328125" style="1633" bestFit="1" customWidth="1"/>
    <col min="15371" max="15371" width="4" style="1633" customWidth="1"/>
    <col min="15372" max="15372" width="5.08984375" style="1633" customWidth="1"/>
    <col min="15373" max="15373" width="13.7265625" style="1633" customWidth="1"/>
    <col min="15374" max="15616" width="9" style="1633"/>
    <col min="15617" max="15617" width="4.90625" style="1633" customWidth="1"/>
    <col min="15618" max="15618" width="13.26953125" style="1633" customWidth="1"/>
    <col min="15619" max="15619" width="15.6328125" style="1633" customWidth="1"/>
    <col min="15620" max="15620" width="9.36328125" style="1633" bestFit="1" customWidth="1"/>
    <col min="15621" max="15621" width="13.453125" style="1633" customWidth="1"/>
    <col min="15622" max="15622" width="9" style="1633"/>
    <col min="15623" max="15623" width="9.36328125" style="1633" bestFit="1" customWidth="1"/>
    <col min="15624" max="15625" width="9" style="1633"/>
    <col min="15626" max="15626" width="9.36328125" style="1633" bestFit="1" customWidth="1"/>
    <col min="15627" max="15627" width="4" style="1633" customWidth="1"/>
    <col min="15628" max="15628" width="5.08984375" style="1633" customWidth="1"/>
    <col min="15629" max="15629" width="13.7265625" style="1633" customWidth="1"/>
    <col min="15630" max="15872" width="9" style="1633"/>
    <col min="15873" max="15873" width="4.90625" style="1633" customWidth="1"/>
    <col min="15874" max="15874" width="13.26953125" style="1633" customWidth="1"/>
    <col min="15875" max="15875" width="15.6328125" style="1633" customWidth="1"/>
    <col min="15876" max="15876" width="9.36328125" style="1633" bestFit="1" customWidth="1"/>
    <col min="15877" max="15877" width="13.453125" style="1633" customWidth="1"/>
    <col min="15878" max="15878" width="9" style="1633"/>
    <col min="15879" max="15879" width="9.36328125" style="1633" bestFit="1" customWidth="1"/>
    <col min="15880" max="15881" width="9" style="1633"/>
    <col min="15882" max="15882" width="9.36328125" style="1633" bestFit="1" customWidth="1"/>
    <col min="15883" max="15883" width="4" style="1633" customWidth="1"/>
    <col min="15884" max="15884" width="5.08984375" style="1633" customWidth="1"/>
    <col min="15885" max="15885" width="13.7265625" style="1633" customWidth="1"/>
    <col min="15886" max="16128" width="9" style="1633"/>
    <col min="16129" max="16129" width="4.90625" style="1633" customWidth="1"/>
    <col min="16130" max="16130" width="13.26953125" style="1633" customWidth="1"/>
    <col min="16131" max="16131" width="15.6328125" style="1633" customWidth="1"/>
    <col min="16132" max="16132" width="9.36328125" style="1633" bestFit="1" customWidth="1"/>
    <col min="16133" max="16133" width="13.453125" style="1633" customWidth="1"/>
    <col min="16134" max="16134" width="9" style="1633"/>
    <col min="16135" max="16135" width="9.36328125" style="1633" bestFit="1" customWidth="1"/>
    <col min="16136" max="16137" width="9" style="1633"/>
    <col min="16138" max="16138" width="9.36328125" style="1633" bestFit="1" customWidth="1"/>
    <col min="16139" max="16139" width="4" style="1633" customWidth="1"/>
    <col min="16140" max="16140" width="5.08984375" style="1633" customWidth="1"/>
    <col min="16141" max="16141" width="13.7265625" style="1633" customWidth="1"/>
    <col min="16142" max="16384" width="9" style="1633"/>
  </cols>
  <sheetData>
    <row r="1" spans="1:257" s="1697" customFormat="1" ht="14.5" thickBot="1">
      <c r="A1" s="1691"/>
      <c r="B1" s="1698" t="s">
        <v>1296</v>
      </c>
      <c r="C1" s="1692">
        <f>项目基本情况!D3</f>
        <v>43908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1">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3">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0">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
  <sheetData>
    <row r="1" spans="1:13" ht="27">
      <c r="A1" s="1780" t="s">
        <v>1368</v>
      </c>
      <c r="E1" s="1774" t="s">
        <v>1372</v>
      </c>
      <c r="F1" s="1775" t="s">
        <v>1376</v>
      </c>
    </row>
    <row r="2" spans="1:13" ht="20">
      <c r="A2" s="1781" t="s">
        <v>1369</v>
      </c>
    </row>
    <row r="3" spans="1:13" ht="16.5">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4"/>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9" workbookViewId="0">
      <selection activeCell="R12" sqref="R12"/>
    </sheetView>
  </sheetViews>
  <sheetFormatPr defaultRowHeight="1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4"/>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2" customWidth="1"/>
    <col min="2" max="9" width="12.08984375" style="1942" customWidth="1"/>
    <col min="10" max="16384" width="9" style="1942"/>
  </cols>
  <sheetData>
    <row r="1" spans="1:9" ht="18.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6">
      <c r="A3" s="3017"/>
      <c r="B3" s="3017"/>
      <c r="C3" s="3017"/>
      <c r="D3" s="1043" t="s">
        <v>1633</v>
      </c>
      <c r="E3" s="1043" t="s">
        <v>1639</v>
      </c>
      <c r="F3" s="1043" t="s">
        <v>1633</v>
      </c>
      <c r="G3" s="1043" t="s">
        <v>1634</v>
      </c>
      <c r="H3" s="1043" t="s">
        <v>1633</v>
      </c>
      <c r="I3" s="1043" t="s">
        <v>1634</v>
      </c>
    </row>
    <row r="4" spans="1:9" ht="31">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3107</v>
      </c>
      <c r="I4" s="1043">
        <f ca="1">结果表!I118</f>
        <v>40409</v>
      </c>
    </row>
    <row r="5" spans="1:9" ht="30" customHeight="1">
      <c r="A5" s="3017" t="s">
        <v>1635</v>
      </c>
      <c r="B5" s="3017"/>
      <c r="C5" s="3017"/>
      <c r="D5" s="3018" t="e">
        <f ca="1">结果表!D119</f>
        <v>#REF!</v>
      </c>
      <c r="E5" s="3018"/>
      <c r="F5" s="3018" t="e">
        <f ca="1">结果表!F119</f>
        <v>#REF!</v>
      </c>
      <c r="G5" s="3018"/>
      <c r="H5" s="3018" t="str">
        <f ca="1">结果表!H119</f>
        <v>叁仟壹佰零柒万元整</v>
      </c>
      <c r="I5" s="3018"/>
    </row>
    <row r="6" spans="1:9" ht="15.5">
      <c r="A6" s="3019" t="str">
        <f>结果表!A120</f>
        <v>估价师知悉的法定优先受偿款</v>
      </c>
      <c r="B6" s="3019"/>
      <c r="C6" s="3019"/>
      <c r="D6" s="3019">
        <f>结果表!D120</f>
        <v>0</v>
      </c>
      <c r="E6" s="3019"/>
      <c r="F6" s="3019"/>
      <c r="G6" s="3019"/>
      <c r="H6" s="3019"/>
      <c r="I6" s="3019"/>
    </row>
    <row r="7" spans="1:9" ht="15.5">
      <c r="A7" s="3017" t="s">
        <v>1635</v>
      </c>
      <c r="B7" s="3017"/>
      <c r="C7" s="3017"/>
      <c r="D7" s="3020" t="str">
        <f>结果表!D121</f>
        <v>零元整</v>
      </c>
      <c r="E7" s="3021"/>
      <c r="F7" s="3021"/>
      <c r="G7" s="3021"/>
      <c r="H7" s="3021"/>
      <c r="I7" s="3022"/>
    </row>
    <row r="8" spans="1:9" ht="15.5">
      <c r="A8" s="3019" t="str">
        <f>结果表!A122</f>
        <v>房地产抵押价值</v>
      </c>
      <c r="B8" s="3019"/>
      <c r="C8" s="3019"/>
      <c r="D8" s="3019">
        <f ca="1">结果表!D122</f>
        <v>3107</v>
      </c>
      <c r="E8" s="3019"/>
      <c r="F8" s="3019"/>
      <c r="G8" s="3019"/>
      <c r="H8" s="3019"/>
      <c r="I8" s="3019"/>
    </row>
    <row r="9" spans="1:9" ht="15.5">
      <c r="A9" s="3017" t="s">
        <v>1635</v>
      </c>
      <c r="B9" s="3017"/>
      <c r="C9" s="3017"/>
      <c r="D9" s="3018" t="str">
        <f ca="1">结果表!D123</f>
        <v>叁仟壹佰零柒万元整</v>
      </c>
      <c r="E9" s="3018"/>
      <c r="F9" s="3018"/>
      <c r="G9" s="3018"/>
      <c r="H9" s="3018"/>
      <c r="I9" s="3018"/>
    </row>
    <row r="10" spans="1:9" ht="15.5">
      <c r="A10" s="3019" t="str">
        <f>结果表!A124</f>
        <v/>
      </c>
      <c r="B10" s="3019"/>
      <c r="C10" s="3019"/>
      <c r="D10" s="3019" t="str">
        <f>结果表!D124</f>
        <v>——</v>
      </c>
      <c r="E10" s="3019"/>
      <c r="F10" s="3019"/>
      <c r="G10" s="3019"/>
      <c r="H10" s="3019"/>
      <c r="I10" s="3019"/>
    </row>
    <row r="11" spans="1:9" ht="15.5">
      <c r="A11" s="3017" t="s">
        <v>1635</v>
      </c>
      <c r="B11" s="3017"/>
      <c r="C11" s="3017"/>
      <c r="D11" s="3018" t="e">
        <f>结果表!D125</f>
        <v>#VALUE!</v>
      </c>
      <c r="E11" s="3018"/>
      <c r="F11" s="3018"/>
      <c r="G11" s="3018"/>
      <c r="H11" s="3018"/>
      <c r="I11" s="3018"/>
    </row>
    <row r="12" spans="1:9" ht="15.5">
      <c r="A12" s="3019" t="str">
        <f>结果表!A126</f>
        <v/>
      </c>
      <c r="B12" s="3019"/>
      <c r="C12" s="3019"/>
      <c r="D12" s="3019" t="str">
        <f>结果表!D126</f>
        <v>——</v>
      </c>
      <c r="E12" s="3019"/>
      <c r="F12" s="3019"/>
      <c r="G12" s="3019"/>
      <c r="H12" s="3019"/>
      <c r="I12" s="3019"/>
    </row>
    <row r="13" spans="1:9" ht="16" thickBot="1">
      <c r="A13" s="3023" t="s">
        <v>1635</v>
      </c>
      <c r="B13" s="3023"/>
      <c r="C13" s="3023"/>
      <c r="D13" s="3024" t="e">
        <f>结果表!D127</f>
        <v>#VALUE!</v>
      </c>
      <c r="E13" s="3024"/>
      <c r="F13" s="3024"/>
      <c r="G13" s="3024"/>
      <c r="H13" s="3024"/>
      <c r="I13" s="3024"/>
    </row>
    <row r="14" spans="1:9" ht="14.5" thickTop="1">
      <c r="A14" s="3025" t="s">
        <v>1640</v>
      </c>
      <c r="B14" s="3025"/>
      <c r="C14" s="3025"/>
      <c r="D14" s="3025"/>
      <c r="E14" s="3025"/>
      <c r="F14" s="3025"/>
      <c r="G14" s="3025"/>
      <c r="H14" s="3025"/>
      <c r="I14" s="3025"/>
    </row>
    <row r="16" spans="1:9" ht="1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2" customWidth="1"/>
    <col min="2" max="3" width="22.36328125" style="1942" customWidth="1"/>
    <col min="4" max="4" width="23" style="1942" customWidth="1"/>
    <col min="5" max="16384" width="9" style="1942"/>
  </cols>
  <sheetData>
    <row r="1" spans="1:4" ht="18">
      <c r="A1" s="3026" t="s">
        <v>1657</v>
      </c>
      <c r="B1" s="3026"/>
      <c r="C1" s="3026"/>
      <c r="D1" s="3026"/>
    </row>
    <row r="2" spans="1:4" ht="18">
      <c r="A2" s="3027" t="s">
        <v>1641</v>
      </c>
      <c r="B2" s="3027"/>
      <c r="C2" s="3027"/>
      <c r="D2" s="3027"/>
    </row>
    <row r="3" spans="1:4" ht="1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27" t="s">
        <v>1647</v>
      </c>
      <c r="B6" s="3027"/>
      <c r="C6" s="3027"/>
      <c r="D6" s="3027"/>
    </row>
    <row r="7" spans="1:4" ht="1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
      <c r="A10" s="1981" t="s">
        <v>1649</v>
      </c>
      <c r="B10" s="727"/>
      <c r="C10" s="727"/>
      <c r="D10" s="727"/>
    </row>
    <row r="11" spans="1:4" ht="30" customHeight="1">
      <c r="A11" s="3028" t="s">
        <v>1650</v>
      </c>
      <c r="B11" s="3029"/>
      <c r="C11" s="3029"/>
      <c r="D11" s="3029"/>
    </row>
    <row r="12" spans="1:4" ht="15.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（1）根据估价对象《不动产权证书》复印件、，截至价值时点，估价对象抵押权未见登记。</v>
      </c>
      <c r="B15" s="3029"/>
      <c r="C15" s="3029"/>
      <c r="D15" s="3029"/>
    </row>
    <row r="16" spans="1:4" ht="30" customHeight="1">
      <c r="A16" s="3032" t="s">
        <v>1651</v>
      </c>
      <c r="B16" s="3032"/>
      <c r="C16" s="3032"/>
      <c r="D16" s="3032"/>
    </row>
    <row r="17" spans="1:4" ht="144" customHeight="1">
      <c r="A17" s="3032" t="s">
        <v>1652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1653</v>
      </c>
      <c r="B22" s="3034"/>
      <c r="C22" s="3034"/>
      <c r="D22" s="3034"/>
    </row>
    <row r="23" spans="1:4">
      <c r="A23" s="1982"/>
      <c r="B23" s="1954"/>
      <c r="C23" s="1954"/>
      <c r="D23" s="1954"/>
    </row>
    <row r="24" spans="1:4">
      <c r="A24" s="1982"/>
      <c r="B24" s="1954"/>
      <c r="C24" s="1954"/>
      <c r="D24" s="1954"/>
    </row>
    <row r="25" spans="1:4" ht="17.5">
      <c r="A25" s="1983" t="s">
        <v>1654</v>
      </c>
    </row>
    <row r="26" spans="1:4" ht="17.5">
      <c r="A26" s="1952"/>
    </row>
    <row r="27" spans="1:4" ht="17.5">
      <c r="A27" s="1952" t="s">
        <v>1655</v>
      </c>
    </row>
    <row r="30" spans="1:4" ht="17.5">
      <c r="D30" s="1983" t="s">
        <v>1656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940" customWidth="1"/>
    <col min="3" max="10" width="12.453125" style="1940" customWidth="1"/>
    <col min="11" max="16384" width="9" style="1940"/>
  </cols>
  <sheetData>
    <row r="1" spans="1:10" ht="17.5">
      <c r="A1" s="1973" t="s">
        <v>867</v>
      </c>
      <c r="B1" s="1984"/>
      <c r="C1" s="1984"/>
      <c r="D1" s="1984"/>
      <c r="E1" s="1984"/>
      <c r="F1" s="1984"/>
      <c r="G1" s="1984"/>
      <c r="H1" s="1984"/>
      <c r="I1" s="1984"/>
      <c r="J1" s="1984"/>
    </row>
    <row r="2" spans="1:10" ht="1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453125" defaultRowHeight="15"/>
  <cols>
    <col min="1" max="1" width="14.453125" style="1990" customWidth="1"/>
    <col min="2" max="16384" width="14.453125" style="1972"/>
  </cols>
  <sheetData>
    <row r="1" spans="1:7" s="1987" customFormat="1" ht="1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
      <c r="A15" s="3040" t="s">
        <v>1664</v>
      </c>
      <c r="B15" s="3035" t="s">
        <v>136</v>
      </c>
      <c r="C15" s="3036"/>
    </row>
    <row r="16" spans="1:7" ht="14">
      <c r="A16" s="3041"/>
      <c r="B16" s="3035" t="s">
        <v>69</v>
      </c>
      <c r="C16" s="3036"/>
    </row>
    <row r="17" spans="1:3" ht="14">
      <c r="A17" s="3041"/>
      <c r="B17" s="3038" t="s">
        <v>1665</v>
      </c>
      <c r="C17" s="1997" t="s">
        <v>1664</v>
      </c>
    </row>
    <row r="18" spans="1:3" ht="14">
      <c r="A18" s="3041"/>
      <c r="B18" s="3038"/>
      <c r="C18" s="1997" t="s">
        <v>1666</v>
      </c>
    </row>
    <row r="19" spans="1:3" ht="14">
      <c r="A19" s="3041"/>
      <c r="B19" s="3038"/>
      <c r="C19" s="1997" t="s">
        <v>1667</v>
      </c>
    </row>
    <row r="20" spans="1:3" ht="14">
      <c r="A20" s="3042"/>
      <c r="B20" s="3037" t="s">
        <v>1668</v>
      </c>
      <c r="C20" s="3036"/>
    </row>
    <row r="21" spans="1:3" ht="14">
      <c r="A21" s="1998" t="s">
        <v>1669</v>
      </c>
      <c r="B21" s="1999"/>
      <c r="C21" s="2000"/>
    </row>
    <row r="22" spans="1:3" ht="14">
      <c r="A22" s="3039" t="s">
        <v>1670</v>
      </c>
      <c r="B22" s="3037" t="s">
        <v>1671</v>
      </c>
      <c r="C22" s="3036"/>
    </row>
    <row r="23" spans="1:3" ht="14">
      <c r="A23" s="3039"/>
      <c r="B23" s="3037" t="s">
        <v>1672</v>
      </c>
      <c r="C23" s="3036"/>
    </row>
    <row r="24" spans="1:3" ht="14">
      <c r="A24" s="3039"/>
      <c r="B24" s="3037" t="s">
        <v>1673</v>
      </c>
      <c r="C24" s="3036"/>
    </row>
    <row r="25" spans="1:3" ht="14">
      <c r="A25" s="3039"/>
      <c r="B25" s="3038" t="s">
        <v>1674</v>
      </c>
      <c r="C25" s="1997" t="s">
        <v>1675</v>
      </c>
    </row>
    <row r="26" spans="1:3" ht="14">
      <c r="A26" s="3039"/>
      <c r="B26" s="3038"/>
      <c r="C26" s="1997" t="s">
        <v>1676</v>
      </c>
    </row>
    <row r="27" spans="1:3" ht="14">
      <c r="A27" s="3039"/>
      <c r="B27" s="3038"/>
      <c r="C27" s="1997" t="s">
        <v>1677</v>
      </c>
    </row>
    <row r="28" spans="1:3" ht="14">
      <c r="A28" s="3039"/>
      <c r="B28" s="3038"/>
      <c r="C28" s="1997" t="s">
        <v>1678</v>
      </c>
    </row>
    <row r="29" spans="1:3" ht="14">
      <c r="A29" s="3039"/>
      <c r="B29" s="3038"/>
      <c r="C29" s="1997" t="s">
        <v>1679</v>
      </c>
    </row>
    <row r="30" spans="1:3" ht="14">
      <c r="A30" s="3039"/>
      <c r="B30" s="3038"/>
      <c r="C30" s="1997" t="s">
        <v>1680</v>
      </c>
    </row>
    <row r="31" spans="1:3" ht="14">
      <c r="A31" s="3039"/>
      <c r="B31" s="3038"/>
      <c r="C31" s="1997" t="s">
        <v>1681</v>
      </c>
    </row>
    <row r="32" spans="1:3" ht="14">
      <c r="A32" s="3039"/>
      <c r="B32" s="3038"/>
      <c r="C32" s="1997" t="s">
        <v>1682</v>
      </c>
    </row>
    <row r="33" spans="1:3" ht="14">
      <c r="A33" s="3039"/>
      <c r="B33" s="3038"/>
      <c r="C33" s="1997" t="s">
        <v>1683</v>
      </c>
    </row>
    <row r="34" spans="1:3">
      <c r="A34" s="2001" t="s">
        <v>76</v>
      </c>
    </row>
    <row r="37" spans="1:3">
      <c r="A37" s="2001" t="s">
        <v>1684</v>
      </c>
    </row>
    <row r="38" spans="1:3" ht="14">
      <c r="A38" s="2002" t="s">
        <v>77</v>
      </c>
    </row>
    <row r="39" spans="1:3" ht="14">
      <c r="A39" s="2002" t="s">
        <v>78</v>
      </c>
    </row>
    <row r="40" spans="1:3" ht="14">
      <c r="A40" s="2002" t="s">
        <v>79</v>
      </c>
    </row>
    <row r="41" spans="1:3" ht="14">
      <c r="A41" s="2003" t="s">
        <v>80</v>
      </c>
    </row>
    <row r="42" spans="1:3" ht="1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328125" defaultRowHeight="24" customHeight="1"/>
  <cols>
    <col min="1" max="2" width="22.6328125" style="1014"/>
    <col min="3" max="3" width="32.26953125" style="1014" customWidth="1"/>
    <col min="4" max="5" width="22.6328125" style="1014"/>
    <col min="6" max="6" width="25.6328125" style="1014" customWidth="1"/>
    <col min="7" max="16384" width="22.6328125" style="1014"/>
  </cols>
  <sheetData>
    <row r="2" spans="1:6" ht="24" customHeight="1">
      <c r="A2" s="1016" t="s">
        <v>825</v>
      </c>
      <c r="B2" s="1017">
        <f ca="1">TODAY()</f>
        <v>43910</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t="str">
        <f ca="1">IF(C4&lt;B2,"已过期",1119970066)</f>
        <v>已过期</v>
      </c>
      <c r="C4" s="2341">
        <v>43849</v>
      </c>
      <c r="D4" s="2344" t="s">
        <v>832</v>
      </c>
      <c r="E4" s="1021">
        <f ca="1">IF(F4&lt;B2,"已过期",96010014)</f>
        <v>96010014</v>
      </c>
      <c r="F4" s="1029">
        <v>47118</v>
      </c>
    </row>
    <row r="5" spans="1:6" ht="24" customHeight="1">
      <c r="A5" s="1700" t="s">
        <v>833</v>
      </c>
      <c r="B5" s="1021" t="str">
        <f ca="1">IF(C5&lt;B2,"已过期",1119970074)</f>
        <v>已过期</v>
      </c>
      <c r="C5" s="2341">
        <v>43849</v>
      </c>
      <c r="D5" s="2344" t="s">
        <v>833</v>
      </c>
      <c r="E5" s="1021">
        <f ca="1">IF(F5&lt;B2,"已过期",2002110027)</f>
        <v>2002110027</v>
      </c>
      <c r="F5" s="1029">
        <v>46752</v>
      </c>
    </row>
    <row r="6" spans="1:6" ht="24" customHeight="1">
      <c r="A6" s="1700" t="s">
        <v>834</v>
      </c>
      <c r="B6" s="1021" t="str">
        <f ca="1">IF(C6&lt;B2,"已过期",1119970111)</f>
        <v>已过期</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t="str">
        <f ca="1">IF(C8&lt;B2,"已过期",1120000080)</f>
        <v>已过期</v>
      </c>
      <c r="C8" s="2341">
        <v>43849</v>
      </c>
      <c r="D8" s="2344" t="s">
        <v>836</v>
      </c>
      <c r="E8" s="1021">
        <f ca="1">IF(F8&lt;B2,"已过期",2000110082)</f>
        <v>2000110082</v>
      </c>
      <c r="F8" s="1029">
        <v>46387</v>
      </c>
    </row>
    <row r="9" spans="1:6" ht="24" customHeight="1">
      <c r="A9" s="1700" t="s">
        <v>837</v>
      </c>
      <c r="B9" s="1021" t="str">
        <f ca="1">IF(C9&lt;B2,"已过期",1419970001)</f>
        <v>已过期</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案例</vt:lpstr>
      <vt:lpstr>案例（1）</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2020-03-20T03:54:33Z</dcterms:modified>
</cp:coreProperties>
</file>